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347860" sheetId="2" r:id="rId5"/>
    <sheet state="visible" name="203650" sheetId="3" r:id="rId6"/>
    <sheet state="visible" name="251370" sheetId="4" r:id="rId7"/>
    <sheet state="visible" name="419080" sheetId="5" r:id="rId8"/>
    <sheet state="visible" name="046210" sheetId="6" r:id="rId9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IFERROR(__xludf.DUMMYFUNCTION("GOOGLEFINANCE(""KOSDAQ:347860"", ""all"", DATE(2012,1,1), DATE(2023,12,31),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IFERROR(__xludf.DUMMYFUNCTION("""COMPUTED_VALUE"""),44186.64583333333)</f>
        <v>44186.64583</v>
      </c>
      <c r="B2" s="1">
        <f>IFERROR(__xludf.DUMMYFUNCTION("""COMPUTED_VALUE"""),15192.93)</f>
        <v>15192.93</v>
      </c>
      <c r="C2" s="1">
        <f>IFERROR(__xludf.DUMMYFUNCTION("""COMPUTED_VALUE"""),19750.8)</f>
        <v>19750.8</v>
      </c>
      <c r="D2" s="1">
        <f>IFERROR(__xludf.DUMMYFUNCTION("""COMPUTED_VALUE"""),15192.93)</f>
        <v>15192.93</v>
      </c>
      <c r="E2" s="1">
        <f>IFERROR(__xludf.DUMMYFUNCTION("""COMPUTED_VALUE"""),19750.8)</f>
        <v>19750.8</v>
      </c>
      <c r="F2" s="1">
        <f>IFERROR(__xludf.DUMMYFUNCTION("""COMPUTED_VALUE"""),1.4617588E7)</f>
        <v>14617588</v>
      </c>
    </row>
    <row r="3">
      <c r="A3" s="2">
        <f>IFERROR(__xludf.DUMMYFUNCTION("""COMPUTED_VALUE"""),44187.64583333333)</f>
        <v>44187.64583</v>
      </c>
      <c r="B3" s="1">
        <f>IFERROR(__xludf.DUMMYFUNCTION("""COMPUTED_VALUE"""),23169.21)</f>
        <v>23169.21</v>
      </c>
      <c r="C3" s="1">
        <f>IFERROR(__xludf.DUMMYFUNCTION("""COMPUTED_VALUE"""),25676.05)</f>
        <v>25676.05</v>
      </c>
      <c r="D3" s="1">
        <f>IFERROR(__xludf.DUMMYFUNCTION("""COMPUTED_VALUE"""),22865.35)</f>
        <v>22865.35</v>
      </c>
      <c r="E3" s="1">
        <f>IFERROR(__xludf.DUMMYFUNCTION("""COMPUTED_VALUE"""),25676.05)</f>
        <v>25676.05</v>
      </c>
      <c r="F3" s="1">
        <f>IFERROR(__xludf.DUMMYFUNCTION("""COMPUTED_VALUE"""),1.2291396E7)</f>
        <v>12291396</v>
      </c>
    </row>
    <row r="4">
      <c r="A4" s="2">
        <f>IFERROR(__xludf.DUMMYFUNCTION("""COMPUTED_VALUE"""),44188.64583333333)</f>
        <v>44188.64583</v>
      </c>
      <c r="B4" s="1">
        <f>IFERROR(__xludf.DUMMYFUNCTION("""COMPUTED_VALUE"""),27347.27)</f>
        <v>27347.27</v>
      </c>
      <c r="C4" s="1">
        <f>IFERROR(__xludf.DUMMYFUNCTION("""COMPUTED_VALUE"""),31905.15)</f>
        <v>31905.15</v>
      </c>
      <c r="D4" s="1">
        <f>IFERROR(__xludf.DUMMYFUNCTION("""COMPUTED_VALUE"""),21801.85)</f>
        <v>21801.85</v>
      </c>
      <c r="E4" s="1">
        <f>IFERROR(__xludf.DUMMYFUNCTION("""COMPUTED_VALUE"""),23169.21)</f>
        <v>23169.21</v>
      </c>
      <c r="F4" s="1">
        <f>IFERROR(__xludf.DUMMYFUNCTION("""COMPUTED_VALUE"""),1.4665391E7)</f>
        <v>14665391</v>
      </c>
    </row>
    <row r="5">
      <c r="A5" s="2">
        <f>IFERROR(__xludf.DUMMYFUNCTION("""COMPUTED_VALUE"""),44189.64583333333)</f>
        <v>44189.64583</v>
      </c>
      <c r="B5" s="1">
        <f>IFERROR(__xludf.DUMMYFUNCTION("""COMPUTED_VALUE"""),25638.06)</f>
        <v>25638.06</v>
      </c>
      <c r="C5" s="1">
        <f>IFERROR(__xludf.DUMMYFUNCTION("""COMPUTED_VALUE"""),30119.98)</f>
        <v>30119.98</v>
      </c>
      <c r="D5" s="1">
        <f>IFERROR(__xludf.DUMMYFUNCTION("""COMPUTED_VALUE"""),23928.86)</f>
        <v>23928.86</v>
      </c>
      <c r="E5" s="1">
        <f>IFERROR(__xludf.DUMMYFUNCTION("""COMPUTED_VALUE"""),30119.98)</f>
        <v>30119.98</v>
      </c>
      <c r="F5" s="1">
        <f>IFERROR(__xludf.DUMMYFUNCTION("""COMPUTED_VALUE"""),2.0648278E7)</f>
        <v>20648278</v>
      </c>
    </row>
    <row r="6">
      <c r="A6" s="2">
        <f>IFERROR(__xludf.DUMMYFUNCTION("""COMPUTED_VALUE"""),44193.64583333333)</f>
        <v>44193.64583</v>
      </c>
      <c r="B6" s="1">
        <f>IFERROR(__xludf.DUMMYFUNCTION("""COMPUTED_VALUE"""),31905.15)</f>
        <v>31905.15</v>
      </c>
      <c r="C6" s="1">
        <f>IFERROR(__xludf.DUMMYFUNCTION("""COMPUTED_VALUE"""),38590.03)</f>
        <v>38590.03</v>
      </c>
      <c r="D6" s="1">
        <f>IFERROR(__xludf.DUMMYFUNCTION("""COMPUTED_VALUE"""),30385.85)</f>
        <v>30385.85</v>
      </c>
      <c r="E6" s="1">
        <f>IFERROR(__xludf.DUMMYFUNCTION("""COMPUTED_VALUE"""),33082.6)</f>
        <v>33082.6</v>
      </c>
      <c r="F6" s="1">
        <f>IFERROR(__xludf.DUMMYFUNCTION("""COMPUTED_VALUE"""),2.2199585E7)</f>
        <v>22199585</v>
      </c>
    </row>
    <row r="7">
      <c r="A7" s="2">
        <f>IFERROR(__xludf.DUMMYFUNCTION("""COMPUTED_VALUE"""),44194.64583333333)</f>
        <v>44194.64583</v>
      </c>
      <c r="B7" s="1">
        <f>IFERROR(__xludf.DUMMYFUNCTION("""COMPUTED_VALUE"""),34222.07)</f>
        <v>34222.07</v>
      </c>
      <c r="C7" s="1">
        <f>IFERROR(__xludf.DUMMYFUNCTION("""COMPUTED_VALUE"""),35741.36)</f>
        <v>35741.36</v>
      </c>
      <c r="D7" s="1">
        <f>IFERROR(__xludf.DUMMYFUNCTION("""COMPUTED_VALUE"""),31981.11)</f>
        <v>31981.11</v>
      </c>
      <c r="E7" s="1">
        <f>IFERROR(__xludf.DUMMYFUNCTION("""COMPUTED_VALUE"""),33196.54)</f>
        <v>33196.54</v>
      </c>
      <c r="F7" s="1">
        <f>IFERROR(__xludf.DUMMYFUNCTION("""COMPUTED_VALUE"""),6807580.0)</f>
        <v>6807580</v>
      </c>
    </row>
    <row r="8">
      <c r="A8" s="2">
        <f>IFERROR(__xludf.DUMMYFUNCTION("""COMPUTED_VALUE"""),44195.64583333333)</f>
        <v>44195.64583</v>
      </c>
      <c r="B8" s="1">
        <f>IFERROR(__xludf.DUMMYFUNCTION("""COMPUTED_VALUE"""),32171.02)</f>
        <v>32171.02</v>
      </c>
      <c r="C8" s="1">
        <f>IFERROR(__xludf.DUMMYFUNCTION("""COMPUTED_VALUE"""),34146.1)</f>
        <v>34146.1</v>
      </c>
      <c r="D8" s="1">
        <f>IFERROR(__xludf.DUMMYFUNCTION("""COMPUTED_VALUE"""),30233.92)</f>
        <v>30233.92</v>
      </c>
      <c r="E8" s="1">
        <f>IFERROR(__xludf.DUMMYFUNCTION("""COMPUTED_VALUE"""),32019.09)</f>
        <v>32019.09</v>
      </c>
      <c r="F8" s="1">
        <f>IFERROR(__xludf.DUMMYFUNCTION("""COMPUTED_VALUE"""),4799472.0)</f>
        <v>4799472</v>
      </c>
    </row>
    <row r="9">
      <c r="A9" s="2">
        <f>IFERROR(__xludf.DUMMYFUNCTION("""COMPUTED_VALUE"""),44200.64583333333)</f>
        <v>44200.64583</v>
      </c>
      <c r="B9" s="1">
        <f>IFERROR(__xludf.DUMMYFUNCTION("""COMPUTED_VALUE"""),33842.24)</f>
        <v>33842.24</v>
      </c>
      <c r="C9" s="1">
        <f>IFERROR(__xludf.DUMMYFUNCTION("""COMPUTED_VALUE"""),33956.19)</f>
        <v>33956.19</v>
      </c>
      <c r="D9" s="1">
        <f>IFERROR(__xludf.DUMMYFUNCTION("""COMPUTED_VALUE"""),31829.18)</f>
        <v>31829.18</v>
      </c>
      <c r="E9" s="1">
        <f>IFERROR(__xludf.DUMMYFUNCTION("""COMPUTED_VALUE"""),32626.81)</f>
        <v>32626.81</v>
      </c>
      <c r="F9" s="1">
        <f>IFERROR(__xludf.DUMMYFUNCTION("""COMPUTED_VALUE"""),1974917.0)</f>
        <v>1974917</v>
      </c>
    </row>
    <row r="10">
      <c r="A10" s="2">
        <f>IFERROR(__xludf.DUMMYFUNCTION("""COMPUTED_VALUE"""),44201.64583333333)</f>
        <v>44201.64583</v>
      </c>
      <c r="B10" s="1">
        <f>IFERROR(__xludf.DUMMYFUNCTION("""COMPUTED_VALUE"""),31411.38)</f>
        <v>31411.38</v>
      </c>
      <c r="C10" s="1">
        <f>IFERROR(__xludf.DUMMYFUNCTION("""COMPUTED_VALUE"""),34184.09)</f>
        <v>34184.09</v>
      </c>
      <c r="D10" s="1">
        <f>IFERROR(__xludf.DUMMYFUNCTION("""COMPUTED_VALUE"""),30461.82)</f>
        <v>30461.82</v>
      </c>
      <c r="E10" s="1">
        <f>IFERROR(__xludf.DUMMYFUNCTION("""COMPUTED_VALUE"""),32133.04)</f>
        <v>32133.04</v>
      </c>
      <c r="F10" s="1">
        <f>IFERROR(__xludf.DUMMYFUNCTION("""COMPUTED_VALUE"""),3475182.0)</f>
        <v>3475182</v>
      </c>
    </row>
    <row r="11">
      <c r="A11" s="2">
        <f>IFERROR(__xludf.DUMMYFUNCTION("""COMPUTED_VALUE"""),44202.64583333333)</f>
        <v>44202.64583</v>
      </c>
      <c r="B11" s="1">
        <f>IFERROR(__xludf.DUMMYFUNCTION("""COMPUTED_VALUE"""),32284.97)</f>
        <v>32284.97</v>
      </c>
      <c r="C11" s="1">
        <f>IFERROR(__xludf.DUMMYFUNCTION("""COMPUTED_VALUE"""),32284.97)</f>
        <v>32284.97</v>
      </c>
      <c r="D11" s="1">
        <f>IFERROR(__xludf.DUMMYFUNCTION("""COMPUTED_VALUE"""),30651.73)</f>
        <v>30651.73</v>
      </c>
      <c r="E11" s="1">
        <f>IFERROR(__xludf.DUMMYFUNCTION("""COMPUTED_VALUE"""),30765.68)</f>
        <v>30765.68</v>
      </c>
      <c r="F11" s="1">
        <f>IFERROR(__xludf.DUMMYFUNCTION("""COMPUTED_VALUE"""),1052730.0)</f>
        <v>1052730</v>
      </c>
    </row>
    <row r="12">
      <c r="A12" s="2">
        <f>IFERROR(__xludf.DUMMYFUNCTION("""COMPUTED_VALUE"""),44203.64583333333)</f>
        <v>44203.64583</v>
      </c>
      <c r="B12" s="1">
        <f>IFERROR(__xludf.DUMMYFUNCTION("""COMPUTED_VALUE"""),30081.99)</f>
        <v>30081.99</v>
      </c>
      <c r="C12" s="1">
        <f>IFERROR(__xludf.DUMMYFUNCTION("""COMPUTED_VALUE"""),32284.97)</f>
        <v>32284.97</v>
      </c>
      <c r="D12" s="1">
        <f>IFERROR(__xludf.DUMMYFUNCTION("""COMPUTED_VALUE"""),29208.4)</f>
        <v>29208.4</v>
      </c>
      <c r="E12" s="1">
        <f>IFERROR(__xludf.DUMMYFUNCTION("""COMPUTED_VALUE"""),30537.78)</f>
        <v>30537.78</v>
      </c>
      <c r="F12" s="1">
        <f>IFERROR(__xludf.DUMMYFUNCTION("""COMPUTED_VALUE"""),2239386.0)</f>
        <v>2239386</v>
      </c>
    </row>
    <row r="13">
      <c r="A13" s="2">
        <f>IFERROR(__xludf.DUMMYFUNCTION("""COMPUTED_VALUE"""),44204.64583333333)</f>
        <v>44204.64583</v>
      </c>
      <c r="B13" s="1">
        <f>IFERROR(__xludf.DUMMYFUNCTION("""COMPUTED_VALUE"""),31107.52)</f>
        <v>31107.52</v>
      </c>
      <c r="C13" s="1">
        <f>IFERROR(__xludf.DUMMYFUNCTION("""COMPUTED_VALUE"""),31107.52)</f>
        <v>31107.52</v>
      </c>
      <c r="D13" s="1">
        <f>IFERROR(__xludf.DUMMYFUNCTION("""COMPUTED_VALUE"""),28638.67)</f>
        <v>28638.67</v>
      </c>
      <c r="E13" s="1">
        <f>IFERROR(__xludf.DUMMYFUNCTION("""COMPUTED_VALUE"""),28866.56)</f>
        <v>28866.56</v>
      </c>
      <c r="F13" s="1">
        <f>IFERROR(__xludf.DUMMYFUNCTION("""COMPUTED_VALUE"""),1014922.0)</f>
        <v>1014922</v>
      </c>
    </row>
    <row r="14">
      <c r="A14" s="2">
        <f>IFERROR(__xludf.DUMMYFUNCTION("""COMPUTED_VALUE"""),44207.64583333333)</f>
        <v>44207.64583</v>
      </c>
      <c r="B14" s="1">
        <f>IFERROR(__xludf.DUMMYFUNCTION("""COMPUTED_VALUE"""),28258.84)</f>
        <v>28258.84</v>
      </c>
      <c r="C14" s="1">
        <f>IFERROR(__xludf.DUMMYFUNCTION("""COMPUTED_VALUE"""),28828.58)</f>
        <v>28828.58</v>
      </c>
      <c r="D14" s="1">
        <f>IFERROR(__xludf.DUMMYFUNCTION("""COMPUTED_VALUE"""),25448.15)</f>
        <v>25448.15</v>
      </c>
      <c r="E14" s="1">
        <f>IFERROR(__xludf.DUMMYFUNCTION("""COMPUTED_VALUE"""),26055.87)</f>
        <v>26055.87</v>
      </c>
      <c r="F14" s="1">
        <f>IFERROR(__xludf.DUMMYFUNCTION("""COMPUTED_VALUE"""),1192804.0)</f>
        <v>1192804</v>
      </c>
    </row>
    <row r="15">
      <c r="A15" s="2">
        <f>IFERROR(__xludf.DUMMYFUNCTION("""COMPUTED_VALUE"""),44208.64583333333)</f>
        <v>44208.64583</v>
      </c>
      <c r="B15" s="1">
        <f>IFERROR(__xludf.DUMMYFUNCTION("""COMPUTED_VALUE"""),25752.01)</f>
        <v>25752.01</v>
      </c>
      <c r="C15" s="1">
        <f>IFERROR(__xludf.DUMMYFUNCTION("""COMPUTED_VALUE"""),27879.02)</f>
        <v>27879.02</v>
      </c>
      <c r="D15" s="1">
        <f>IFERROR(__xludf.DUMMYFUNCTION("""COMPUTED_VALUE"""),24802.45)</f>
        <v>24802.45</v>
      </c>
      <c r="E15" s="1">
        <f>IFERROR(__xludf.DUMMYFUNCTION("""COMPUTED_VALUE"""),26283.76)</f>
        <v>26283.76</v>
      </c>
      <c r="F15" s="1">
        <f>IFERROR(__xludf.DUMMYFUNCTION("""COMPUTED_VALUE"""),727093.0)</f>
        <v>727093</v>
      </c>
    </row>
    <row r="16">
      <c r="A16" s="2">
        <f>IFERROR(__xludf.DUMMYFUNCTION("""COMPUTED_VALUE"""),44209.64583333333)</f>
        <v>44209.64583</v>
      </c>
      <c r="B16" s="1">
        <f>IFERROR(__xludf.DUMMYFUNCTION("""COMPUTED_VALUE"""),26435.69)</f>
        <v>26435.69</v>
      </c>
      <c r="C16" s="1">
        <f>IFERROR(__xludf.DUMMYFUNCTION("""COMPUTED_VALUE"""),27575.16)</f>
        <v>27575.16</v>
      </c>
      <c r="D16" s="1">
        <f>IFERROR(__xludf.DUMMYFUNCTION("""COMPUTED_VALUE"""),25979.9)</f>
        <v>25979.9</v>
      </c>
      <c r="E16" s="1">
        <f>IFERROR(__xludf.DUMMYFUNCTION("""COMPUTED_VALUE"""),26321.75)</f>
        <v>26321.75</v>
      </c>
      <c r="F16" s="1">
        <f>IFERROR(__xludf.DUMMYFUNCTION("""COMPUTED_VALUE"""),420300.0)</f>
        <v>420300</v>
      </c>
    </row>
    <row r="17">
      <c r="A17" s="2">
        <f>IFERROR(__xludf.DUMMYFUNCTION("""COMPUTED_VALUE"""),44210.64583333333)</f>
        <v>44210.64583</v>
      </c>
      <c r="B17" s="1">
        <f>IFERROR(__xludf.DUMMYFUNCTION("""COMPUTED_VALUE"""),26321.75)</f>
        <v>26321.75</v>
      </c>
      <c r="C17" s="1">
        <f>IFERROR(__xludf.DUMMYFUNCTION("""COMPUTED_VALUE"""),26511.66)</f>
        <v>26511.66</v>
      </c>
      <c r="D17" s="1">
        <f>IFERROR(__xludf.DUMMYFUNCTION("""COMPUTED_VALUE"""),25220.26)</f>
        <v>25220.26</v>
      </c>
      <c r="E17" s="1">
        <f>IFERROR(__xludf.DUMMYFUNCTION("""COMPUTED_VALUE"""),26321.75)</f>
        <v>26321.75</v>
      </c>
      <c r="F17" s="1">
        <f>IFERROR(__xludf.DUMMYFUNCTION("""COMPUTED_VALUE"""),378033.0)</f>
        <v>378033</v>
      </c>
    </row>
    <row r="18">
      <c r="A18" s="2">
        <f>IFERROR(__xludf.DUMMYFUNCTION("""COMPUTED_VALUE"""),44211.64583333333)</f>
        <v>44211.64583</v>
      </c>
      <c r="B18" s="1">
        <f>IFERROR(__xludf.DUMMYFUNCTION("""COMPUTED_VALUE"""),27347.27)</f>
        <v>27347.27</v>
      </c>
      <c r="C18" s="1">
        <f>IFERROR(__xludf.DUMMYFUNCTION("""COMPUTED_VALUE"""),31525.32)</f>
        <v>31525.32</v>
      </c>
      <c r="D18" s="1">
        <f>IFERROR(__xludf.DUMMYFUNCTION("""COMPUTED_VALUE"""),27271.3)</f>
        <v>27271.3</v>
      </c>
      <c r="E18" s="1">
        <f>IFERROR(__xludf.DUMMYFUNCTION("""COMPUTED_VALUE"""),27613.14)</f>
        <v>27613.14</v>
      </c>
      <c r="F18" s="1">
        <f>IFERROR(__xludf.DUMMYFUNCTION("""COMPUTED_VALUE"""),6246510.0)</f>
        <v>6246510</v>
      </c>
    </row>
    <row r="19">
      <c r="A19" s="2">
        <f>IFERROR(__xludf.DUMMYFUNCTION("""COMPUTED_VALUE"""),44214.64583333333)</f>
        <v>44214.64583</v>
      </c>
      <c r="B19" s="1">
        <f>IFERROR(__xludf.DUMMYFUNCTION("""COMPUTED_VALUE"""),29360.33)</f>
        <v>29360.33</v>
      </c>
      <c r="C19" s="1">
        <f>IFERROR(__xludf.DUMMYFUNCTION("""COMPUTED_VALUE"""),30955.59)</f>
        <v>30955.59</v>
      </c>
      <c r="D19" s="1">
        <f>IFERROR(__xludf.DUMMYFUNCTION("""COMPUTED_VALUE"""),27499.2)</f>
        <v>27499.2</v>
      </c>
      <c r="E19" s="1">
        <f>IFERROR(__xludf.DUMMYFUNCTION("""COMPUTED_VALUE"""),27954.99)</f>
        <v>27954.99</v>
      </c>
      <c r="F19" s="1">
        <f>IFERROR(__xludf.DUMMYFUNCTION("""COMPUTED_VALUE"""),3313782.0)</f>
        <v>3313782</v>
      </c>
    </row>
    <row r="20">
      <c r="A20" s="2">
        <f>IFERROR(__xludf.DUMMYFUNCTION("""COMPUTED_VALUE"""),44215.64583333333)</f>
        <v>44215.64583</v>
      </c>
      <c r="B20" s="1">
        <f>IFERROR(__xludf.DUMMYFUNCTION("""COMPUTED_VALUE"""),27954.99)</f>
        <v>27954.99</v>
      </c>
      <c r="C20" s="1">
        <f>IFERROR(__xludf.DUMMYFUNCTION("""COMPUTED_VALUE"""),27992.97)</f>
        <v>27992.97</v>
      </c>
      <c r="D20" s="1">
        <f>IFERROR(__xludf.DUMMYFUNCTION("""COMPUTED_VALUE"""),25752.01)</f>
        <v>25752.01</v>
      </c>
      <c r="E20" s="1">
        <f>IFERROR(__xludf.DUMMYFUNCTION("""COMPUTED_VALUE"""),26093.85)</f>
        <v>26093.85</v>
      </c>
      <c r="F20" s="1">
        <f>IFERROR(__xludf.DUMMYFUNCTION("""COMPUTED_VALUE"""),984815.0)</f>
        <v>984815</v>
      </c>
    </row>
    <row r="21">
      <c r="A21" s="2">
        <f>IFERROR(__xludf.DUMMYFUNCTION("""COMPUTED_VALUE"""),44216.64583333333)</f>
        <v>44216.64583</v>
      </c>
      <c r="B21" s="1">
        <f>IFERROR(__xludf.DUMMYFUNCTION("""COMPUTED_VALUE"""),25372.19)</f>
        <v>25372.19</v>
      </c>
      <c r="C21" s="1">
        <f>IFERROR(__xludf.DUMMYFUNCTION("""COMPUTED_VALUE"""),26435.69)</f>
        <v>26435.69</v>
      </c>
      <c r="D21" s="1">
        <f>IFERROR(__xludf.DUMMYFUNCTION("""COMPUTED_VALUE"""),24840.44)</f>
        <v>24840.44</v>
      </c>
      <c r="E21" s="1">
        <f>IFERROR(__xludf.DUMMYFUNCTION("""COMPUTED_VALUE"""),25410.17)</f>
        <v>25410.17</v>
      </c>
      <c r="F21" s="1">
        <f>IFERROR(__xludf.DUMMYFUNCTION("""COMPUTED_VALUE"""),864079.0)</f>
        <v>864079</v>
      </c>
    </row>
    <row r="22">
      <c r="A22" s="2">
        <f>IFERROR(__xludf.DUMMYFUNCTION("""COMPUTED_VALUE"""),44217.64583333333)</f>
        <v>44217.64583</v>
      </c>
      <c r="B22" s="1">
        <f>IFERROR(__xludf.DUMMYFUNCTION("""COMPUTED_VALUE"""),25068.33)</f>
        <v>25068.33</v>
      </c>
      <c r="C22" s="1">
        <f>IFERROR(__xludf.DUMMYFUNCTION("""COMPUTED_VALUE"""),25827.98)</f>
        <v>25827.98</v>
      </c>
      <c r="D22" s="1">
        <f>IFERROR(__xludf.DUMMYFUNCTION("""COMPUTED_VALUE"""),24118.77)</f>
        <v>24118.77</v>
      </c>
      <c r="E22" s="1">
        <f>IFERROR(__xludf.DUMMYFUNCTION("""COMPUTED_VALUE"""),24954.38)</f>
        <v>24954.38</v>
      </c>
      <c r="F22" s="1">
        <f>IFERROR(__xludf.DUMMYFUNCTION("""COMPUTED_VALUE"""),2355579.0)</f>
        <v>2355579</v>
      </c>
    </row>
    <row r="23">
      <c r="A23" s="2">
        <f>IFERROR(__xludf.DUMMYFUNCTION("""COMPUTED_VALUE"""),44218.64583333333)</f>
        <v>44218.64583</v>
      </c>
      <c r="B23" s="1">
        <f>IFERROR(__xludf.DUMMYFUNCTION("""COMPUTED_VALUE"""),25296.22)</f>
        <v>25296.22</v>
      </c>
      <c r="C23" s="1">
        <f>IFERROR(__xludf.DUMMYFUNCTION("""COMPUTED_VALUE"""),26739.55)</f>
        <v>26739.55</v>
      </c>
      <c r="D23" s="1">
        <f>IFERROR(__xludf.DUMMYFUNCTION("""COMPUTED_VALUE"""),24878.42)</f>
        <v>24878.42</v>
      </c>
      <c r="E23" s="1">
        <f>IFERROR(__xludf.DUMMYFUNCTION("""COMPUTED_VALUE"""),25903.94)</f>
        <v>25903.94</v>
      </c>
      <c r="F23" s="1">
        <f>IFERROR(__xludf.DUMMYFUNCTION("""COMPUTED_VALUE"""),1497792.0)</f>
        <v>1497792</v>
      </c>
    </row>
    <row r="24">
      <c r="A24" s="2">
        <f>IFERROR(__xludf.DUMMYFUNCTION("""COMPUTED_VALUE"""),44221.64583333333)</f>
        <v>44221.64583</v>
      </c>
      <c r="B24" s="1">
        <f>IFERROR(__xludf.DUMMYFUNCTION("""COMPUTED_VALUE"""),25827.98)</f>
        <v>25827.98</v>
      </c>
      <c r="C24" s="1">
        <f>IFERROR(__xludf.DUMMYFUNCTION("""COMPUTED_VALUE"""),26397.71)</f>
        <v>26397.71</v>
      </c>
      <c r="D24" s="1">
        <f>IFERROR(__xludf.DUMMYFUNCTION("""COMPUTED_VALUE"""),24954.38)</f>
        <v>24954.38</v>
      </c>
      <c r="E24" s="1">
        <f>IFERROR(__xludf.DUMMYFUNCTION("""COMPUTED_VALUE"""),25638.06)</f>
        <v>25638.06</v>
      </c>
      <c r="F24" s="1">
        <f>IFERROR(__xludf.DUMMYFUNCTION("""COMPUTED_VALUE"""),1191312.0)</f>
        <v>1191312</v>
      </c>
    </row>
    <row r="25">
      <c r="A25" s="2">
        <f>IFERROR(__xludf.DUMMYFUNCTION("""COMPUTED_VALUE"""),44222.64583333333)</f>
        <v>44222.64583</v>
      </c>
      <c r="B25" s="1">
        <f>IFERROR(__xludf.DUMMYFUNCTION("""COMPUTED_VALUE"""),26739.55)</f>
        <v>26739.55</v>
      </c>
      <c r="C25" s="1">
        <f>IFERROR(__xludf.DUMMYFUNCTION("""COMPUTED_VALUE"""),27917.0)</f>
        <v>27917</v>
      </c>
      <c r="D25" s="1">
        <f>IFERROR(__xludf.DUMMYFUNCTION("""COMPUTED_VALUE"""),25865.96)</f>
        <v>25865.96</v>
      </c>
      <c r="E25" s="1">
        <f>IFERROR(__xludf.DUMMYFUNCTION("""COMPUTED_VALUE"""),25941.92)</f>
        <v>25941.92</v>
      </c>
      <c r="F25" s="1">
        <f>IFERROR(__xludf.DUMMYFUNCTION("""COMPUTED_VALUE"""),2102694.0)</f>
        <v>2102694</v>
      </c>
    </row>
    <row r="26">
      <c r="A26" s="2">
        <f>IFERROR(__xludf.DUMMYFUNCTION("""COMPUTED_VALUE"""),44223.64583333333)</f>
        <v>44223.64583</v>
      </c>
      <c r="B26" s="1">
        <f>IFERROR(__xludf.DUMMYFUNCTION("""COMPUTED_VALUE"""),25600.08)</f>
        <v>25600.08</v>
      </c>
      <c r="C26" s="1">
        <f>IFERROR(__xludf.DUMMYFUNCTION("""COMPUTED_VALUE"""),25865.96)</f>
        <v>25865.96</v>
      </c>
      <c r="D26" s="1">
        <f>IFERROR(__xludf.DUMMYFUNCTION("""COMPUTED_VALUE"""),24878.42)</f>
        <v>24878.42</v>
      </c>
      <c r="E26" s="1">
        <f>IFERROR(__xludf.DUMMYFUNCTION("""COMPUTED_VALUE"""),24878.42)</f>
        <v>24878.42</v>
      </c>
      <c r="F26" s="1">
        <f>IFERROR(__xludf.DUMMYFUNCTION("""COMPUTED_VALUE"""),760193.0)</f>
        <v>760193</v>
      </c>
    </row>
    <row r="27">
      <c r="A27" s="2">
        <f>IFERROR(__xludf.DUMMYFUNCTION("""COMPUTED_VALUE"""),44224.64583333333)</f>
        <v>44224.64583</v>
      </c>
      <c r="B27" s="1">
        <f>IFERROR(__xludf.DUMMYFUNCTION("""COMPUTED_VALUE"""),23814.91)</f>
        <v>23814.91</v>
      </c>
      <c r="C27" s="1">
        <f>IFERROR(__xludf.DUMMYFUNCTION("""COMPUTED_VALUE"""),24156.75)</f>
        <v>24156.75</v>
      </c>
      <c r="D27" s="1">
        <f>IFERROR(__xludf.DUMMYFUNCTION("""COMPUTED_VALUE"""),23055.27)</f>
        <v>23055.27</v>
      </c>
      <c r="E27" s="1">
        <f>IFERROR(__xludf.DUMMYFUNCTION("""COMPUTED_VALUE"""),23055.27)</f>
        <v>23055.27</v>
      </c>
      <c r="F27" s="1">
        <f>IFERROR(__xludf.DUMMYFUNCTION("""COMPUTED_VALUE"""),689011.0)</f>
        <v>689011</v>
      </c>
    </row>
    <row r="28">
      <c r="A28" s="2">
        <f>IFERROR(__xludf.DUMMYFUNCTION("""COMPUTED_VALUE"""),44225.64583333333)</f>
        <v>44225.64583</v>
      </c>
      <c r="B28" s="1">
        <f>IFERROR(__xludf.DUMMYFUNCTION("""COMPUTED_VALUE"""),23169.21)</f>
        <v>23169.21</v>
      </c>
      <c r="C28" s="1">
        <f>IFERROR(__xludf.DUMMYFUNCTION("""COMPUTED_VALUE"""),23473.07)</f>
        <v>23473.07</v>
      </c>
      <c r="D28" s="1">
        <f>IFERROR(__xludf.DUMMYFUNCTION("""COMPUTED_VALUE"""),20510.45)</f>
        <v>20510.45</v>
      </c>
      <c r="E28" s="1">
        <f>IFERROR(__xludf.DUMMYFUNCTION("""COMPUTED_VALUE"""),20890.27)</f>
        <v>20890.27</v>
      </c>
      <c r="F28" s="1">
        <f>IFERROR(__xludf.DUMMYFUNCTION("""COMPUTED_VALUE"""),885526.0)</f>
        <v>885526</v>
      </c>
    </row>
    <row r="29">
      <c r="A29" s="2">
        <f>IFERROR(__xludf.DUMMYFUNCTION("""COMPUTED_VALUE"""),44228.64583333333)</f>
        <v>44228.64583</v>
      </c>
      <c r="B29" s="1">
        <f>IFERROR(__xludf.DUMMYFUNCTION("""COMPUTED_VALUE"""),20738.34)</f>
        <v>20738.34</v>
      </c>
      <c r="C29" s="1">
        <f>IFERROR(__xludf.DUMMYFUNCTION("""COMPUTED_VALUE"""),21801.85)</f>
        <v>21801.85</v>
      </c>
      <c r="D29" s="1">
        <f>IFERROR(__xludf.DUMMYFUNCTION("""COMPUTED_VALUE"""),20130.63)</f>
        <v>20130.63</v>
      </c>
      <c r="E29" s="1">
        <f>IFERROR(__xludf.DUMMYFUNCTION("""COMPUTED_VALUE"""),21573.96)</f>
        <v>21573.96</v>
      </c>
      <c r="F29" s="1">
        <f>IFERROR(__xludf.DUMMYFUNCTION("""COMPUTED_VALUE"""),414327.0)</f>
        <v>414327</v>
      </c>
    </row>
    <row r="30">
      <c r="A30" s="2">
        <f>IFERROR(__xludf.DUMMYFUNCTION("""COMPUTED_VALUE"""),44229.64583333333)</f>
        <v>44229.64583</v>
      </c>
      <c r="B30" s="1">
        <f>IFERROR(__xludf.DUMMYFUNCTION("""COMPUTED_VALUE"""),21839.83)</f>
        <v>21839.83</v>
      </c>
      <c r="C30" s="1">
        <f>IFERROR(__xludf.DUMMYFUNCTION("""COMPUTED_VALUE"""),22409.57)</f>
        <v>22409.57</v>
      </c>
      <c r="D30" s="1">
        <f>IFERROR(__xludf.DUMMYFUNCTION("""COMPUTED_VALUE"""),21270.1)</f>
        <v>21270.1</v>
      </c>
      <c r="E30" s="1">
        <f>IFERROR(__xludf.DUMMYFUNCTION("""COMPUTED_VALUE"""),22029.74)</f>
        <v>22029.74</v>
      </c>
      <c r="F30" s="1">
        <f>IFERROR(__xludf.DUMMYFUNCTION("""COMPUTED_VALUE"""),337628.0)</f>
        <v>337628</v>
      </c>
    </row>
    <row r="31">
      <c r="A31" s="2">
        <f>IFERROR(__xludf.DUMMYFUNCTION("""COMPUTED_VALUE"""),44230.64583333333)</f>
        <v>44230.64583</v>
      </c>
      <c r="B31" s="1">
        <f>IFERROR(__xludf.DUMMYFUNCTION("""COMPUTED_VALUE"""),22143.69)</f>
        <v>22143.69</v>
      </c>
      <c r="C31" s="1">
        <f>IFERROR(__xludf.DUMMYFUNCTION("""COMPUTED_VALUE"""),24308.68)</f>
        <v>24308.68</v>
      </c>
      <c r="D31" s="1">
        <f>IFERROR(__xludf.DUMMYFUNCTION("""COMPUTED_VALUE"""),21915.8)</f>
        <v>21915.8</v>
      </c>
      <c r="E31" s="1">
        <f>IFERROR(__xludf.DUMMYFUNCTION("""COMPUTED_VALUE"""),22979.3)</f>
        <v>22979.3</v>
      </c>
      <c r="F31" s="1">
        <f>IFERROR(__xludf.DUMMYFUNCTION("""COMPUTED_VALUE"""),1163092.0)</f>
        <v>1163092</v>
      </c>
    </row>
    <row r="32">
      <c r="A32" s="2">
        <f>IFERROR(__xludf.DUMMYFUNCTION("""COMPUTED_VALUE"""),44231.64583333333)</f>
        <v>44231.64583</v>
      </c>
      <c r="B32" s="1">
        <f>IFERROR(__xludf.DUMMYFUNCTION("""COMPUTED_VALUE"""),23017.28)</f>
        <v>23017.28</v>
      </c>
      <c r="C32" s="1">
        <f>IFERROR(__xludf.DUMMYFUNCTION("""COMPUTED_VALUE"""),23055.27)</f>
        <v>23055.27</v>
      </c>
      <c r="D32" s="1">
        <f>IFERROR(__xludf.DUMMYFUNCTION("""COMPUTED_VALUE"""),21915.8)</f>
        <v>21915.8</v>
      </c>
      <c r="E32" s="1">
        <f>IFERROR(__xludf.DUMMYFUNCTION("""COMPUTED_VALUE"""),22105.71)</f>
        <v>22105.71</v>
      </c>
      <c r="F32" s="1">
        <f>IFERROR(__xludf.DUMMYFUNCTION("""COMPUTED_VALUE"""),317449.0)</f>
        <v>317449</v>
      </c>
    </row>
    <row r="33">
      <c r="A33" s="2">
        <f>IFERROR(__xludf.DUMMYFUNCTION("""COMPUTED_VALUE"""),44232.64583333333)</f>
        <v>44232.64583</v>
      </c>
      <c r="B33" s="1">
        <f>IFERROR(__xludf.DUMMYFUNCTION("""COMPUTED_VALUE"""),22105.71)</f>
        <v>22105.71</v>
      </c>
      <c r="C33" s="1">
        <f>IFERROR(__xludf.DUMMYFUNCTION("""COMPUTED_VALUE"""),22941.32)</f>
        <v>22941.32</v>
      </c>
      <c r="D33" s="1">
        <f>IFERROR(__xludf.DUMMYFUNCTION("""COMPUTED_VALUE"""),21763.87)</f>
        <v>21763.87</v>
      </c>
      <c r="E33" s="1">
        <f>IFERROR(__xludf.DUMMYFUNCTION("""COMPUTED_VALUE"""),21877.81)</f>
        <v>21877.81</v>
      </c>
      <c r="F33" s="1">
        <f>IFERROR(__xludf.DUMMYFUNCTION("""COMPUTED_VALUE"""),300135.0)</f>
        <v>300135</v>
      </c>
    </row>
    <row r="34">
      <c r="A34" s="2">
        <f>IFERROR(__xludf.DUMMYFUNCTION("""COMPUTED_VALUE"""),44235.64583333333)</f>
        <v>44235.64583</v>
      </c>
      <c r="B34" s="1">
        <f>IFERROR(__xludf.DUMMYFUNCTION("""COMPUTED_VALUE"""),21877.81)</f>
        <v>21877.81</v>
      </c>
      <c r="C34" s="1">
        <f>IFERROR(__xludf.DUMMYFUNCTION("""COMPUTED_VALUE"""),22067.73)</f>
        <v>22067.73</v>
      </c>
      <c r="D34" s="1">
        <f>IFERROR(__xludf.DUMMYFUNCTION("""COMPUTED_VALUE"""),20852.29)</f>
        <v>20852.29</v>
      </c>
      <c r="E34" s="1">
        <f>IFERROR(__xludf.DUMMYFUNCTION("""COMPUTED_VALUE"""),21042.2)</f>
        <v>21042.2</v>
      </c>
      <c r="F34" s="1">
        <f>IFERROR(__xludf.DUMMYFUNCTION("""COMPUTED_VALUE"""),321572.0)</f>
        <v>321572</v>
      </c>
    </row>
    <row r="35">
      <c r="A35" s="2">
        <f>IFERROR(__xludf.DUMMYFUNCTION("""COMPUTED_VALUE"""),44236.64583333333)</f>
        <v>44236.64583</v>
      </c>
      <c r="B35" s="1">
        <f>IFERROR(__xludf.DUMMYFUNCTION("""COMPUTED_VALUE"""),21232.12)</f>
        <v>21232.12</v>
      </c>
      <c r="C35" s="1">
        <f>IFERROR(__xludf.DUMMYFUNCTION("""COMPUTED_VALUE"""),21460.01)</f>
        <v>21460.01</v>
      </c>
      <c r="D35" s="1">
        <f>IFERROR(__xludf.DUMMYFUNCTION("""COMPUTED_VALUE"""),20624.4)</f>
        <v>20624.4</v>
      </c>
      <c r="E35" s="1">
        <f>IFERROR(__xludf.DUMMYFUNCTION("""COMPUTED_VALUE"""),20738.34)</f>
        <v>20738.34</v>
      </c>
      <c r="F35" s="1">
        <f>IFERROR(__xludf.DUMMYFUNCTION("""COMPUTED_VALUE"""),240685.0)</f>
        <v>240685</v>
      </c>
    </row>
    <row r="36">
      <c r="A36" s="2">
        <f>IFERROR(__xludf.DUMMYFUNCTION("""COMPUTED_VALUE"""),44237.64583333333)</f>
        <v>44237.64583</v>
      </c>
      <c r="B36" s="1">
        <f>IFERROR(__xludf.DUMMYFUNCTION("""COMPUTED_VALUE"""),20738.34)</f>
        <v>20738.34</v>
      </c>
      <c r="C36" s="1">
        <f>IFERROR(__xludf.DUMMYFUNCTION("""COMPUTED_VALUE"""),23928.86)</f>
        <v>23928.86</v>
      </c>
      <c r="D36" s="1">
        <f>IFERROR(__xludf.DUMMYFUNCTION("""COMPUTED_VALUE"""),20320.54)</f>
        <v>20320.54</v>
      </c>
      <c r="E36" s="1">
        <f>IFERROR(__xludf.DUMMYFUNCTION("""COMPUTED_VALUE"""),22789.39)</f>
        <v>22789.39</v>
      </c>
      <c r="F36" s="1">
        <f>IFERROR(__xludf.DUMMYFUNCTION("""COMPUTED_VALUE"""),2813235.0)</f>
        <v>2813235</v>
      </c>
    </row>
    <row r="37">
      <c r="A37" s="2">
        <f>IFERROR(__xludf.DUMMYFUNCTION("""COMPUTED_VALUE"""),44242.64583333333)</f>
        <v>44242.64583</v>
      </c>
      <c r="B37" s="1">
        <f>IFERROR(__xludf.DUMMYFUNCTION("""COMPUTED_VALUE"""),23890.88)</f>
        <v>23890.88</v>
      </c>
      <c r="C37" s="1">
        <f>IFERROR(__xludf.DUMMYFUNCTION("""COMPUTED_VALUE"""),27651.13)</f>
        <v>27651.13</v>
      </c>
      <c r="D37" s="1">
        <f>IFERROR(__xludf.DUMMYFUNCTION("""COMPUTED_VALUE"""),23397.11)</f>
        <v>23397.11</v>
      </c>
      <c r="E37" s="1">
        <f>IFERROR(__xludf.DUMMYFUNCTION("""COMPUTED_VALUE"""),25410.17)</f>
        <v>25410.17</v>
      </c>
      <c r="F37" s="1">
        <f>IFERROR(__xludf.DUMMYFUNCTION("""COMPUTED_VALUE"""),3681325.0)</f>
        <v>3681325</v>
      </c>
    </row>
    <row r="38">
      <c r="A38" s="2">
        <f>IFERROR(__xludf.DUMMYFUNCTION("""COMPUTED_VALUE"""),44243.64583333333)</f>
        <v>44243.64583</v>
      </c>
      <c r="B38" s="1">
        <f>IFERROR(__xludf.DUMMYFUNCTION("""COMPUTED_VALUE"""),26093.85)</f>
        <v>26093.85</v>
      </c>
      <c r="C38" s="1">
        <f>IFERROR(__xludf.DUMMYFUNCTION("""COMPUTED_VALUE"""),27385.25)</f>
        <v>27385.25</v>
      </c>
      <c r="D38" s="1">
        <f>IFERROR(__xludf.DUMMYFUNCTION("""COMPUTED_VALUE"""),25714.03)</f>
        <v>25714.03</v>
      </c>
      <c r="E38" s="1">
        <f>IFERROR(__xludf.DUMMYFUNCTION("""COMPUTED_VALUE"""),26245.78)</f>
        <v>26245.78</v>
      </c>
      <c r="F38" s="1">
        <f>IFERROR(__xludf.DUMMYFUNCTION("""COMPUTED_VALUE"""),1954082.0)</f>
        <v>1954082</v>
      </c>
    </row>
    <row r="39">
      <c r="A39" s="2">
        <f>IFERROR(__xludf.DUMMYFUNCTION("""COMPUTED_VALUE"""),44244.64583333333)</f>
        <v>44244.64583</v>
      </c>
      <c r="B39" s="1">
        <f>IFERROR(__xludf.DUMMYFUNCTION("""COMPUTED_VALUE"""),26587.62)</f>
        <v>26587.62</v>
      </c>
      <c r="C39" s="1">
        <f>IFERROR(__xludf.DUMMYFUNCTION("""COMPUTED_VALUE"""),26625.6)</f>
        <v>26625.6</v>
      </c>
      <c r="D39" s="1">
        <f>IFERROR(__xludf.DUMMYFUNCTION("""COMPUTED_VALUE"""),24422.63)</f>
        <v>24422.63</v>
      </c>
      <c r="E39" s="1">
        <f>IFERROR(__xludf.DUMMYFUNCTION("""COMPUTED_VALUE"""),25448.15)</f>
        <v>25448.15</v>
      </c>
      <c r="F39" s="1">
        <f>IFERROR(__xludf.DUMMYFUNCTION("""COMPUTED_VALUE"""),1089015.0)</f>
        <v>1089015</v>
      </c>
    </row>
    <row r="40">
      <c r="A40" s="2">
        <f>IFERROR(__xludf.DUMMYFUNCTION("""COMPUTED_VALUE"""),44245.64583333333)</f>
        <v>44245.64583</v>
      </c>
      <c r="B40" s="1">
        <f>IFERROR(__xludf.DUMMYFUNCTION("""COMPUTED_VALUE"""),25827.98)</f>
        <v>25827.98</v>
      </c>
      <c r="C40" s="1">
        <f>IFERROR(__xludf.DUMMYFUNCTION("""COMPUTED_VALUE"""),27347.27)</f>
        <v>27347.27</v>
      </c>
      <c r="D40" s="1">
        <f>IFERROR(__xludf.DUMMYFUNCTION("""COMPUTED_VALUE"""),25789.99)</f>
        <v>25789.99</v>
      </c>
      <c r="E40" s="1">
        <f>IFERROR(__xludf.DUMMYFUNCTION("""COMPUTED_VALUE"""),25941.92)</f>
        <v>25941.92</v>
      </c>
      <c r="F40" s="1">
        <f>IFERROR(__xludf.DUMMYFUNCTION("""COMPUTED_VALUE"""),1773174.0)</f>
        <v>1773174</v>
      </c>
    </row>
    <row r="41">
      <c r="A41" s="2">
        <f>IFERROR(__xludf.DUMMYFUNCTION("""COMPUTED_VALUE"""),44246.64583333333)</f>
        <v>44246.64583</v>
      </c>
      <c r="B41" s="1">
        <f>IFERROR(__xludf.DUMMYFUNCTION("""COMPUTED_VALUE"""),25827.98)</f>
        <v>25827.98</v>
      </c>
      <c r="C41" s="1">
        <f>IFERROR(__xludf.DUMMYFUNCTION("""COMPUTED_VALUE"""),26701.57)</f>
        <v>26701.57</v>
      </c>
      <c r="D41" s="1">
        <f>IFERROR(__xludf.DUMMYFUNCTION("""COMPUTED_VALUE"""),23890.88)</f>
        <v>23890.88</v>
      </c>
      <c r="E41" s="1">
        <f>IFERROR(__xludf.DUMMYFUNCTION("""COMPUTED_VALUE"""),25752.01)</f>
        <v>25752.01</v>
      </c>
      <c r="F41" s="1">
        <f>IFERROR(__xludf.DUMMYFUNCTION("""COMPUTED_VALUE"""),1108897.0)</f>
        <v>1108897</v>
      </c>
    </row>
    <row r="42">
      <c r="A42" s="2">
        <f>IFERROR(__xludf.DUMMYFUNCTION("""COMPUTED_VALUE"""),44249.64583333333)</f>
        <v>44249.64583</v>
      </c>
      <c r="B42" s="1">
        <f>IFERROR(__xludf.DUMMYFUNCTION("""COMPUTED_VALUE"""),26131.83)</f>
        <v>26131.83</v>
      </c>
      <c r="C42" s="1">
        <f>IFERROR(__xludf.DUMMYFUNCTION("""COMPUTED_VALUE"""),28372.79)</f>
        <v>28372.79</v>
      </c>
      <c r="D42" s="1">
        <f>IFERROR(__xludf.DUMMYFUNCTION("""COMPUTED_VALUE"""),25068.33)</f>
        <v>25068.33</v>
      </c>
      <c r="E42" s="1">
        <f>IFERROR(__xludf.DUMMYFUNCTION("""COMPUTED_VALUE"""),28372.79)</f>
        <v>28372.79</v>
      </c>
      <c r="F42" s="1">
        <f>IFERROR(__xludf.DUMMYFUNCTION("""COMPUTED_VALUE"""),3362843.0)</f>
        <v>3362843</v>
      </c>
    </row>
    <row r="43">
      <c r="A43" s="2">
        <f>IFERROR(__xludf.DUMMYFUNCTION("""COMPUTED_VALUE"""),44250.64583333333)</f>
        <v>44250.64583</v>
      </c>
      <c r="B43" s="1">
        <f>IFERROR(__xludf.DUMMYFUNCTION("""COMPUTED_VALUE"""),27157.36)</f>
        <v>27157.36</v>
      </c>
      <c r="C43" s="1">
        <f>IFERROR(__xludf.DUMMYFUNCTION("""COMPUTED_VALUE"""),27803.06)</f>
        <v>27803.06</v>
      </c>
      <c r="D43" s="1">
        <f>IFERROR(__xludf.DUMMYFUNCTION("""COMPUTED_VALUE"""),26435.69)</f>
        <v>26435.69</v>
      </c>
      <c r="E43" s="1">
        <f>IFERROR(__xludf.DUMMYFUNCTION("""COMPUTED_VALUE"""),27423.23)</f>
        <v>27423.23</v>
      </c>
      <c r="F43" s="1">
        <f>IFERROR(__xludf.DUMMYFUNCTION("""COMPUTED_VALUE"""),1205048.0)</f>
        <v>1205048</v>
      </c>
    </row>
    <row r="44">
      <c r="A44" s="2">
        <f>IFERROR(__xludf.DUMMYFUNCTION("""COMPUTED_VALUE"""),44251.64583333333)</f>
        <v>44251.64583</v>
      </c>
      <c r="B44" s="1">
        <f>IFERROR(__xludf.DUMMYFUNCTION("""COMPUTED_VALUE"""),27423.23)</f>
        <v>27423.23</v>
      </c>
      <c r="C44" s="1">
        <f>IFERROR(__xludf.DUMMYFUNCTION("""COMPUTED_VALUE"""),27499.2)</f>
        <v>27499.2</v>
      </c>
      <c r="D44" s="1">
        <f>IFERROR(__xludf.DUMMYFUNCTION("""COMPUTED_VALUE"""),24612.54)</f>
        <v>24612.54</v>
      </c>
      <c r="E44" s="1">
        <f>IFERROR(__xludf.DUMMYFUNCTION("""COMPUTED_VALUE"""),24612.54)</f>
        <v>24612.54</v>
      </c>
      <c r="F44" s="1">
        <f>IFERROR(__xludf.DUMMYFUNCTION("""COMPUTED_VALUE"""),1293036.0)</f>
        <v>1293036</v>
      </c>
    </row>
    <row r="45">
      <c r="A45" s="2">
        <f>IFERROR(__xludf.DUMMYFUNCTION("""COMPUTED_VALUE"""),44252.64583333333)</f>
        <v>44252.64583</v>
      </c>
      <c r="B45" s="1">
        <f>IFERROR(__xludf.DUMMYFUNCTION("""COMPUTED_VALUE"""),25410.17)</f>
        <v>25410.17</v>
      </c>
      <c r="C45" s="1">
        <f>IFERROR(__xludf.DUMMYFUNCTION("""COMPUTED_VALUE"""),25827.98)</f>
        <v>25827.98</v>
      </c>
      <c r="D45" s="1">
        <f>IFERROR(__xludf.DUMMYFUNCTION("""COMPUTED_VALUE"""),23928.86)</f>
        <v>23928.86</v>
      </c>
      <c r="E45" s="1">
        <f>IFERROR(__xludf.DUMMYFUNCTION("""COMPUTED_VALUE"""),25486.13)</f>
        <v>25486.13</v>
      </c>
      <c r="F45" s="1">
        <f>IFERROR(__xludf.DUMMYFUNCTION("""COMPUTED_VALUE"""),756998.0)</f>
        <v>756998</v>
      </c>
    </row>
    <row r="46">
      <c r="A46" s="2">
        <f>IFERROR(__xludf.DUMMYFUNCTION("""COMPUTED_VALUE"""),44253.64583333333)</f>
        <v>44253.64583</v>
      </c>
      <c r="B46" s="1">
        <f>IFERROR(__xludf.DUMMYFUNCTION("""COMPUTED_VALUE"""),25068.33)</f>
        <v>25068.33</v>
      </c>
      <c r="C46" s="1">
        <f>IFERROR(__xludf.DUMMYFUNCTION("""COMPUTED_VALUE"""),25372.19)</f>
        <v>25372.19</v>
      </c>
      <c r="D46" s="1">
        <f>IFERROR(__xludf.DUMMYFUNCTION("""COMPUTED_VALUE"""),24308.68)</f>
        <v>24308.68</v>
      </c>
      <c r="E46" s="1">
        <f>IFERROR(__xludf.DUMMYFUNCTION("""COMPUTED_VALUE"""),24878.42)</f>
        <v>24878.42</v>
      </c>
      <c r="F46" s="1">
        <f>IFERROR(__xludf.DUMMYFUNCTION("""COMPUTED_VALUE"""),575118.0)</f>
        <v>575118</v>
      </c>
    </row>
    <row r="47">
      <c r="A47" s="2">
        <f>IFERROR(__xludf.DUMMYFUNCTION("""COMPUTED_VALUE"""),44257.64583333333)</f>
        <v>44257.64583</v>
      </c>
      <c r="B47" s="1">
        <f>IFERROR(__xludf.DUMMYFUNCTION("""COMPUTED_VALUE"""),25714.03)</f>
        <v>25714.03</v>
      </c>
      <c r="C47" s="1">
        <f>IFERROR(__xludf.DUMMYFUNCTION("""COMPUTED_VALUE"""),25714.03)</f>
        <v>25714.03</v>
      </c>
      <c r="D47" s="1">
        <f>IFERROR(__xludf.DUMMYFUNCTION("""COMPUTED_VALUE"""),24726.49)</f>
        <v>24726.49</v>
      </c>
      <c r="E47" s="1">
        <f>IFERROR(__xludf.DUMMYFUNCTION("""COMPUTED_VALUE"""),24954.38)</f>
        <v>24954.38</v>
      </c>
      <c r="F47" s="1">
        <f>IFERROR(__xludf.DUMMYFUNCTION("""COMPUTED_VALUE"""),579275.0)</f>
        <v>579275</v>
      </c>
    </row>
    <row r="48">
      <c r="A48" s="2">
        <f>IFERROR(__xludf.DUMMYFUNCTION("""COMPUTED_VALUE"""),44258.64583333333)</f>
        <v>44258.64583</v>
      </c>
      <c r="B48" s="1">
        <f>IFERROR(__xludf.DUMMYFUNCTION("""COMPUTED_VALUE"""),24764.47)</f>
        <v>24764.47</v>
      </c>
      <c r="C48" s="1">
        <f>IFERROR(__xludf.DUMMYFUNCTION("""COMPUTED_VALUE"""),29664.19)</f>
        <v>29664.19</v>
      </c>
      <c r="D48" s="1">
        <f>IFERROR(__xludf.DUMMYFUNCTION("""COMPUTED_VALUE"""),24422.63)</f>
        <v>24422.63</v>
      </c>
      <c r="E48" s="1">
        <f>IFERROR(__xludf.DUMMYFUNCTION("""COMPUTED_VALUE"""),28714.63)</f>
        <v>28714.63</v>
      </c>
      <c r="F48" s="1">
        <f>IFERROR(__xludf.DUMMYFUNCTION("""COMPUTED_VALUE"""),7984125.0)</f>
        <v>7984125</v>
      </c>
    </row>
    <row r="49">
      <c r="A49" s="2">
        <f>IFERROR(__xludf.DUMMYFUNCTION("""COMPUTED_VALUE"""),44259.64583333333)</f>
        <v>44259.64583</v>
      </c>
      <c r="B49" s="1">
        <f>IFERROR(__xludf.DUMMYFUNCTION("""COMPUTED_VALUE"""),28106.91)</f>
        <v>28106.91</v>
      </c>
      <c r="C49" s="1">
        <f>IFERROR(__xludf.DUMMYFUNCTION("""COMPUTED_VALUE"""),30081.99)</f>
        <v>30081.99</v>
      </c>
      <c r="D49" s="1">
        <f>IFERROR(__xludf.DUMMYFUNCTION("""COMPUTED_VALUE"""),27651.13)</f>
        <v>27651.13</v>
      </c>
      <c r="E49" s="1">
        <f>IFERROR(__xludf.DUMMYFUNCTION("""COMPUTED_VALUE"""),29512.26)</f>
        <v>29512.26</v>
      </c>
      <c r="F49" s="1">
        <f>IFERROR(__xludf.DUMMYFUNCTION("""COMPUTED_VALUE"""),4110032.0)</f>
        <v>4110032</v>
      </c>
    </row>
    <row r="50">
      <c r="A50" s="2">
        <f>IFERROR(__xludf.DUMMYFUNCTION("""COMPUTED_VALUE"""),44260.64583333333)</f>
        <v>44260.64583</v>
      </c>
      <c r="B50" s="1">
        <f>IFERROR(__xludf.DUMMYFUNCTION("""COMPUTED_VALUE"""),28752.61)</f>
        <v>28752.61</v>
      </c>
      <c r="C50" s="1">
        <f>IFERROR(__xludf.DUMMYFUNCTION("""COMPUTED_VALUE"""),30119.98)</f>
        <v>30119.98</v>
      </c>
      <c r="D50" s="1">
        <f>IFERROR(__xludf.DUMMYFUNCTION("""COMPUTED_VALUE"""),28410.77)</f>
        <v>28410.77</v>
      </c>
      <c r="E50" s="1">
        <f>IFERROR(__xludf.DUMMYFUNCTION("""COMPUTED_VALUE"""),28638.67)</f>
        <v>28638.67</v>
      </c>
      <c r="F50" s="1">
        <f>IFERROR(__xludf.DUMMYFUNCTION("""COMPUTED_VALUE"""),1986760.0)</f>
        <v>1986760</v>
      </c>
    </row>
    <row r="51">
      <c r="A51" s="2">
        <f>IFERROR(__xludf.DUMMYFUNCTION("""COMPUTED_VALUE"""),44263.64583333333)</f>
        <v>44263.64583</v>
      </c>
      <c r="B51" s="1">
        <f>IFERROR(__xludf.DUMMYFUNCTION("""COMPUTED_VALUE"""),29246.38)</f>
        <v>29246.38</v>
      </c>
      <c r="C51" s="1">
        <f>IFERROR(__xludf.DUMMYFUNCTION("""COMPUTED_VALUE"""),30423.84)</f>
        <v>30423.84</v>
      </c>
      <c r="D51" s="1">
        <f>IFERROR(__xludf.DUMMYFUNCTION("""COMPUTED_VALUE"""),28638.67)</f>
        <v>28638.67</v>
      </c>
      <c r="E51" s="1">
        <f>IFERROR(__xludf.DUMMYFUNCTION("""COMPUTED_VALUE"""),29626.21)</f>
        <v>29626.21</v>
      </c>
      <c r="F51" s="1">
        <f>IFERROR(__xludf.DUMMYFUNCTION("""COMPUTED_VALUE"""),2456493.0)</f>
        <v>2456493</v>
      </c>
    </row>
    <row r="52">
      <c r="A52" s="2">
        <f>IFERROR(__xludf.DUMMYFUNCTION("""COMPUTED_VALUE"""),44264.64583333333)</f>
        <v>44264.64583</v>
      </c>
      <c r="B52" s="1">
        <f>IFERROR(__xludf.DUMMYFUNCTION("""COMPUTED_VALUE"""),29474.28)</f>
        <v>29474.28</v>
      </c>
      <c r="C52" s="1">
        <f>IFERROR(__xludf.DUMMYFUNCTION("""COMPUTED_VALUE"""),29740.15)</f>
        <v>29740.15</v>
      </c>
      <c r="D52" s="1">
        <f>IFERROR(__xludf.DUMMYFUNCTION("""COMPUTED_VALUE"""),26967.44)</f>
        <v>26967.44</v>
      </c>
      <c r="E52" s="1">
        <f>IFERROR(__xludf.DUMMYFUNCTION("""COMPUTED_VALUE"""),27917.0)</f>
        <v>27917</v>
      </c>
      <c r="F52" s="1">
        <f>IFERROR(__xludf.DUMMYFUNCTION("""COMPUTED_VALUE"""),1345675.0)</f>
        <v>1345675</v>
      </c>
    </row>
    <row r="53">
      <c r="A53" s="2">
        <f>IFERROR(__xludf.DUMMYFUNCTION("""COMPUTED_VALUE"""),44265.64583333333)</f>
        <v>44265.64583</v>
      </c>
      <c r="B53" s="1">
        <f>IFERROR(__xludf.DUMMYFUNCTION("""COMPUTED_VALUE"""),28334.81)</f>
        <v>28334.81</v>
      </c>
      <c r="C53" s="1">
        <f>IFERROR(__xludf.DUMMYFUNCTION("""COMPUTED_VALUE"""),28600.68)</f>
        <v>28600.68</v>
      </c>
      <c r="D53" s="1">
        <f>IFERROR(__xludf.DUMMYFUNCTION("""COMPUTED_VALUE"""),26207.8)</f>
        <v>26207.8</v>
      </c>
      <c r="E53" s="1">
        <f>IFERROR(__xludf.DUMMYFUNCTION("""COMPUTED_VALUE"""),26207.8)</f>
        <v>26207.8</v>
      </c>
      <c r="F53" s="1">
        <f>IFERROR(__xludf.DUMMYFUNCTION("""COMPUTED_VALUE"""),947112.0)</f>
        <v>947112</v>
      </c>
    </row>
    <row r="54">
      <c r="A54" s="2">
        <f>IFERROR(__xludf.DUMMYFUNCTION("""COMPUTED_VALUE"""),44266.64583333333)</f>
        <v>44266.64583</v>
      </c>
      <c r="B54" s="1">
        <f>IFERROR(__xludf.DUMMYFUNCTION("""COMPUTED_VALUE"""),26549.64)</f>
        <v>26549.64</v>
      </c>
      <c r="C54" s="1">
        <f>IFERROR(__xludf.DUMMYFUNCTION("""COMPUTED_VALUE"""),27005.43)</f>
        <v>27005.43</v>
      </c>
      <c r="D54" s="1">
        <f>IFERROR(__xludf.DUMMYFUNCTION("""COMPUTED_VALUE"""),24840.44)</f>
        <v>24840.44</v>
      </c>
      <c r="E54" s="1">
        <f>IFERROR(__xludf.DUMMYFUNCTION("""COMPUTED_VALUE"""),25220.26)</f>
        <v>25220.26</v>
      </c>
      <c r="F54" s="1">
        <f>IFERROR(__xludf.DUMMYFUNCTION("""COMPUTED_VALUE"""),942321.0)</f>
        <v>942321</v>
      </c>
    </row>
    <row r="55">
      <c r="A55" s="2">
        <f>IFERROR(__xludf.DUMMYFUNCTION("""COMPUTED_VALUE"""),44267.64583333333)</f>
        <v>44267.64583</v>
      </c>
      <c r="B55" s="1">
        <f>IFERROR(__xludf.DUMMYFUNCTION("""COMPUTED_VALUE"""),25752.01)</f>
        <v>25752.01</v>
      </c>
      <c r="C55" s="1">
        <f>IFERROR(__xludf.DUMMYFUNCTION("""COMPUTED_VALUE"""),26397.71)</f>
        <v>26397.71</v>
      </c>
      <c r="D55" s="1">
        <f>IFERROR(__xludf.DUMMYFUNCTION("""COMPUTED_VALUE"""),24954.38)</f>
        <v>24954.38</v>
      </c>
      <c r="E55" s="1">
        <f>IFERROR(__xludf.DUMMYFUNCTION("""COMPUTED_VALUE"""),25068.33)</f>
        <v>25068.33</v>
      </c>
      <c r="F55" s="1">
        <f>IFERROR(__xludf.DUMMYFUNCTION("""COMPUTED_VALUE"""),804312.0)</f>
        <v>804312</v>
      </c>
    </row>
    <row r="56">
      <c r="A56" s="2">
        <f>IFERROR(__xludf.DUMMYFUNCTION("""COMPUTED_VALUE"""),44270.64583333333)</f>
        <v>44270.64583</v>
      </c>
      <c r="B56" s="1">
        <f>IFERROR(__xludf.DUMMYFUNCTION("""COMPUTED_VALUE"""),25258.24)</f>
        <v>25258.24</v>
      </c>
      <c r="C56" s="1">
        <f>IFERROR(__xludf.DUMMYFUNCTION("""COMPUTED_VALUE"""),25410.17)</f>
        <v>25410.17</v>
      </c>
      <c r="D56" s="1">
        <f>IFERROR(__xludf.DUMMYFUNCTION("""COMPUTED_VALUE"""),24460.61)</f>
        <v>24460.61</v>
      </c>
      <c r="E56" s="1">
        <f>IFERROR(__xludf.DUMMYFUNCTION("""COMPUTED_VALUE"""),25106.31)</f>
        <v>25106.31</v>
      </c>
      <c r="F56" s="1">
        <f>IFERROR(__xludf.DUMMYFUNCTION("""COMPUTED_VALUE"""),402115.0)</f>
        <v>402115</v>
      </c>
    </row>
    <row r="57">
      <c r="A57" s="2">
        <f>IFERROR(__xludf.DUMMYFUNCTION("""COMPUTED_VALUE"""),44271.64583333333)</f>
        <v>44271.64583</v>
      </c>
      <c r="B57" s="1">
        <f>IFERROR(__xludf.DUMMYFUNCTION("""COMPUTED_VALUE"""),25258.24)</f>
        <v>25258.24</v>
      </c>
      <c r="C57" s="1">
        <f>IFERROR(__xludf.DUMMYFUNCTION("""COMPUTED_VALUE"""),26055.87)</f>
        <v>26055.87</v>
      </c>
      <c r="D57" s="1">
        <f>IFERROR(__xludf.DUMMYFUNCTION("""COMPUTED_VALUE"""),25144.29)</f>
        <v>25144.29</v>
      </c>
      <c r="E57" s="1">
        <f>IFERROR(__xludf.DUMMYFUNCTION("""COMPUTED_VALUE"""),25486.13)</f>
        <v>25486.13</v>
      </c>
      <c r="F57" s="1">
        <f>IFERROR(__xludf.DUMMYFUNCTION("""COMPUTED_VALUE"""),460044.0)</f>
        <v>460044</v>
      </c>
    </row>
    <row r="58">
      <c r="A58" s="2">
        <f>IFERROR(__xludf.DUMMYFUNCTION("""COMPUTED_VALUE"""),44272.64583333333)</f>
        <v>44272.64583</v>
      </c>
      <c r="B58" s="1">
        <f>IFERROR(__xludf.DUMMYFUNCTION("""COMPUTED_VALUE"""),25827.98)</f>
        <v>25827.98</v>
      </c>
      <c r="C58" s="1">
        <f>IFERROR(__xludf.DUMMYFUNCTION("""COMPUTED_VALUE"""),26853.5)</f>
        <v>26853.5</v>
      </c>
      <c r="D58" s="1">
        <f>IFERROR(__xludf.DUMMYFUNCTION("""COMPUTED_VALUE"""),25752.01)</f>
        <v>25752.01</v>
      </c>
      <c r="E58" s="1">
        <f>IFERROR(__xludf.DUMMYFUNCTION("""COMPUTED_VALUE"""),26283.76)</f>
        <v>26283.76</v>
      </c>
      <c r="F58" s="1">
        <f>IFERROR(__xludf.DUMMYFUNCTION("""COMPUTED_VALUE"""),755114.0)</f>
        <v>755114</v>
      </c>
    </row>
    <row r="59">
      <c r="A59" s="2">
        <f>IFERROR(__xludf.DUMMYFUNCTION("""COMPUTED_VALUE"""),44273.64583333333)</f>
        <v>44273.64583</v>
      </c>
      <c r="B59" s="1">
        <f>IFERROR(__xludf.DUMMYFUNCTION("""COMPUTED_VALUE"""),26663.59)</f>
        <v>26663.59</v>
      </c>
      <c r="C59" s="1">
        <f>IFERROR(__xludf.DUMMYFUNCTION("""COMPUTED_VALUE"""),26929.46)</f>
        <v>26929.46</v>
      </c>
      <c r="D59" s="1">
        <f>IFERROR(__xludf.DUMMYFUNCTION("""COMPUTED_VALUE"""),25827.98)</f>
        <v>25827.98</v>
      </c>
      <c r="E59" s="1">
        <f>IFERROR(__xludf.DUMMYFUNCTION("""COMPUTED_VALUE"""),26359.73)</f>
        <v>26359.73</v>
      </c>
      <c r="F59" s="1">
        <f>IFERROR(__xludf.DUMMYFUNCTION("""COMPUTED_VALUE"""),670882.0)</f>
        <v>670882</v>
      </c>
    </row>
    <row r="60">
      <c r="A60" s="2">
        <f>IFERROR(__xludf.DUMMYFUNCTION("""COMPUTED_VALUE"""),44274.64583333333)</f>
        <v>44274.64583</v>
      </c>
      <c r="B60" s="1">
        <f>IFERROR(__xludf.DUMMYFUNCTION("""COMPUTED_VALUE"""),25638.06)</f>
        <v>25638.06</v>
      </c>
      <c r="C60" s="1">
        <f>IFERROR(__xludf.DUMMYFUNCTION("""COMPUTED_VALUE"""),26093.85)</f>
        <v>26093.85</v>
      </c>
      <c r="D60" s="1">
        <f>IFERROR(__xludf.DUMMYFUNCTION("""COMPUTED_VALUE"""),25448.15)</f>
        <v>25448.15</v>
      </c>
      <c r="E60" s="1">
        <f>IFERROR(__xludf.DUMMYFUNCTION("""COMPUTED_VALUE"""),25789.99)</f>
        <v>25789.99</v>
      </c>
      <c r="F60" s="1">
        <f>IFERROR(__xludf.DUMMYFUNCTION("""COMPUTED_VALUE"""),322507.0)</f>
        <v>322507</v>
      </c>
    </row>
    <row r="61">
      <c r="A61" s="2">
        <f>IFERROR(__xludf.DUMMYFUNCTION("""COMPUTED_VALUE"""),44277.64583333333)</f>
        <v>44277.64583</v>
      </c>
      <c r="B61" s="1">
        <f>IFERROR(__xludf.DUMMYFUNCTION("""COMPUTED_VALUE"""),26853.5)</f>
        <v>26853.5</v>
      </c>
      <c r="C61" s="1">
        <f>IFERROR(__xludf.DUMMYFUNCTION("""COMPUTED_VALUE"""),29132.44)</f>
        <v>29132.44</v>
      </c>
      <c r="D61" s="1">
        <f>IFERROR(__xludf.DUMMYFUNCTION("""COMPUTED_VALUE"""),26777.53)</f>
        <v>26777.53</v>
      </c>
      <c r="E61" s="1">
        <f>IFERROR(__xludf.DUMMYFUNCTION("""COMPUTED_VALUE"""),27195.34)</f>
        <v>27195.34</v>
      </c>
      <c r="F61" s="1">
        <f>IFERROR(__xludf.DUMMYFUNCTION("""COMPUTED_VALUE"""),3405259.0)</f>
        <v>3405259</v>
      </c>
    </row>
    <row r="62">
      <c r="A62" s="2">
        <f>IFERROR(__xludf.DUMMYFUNCTION("""COMPUTED_VALUE"""),44278.64583333333)</f>
        <v>44278.64583</v>
      </c>
      <c r="B62" s="1">
        <f>IFERROR(__xludf.DUMMYFUNCTION("""COMPUTED_VALUE"""),27423.23)</f>
        <v>27423.23</v>
      </c>
      <c r="C62" s="1">
        <f>IFERROR(__xludf.DUMMYFUNCTION("""COMPUTED_VALUE"""),27765.07)</f>
        <v>27765.07</v>
      </c>
      <c r="D62" s="1">
        <f>IFERROR(__xludf.DUMMYFUNCTION("""COMPUTED_VALUE"""),26777.53)</f>
        <v>26777.53</v>
      </c>
      <c r="E62" s="1">
        <f>IFERROR(__xludf.DUMMYFUNCTION("""COMPUTED_VALUE"""),27271.3)</f>
        <v>27271.3</v>
      </c>
      <c r="F62" s="1">
        <f>IFERROR(__xludf.DUMMYFUNCTION("""COMPUTED_VALUE"""),820415.0)</f>
        <v>820415</v>
      </c>
    </row>
    <row r="63">
      <c r="A63" s="2">
        <f>IFERROR(__xludf.DUMMYFUNCTION("""COMPUTED_VALUE"""),44279.64583333333)</f>
        <v>44279.64583</v>
      </c>
      <c r="B63" s="1">
        <f>IFERROR(__xludf.DUMMYFUNCTION("""COMPUTED_VALUE"""),27613.14)</f>
        <v>27613.14</v>
      </c>
      <c r="C63" s="1">
        <f>IFERROR(__xludf.DUMMYFUNCTION("""COMPUTED_VALUE"""),27803.06)</f>
        <v>27803.06</v>
      </c>
      <c r="D63" s="1">
        <f>IFERROR(__xludf.DUMMYFUNCTION("""COMPUTED_VALUE"""),26587.62)</f>
        <v>26587.62</v>
      </c>
      <c r="E63" s="1">
        <f>IFERROR(__xludf.DUMMYFUNCTION("""COMPUTED_VALUE"""),27157.36)</f>
        <v>27157.36</v>
      </c>
      <c r="F63" s="1">
        <f>IFERROR(__xludf.DUMMYFUNCTION("""COMPUTED_VALUE"""),593326.0)</f>
        <v>593326</v>
      </c>
    </row>
    <row r="64">
      <c r="A64" s="2">
        <f>IFERROR(__xludf.DUMMYFUNCTION("""COMPUTED_VALUE"""),44280.64583333333)</f>
        <v>44280.64583</v>
      </c>
      <c r="B64" s="1">
        <f>IFERROR(__xludf.DUMMYFUNCTION("""COMPUTED_VALUE"""),27157.36)</f>
        <v>27157.36</v>
      </c>
      <c r="C64" s="1">
        <f>IFERROR(__xludf.DUMMYFUNCTION("""COMPUTED_VALUE"""),27575.16)</f>
        <v>27575.16</v>
      </c>
      <c r="D64" s="1">
        <f>IFERROR(__xludf.DUMMYFUNCTION("""COMPUTED_VALUE"""),25941.92)</f>
        <v>25941.92</v>
      </c>
      <c r="E64" s="1">
        <f>IFERROR(__xludf.DUMMYFUNCTION("""COMPUTED_VALUE"""),26207.8)</f>
        <v>26207.8</v>
      </c>
      <c r="F64" s="1">
        <f>IFERROR(__xludf.DUMMYFUNCTION("""COMPUTED_VALUE"""),700587.0)</f>
        <v>700587</v>
      </c>
    </row>
    <row r="65">
      <c r="A65" s="2">
        <f>IFERROR(__xludf.DUMMYFUNCTION("""COMPUTED_VALUE"""),44281.64583333333)</f>
        <v>44281.64583</v>
      </c>
      <c r="B65" s="1">
        <f>IFERROR(__xludf.DUMMYFUNCTION("""COMPUTED_VALUE"""),26169.82)</f>
        <v>26169.82</v>
      </c>
      <c r="C65" s="1">
        <f>IFERROR(__xludf.DUMMYFUNCTION("""COMPUTED_VALUE"""),26777.53)</f>
        <v>26777.53</v>
      </c>
      <c r="D65" s="1">
        <f>IFERROR(__xludf.DUMMYFUNCTION("""COMPUTED_VALUE"""),25600.08)</f>
        <v>25600.08</v>
      </c>
      <c r="E65" s="1">
        <f>IFERROR(__xludf.DUMMYFUNCTION("""COMPUTED_VALUE"""),25865.96)</f>
        <v>25865.96</v>
      </c>
      <c r="F65" s="1">
        <f>IFERROR(__xludf.DUMMYFUNCTION("""COMPUTED_VALUE"""),375020.0)</f>
        <v>375020</v>
      </c>
    </row>
    <row r="66">
      <c r="A66" s="2">
        <f>IFERROR(__xludf.DUMMYFUNCTION("""COMPUTED_VALUE"""),44284.64583333333)</f>
        <v>44284.64583</v>
      </c>
      <c r="B66" s="1">
        <f>IFERROR(__xludf.DUMMYFUNCTION("""COMPUTED_VALUE"""),25600.08)</f>
        <v>25600.08</v>
      </c>
      <c r="C66" s="1">
        <f>IFERROR(__xludf.DUMMYFUNCTION("""COMPUTED_VALUE"""),26169.82)</f>
        <v>26169.82</v>
      </c>
      <c r="D66" s="1">
        <f>IFERROR(__xludf.DUMMYFUNCTION("""COMPUTED_VALUE"""),25524.12)</f>
        <v>25524.12</v>
      </c>
      <c r="E66" s="1">
        <f>IFERROR(__xludf.DUMMYFUNCTION("""COMPUTED_VALUE"""),25600.08)</f>
        <v>25600.08</v>
      </c>
      <c r="F66" s="1">
        <f>IFERROR(__xludf.DUMMYFUNCTION("""COMPUTED_VALUE"""),283959.0)</f>
        <v>283959</v>
      </c>
    </row>
    <row r="67">
      <c r="A67" s="2">
        <f>IFERROR(__xludf.DUMMYFUNCTION("""COMPUTED_VALUE"""),44285.64583333333)</f>
        <v>44285.64583</v>
      </c>
      <c r="B67" s="1">
        <f>IFERROR(__xludf.DUMMYFUNCTION("""COMPUTED_VALUE"""),25979.9)</f>
        <v>25979.9</v>
      </c>
      <c r="C67" s="1">
        <f>IFERROR(__xludf.DUMMYFUNCTION("""COMPUTED_VALUE"""),26663.59)</f>
        <v>26663.59</v>
      </c>
      <c r="D67" s="1">
        <f>IFERROR(__xludf.DUMMYFUNCTION("""COMPUTED_VALUE"""),25600.08)</f>
        <v>25600.08</v>
      </c>
      <c r="E67" s="1">
        <f>IFERROR(__xludf.DUMMYFUNCTION("""COMPUTED_VALUE"""),25941.92)</f>
        <v>25941.92</v>
      </c>
      <c r="F67" s="1">
        <f>IFERROR(__xludf.DUMMYFUNCTION("""COMPUTED_VALUE"""),315389.0)</f>
        <v>315389</v>
      </c>
    </row>
    <row r="68">
      <c r="A68" s="2">
        <f>IFERROR(__xludf.DUMMYFUNCTION("""COMPUTED_VALUE"""),44286.64583333333)</f>
        <v>44286.64583</v>
      </c>
      <c r="B68" s="1">
        <f>IFERROR(__xludf.DUMMYFUNCTION("""COMPUTED_VALUE"""),25979.9)</f>
        <v>25979.9</v>
      </c>
      <c r="C68" s="1">
        <f>IFERROR(__xludf.DUMMYFUNCTION("""COMPUTED_VALUE"""),26815.52)</f>
        <v>26815.52</v>
      </c>
      <c r="D68" s="1">
        <f>IFERROR(__xludf.DUMMYFUNCTION("""COMPUTED_VALUE"""),25600.08)</f>
        <v>25600.08</v>
      </c>
      <c r="E68" s="1">
        <f>IFERROR(__xludf.DUMMYFUNCTION("""COMPUTED_VALUE"""),26739.55)</f>
        <v>26739.55</v>
      </c>
      <c r="F68" s="1">
        <f>IFERROR(__xludf.DUMMYFUNCTION("""COMPUTED_VALUE"""),469087.0)</f>
        <v>469087</v>
      </c>
    </row>
    <row r="69">
      <c r="A69" s="2">
        <f>IFERROR(__xludf.DUMMYFUNCTION("""COMPUTED_VALUE"""),44287.64583333333)</f>
        <v>44287.64583</v>
      </c>
      <c r="B69" s="1">
        <f>IFERROR(__xludf.DUMMYFUNCTION("""COMPUTED_VALUE"""),26549.64)</f>
        <v>26549.64</v>
      </c>
      <c r="C69" s="1">
        <f>IFERROR(__xludf.DUMMYFUNCTION("""COMPUTED_VALUE"""),26587.62)</f>
        <v>26587.62</v>
      </c>
      <c r="D69" s="1">
        <f>IFERROR(__xludf.DUMMYFUNCTION("""COMPUTED_VALUE"""),26131.83)</f>
        <v>26131.83</v>
      </c>
      <c r="E69" s="1">
        <f>IFERROR(__xludf.DUMMYFUNCTION("""COMPUTED_VALUE"""),26169.82)</f>
        <v>26169.82</v>
      </c>
      <c r="F69" s="1">
        <f>IFERROR(__xludf.DUMMYFUNCTION("""COMPUTED_VALUE"""),288746.0)</f>
        <v>288746</v>
      </c>
    </row>
    <row r="70">
      <c r="A70" s="2">
        <f>IFERROR(__xludf.DUMMYFUNCTION("""COMPUTED_VALUE"""),44288.64583333333)</f>
        <v>44288.64583</v>
      </c>
      <c r="B70" s="1">
        <f>IFERROR(__xludf.DUMMYFUNCTION("""COMPUTED_VALUE"""),26397.71)</f>
        <v>26397.71</v>
      </c>
      <c r="C70" s="1">
        <f>IFERROR(__xludf.DUMMYFUNCTION("""COMPUTED_VALUE"""),26435.69)</f>
        <v>26435.69</v>
      </c>
      <c r="D70" s="1">
        <f>IFERROR(__xludf.DUMMYFUNCTION("""COMPUTED_VALUE"""),25752.01)</f>
        <v>25752.01</v>
      </c>
      <c r="E70" s="1">
        <f>IFERROR(__xludf.DUMMYFUNCTION("""COMPUTED_VALUE"""),25789.99)</f>
        <v>25789.99</v>
      </c>
      <c r="F70" s="1">
        <f>IFERROR(__xludf.DUMMYFUNCTION("""COMPUTED_VALUE"""),253606.0)</f>
        <v>253606</v>
      </c>
    </row>
    <row r="71">
      <c r="A71" s="2">
        <f>IFERROR(__xludf.DUMMYFUNCTION("""COMPUTED_VALUE"""),44291.64583333333)</f>
        <v>44291.64583</v>
      </c>
      <c r="B71" s="1">
        <f>IFERROR(__xludf.DUMMYFUNCTION("""COMPUTED_VALUE"""),25979.9)</f>
        <v>25979.9</v>
      </c>
      <c r="C71" s="1">
        <f>IFERROR(__xludf.DUMMYFUNCTION("""COMPUTED_VALUE"""),26207.8)</f>
        <v>26207.8</v>
      </c>
      <c r="D71" s="1">
        <f>IFERROR(__xludf.DUMMYFUNCTION("""COMPUTED_VALUE"""),25714.03)</f>
        <v>25714.03</v>
      </c>
      <c r="E71" s="1">
        <f>IFERROR(__xludf.DUMMYFUNCTION("""COMPUTED_VALUE"""),25789.99)</f>
        <v>25789.99</v>
      </c>
      <c r="F71" s="1">
        <f>IFERROR(__xludf.DUMMYFUNCTION("""COMPUTED_VALUE"""),205465.0)</f>
        <v>205465</v>
      </c>
    </row>
    <row r="72">
      <c r="A72" s="2">
        <f>IFERROR(__xludf.DUMMYFUNCTION("""COMPUTED_VALUE"""),44292.64583333333)</f>
        <v>44292.64583</v>
      </c>
      <c r="B72" s="1">
        <f>IFERROR(__xludf.DUMMYFUNCTION("""COMPUTED_VALUE"""),25865.96)</f>
        <v>25865.96</v>
      </c>
      <c r="C72" s="1">
        <f>IFERROR(__xludf.DUMMYFUNCTION("""COMPUTED_VALUE"""),26739.55)</f>
        <v>26739.55</v>
      </c>
      <c r="D72" s="1">
        <f>IFERROR(__xludf.DUMMYFUNCTION("""COMPUTED_VALUE"""),25865.96)</f>
        <v>25865.96</v>
      </c>
      <c r="E72" s="1">
        <f>IFERROR(__xludf.DUMMYFUNCTION("""COMPUTED_VALUE"""),26283.76)</f>
        <v>26283.76</v>
      </c>
      <c r="F72" s="1">
        <f>IFERROR(__xludf.DUMMYFUNCTION("""COMPUTED_VALUE"""),403791.0)</f>
        <v>403791</v>
      </c>
    </row>
    <row r="73">
      <c r="A73" s="2">
        <f>IFERROR(__xludf.DUMMYFUNCTION("""COMPUTED_VALUE"""),44293.64583333333)</f>
        <v>44293.64583</v>
      </c>
      <c r="B73" s="1">
        <f>IFERROR(__xludf.DUMMYFUNCTION("""COMPUTED_VALUE"""),26587.62)</f>
        <v>26587.62</v>
      </c>
      <c r="C73" s="1">
        <f>IFERROR(__xludf.DUMMYFUNCTION("""COMPUTED_VALUE"""),27233.32)</f>
        <v>27233.32</v>
      </c>
      <c r="D73" s="1">
        <f>IFERROR(__xludf.DUMMYFUNCTION("""COMPUTED_VALUE"""),26207.8)</f>
        <v>26207.8</v>
      </c>
      <c r="E73" s="1">
        <f>IFERROR(__xludf.DUMMYFUNCTION("""COMPUTED_VALUE"""),26283.76)</f>
        <v>26283.76</v>
      </c>
      <c r="F73" s="1">
        <f>IFERROR(__xludf.DUMMYFUNCTION("""COMPUTED_VALUE"""),475045.0)</f>
        <v>475045</v>
      </c>
    </row>
    <row r="74">
      <c r="A74" s="2">
        <f>IFERROR(__xludf.DUMMYFUNCTION("""COMPUTED_VALUE"""),44294.64583333333)</f>
        <v>44294.64583</v>
      </c>
      <c r="B74" s="1">
        <f>IFERROR(__xludf.DUMMYFUNCTION("""COMPUTED_VALUE"""),26587.62)</f>
        <v>26587.62</v>
      </c>
      <c r="C74" s="1">
        <f>IFERROR(__xludf.DUMMYFUNCTION("""COMPUTED_VALUE"""),26587.62)</f>
        <v>26587.62</v>
      </c>
      <c r="D74" s="1">
        <f>IFERROR(__xludf.DUMMYFUNCTION("""COMPUTED_VALUE"""),25827.98)</f>
        <v>25827.98</v>
      </c>
      <c r="E74" s="1">
        <f>IFERROR(__xludf.DUMMYFUNCTION("""COMPUTED_VALUE"""),25903.94)</f>
        <v>25903.94</v>
      </c>
      <c r="F74" s="1">
        <f>IFERROR(__xludf.DUMMYFUNCTION("""COMPUTED_VALUE"""),258606.0)</f>
        <v>258606</v>
      </c>
    </row>
    <row r="75">
      <c r="A75" s="2">
        <f>IFERROR(__xludf.DUMMYFUNCTION("""COMPUTED_VALUE"""),44295.64583333333)</f>
        <v>44295.64583</v>
      </c>
      <c r="B75" s="1">
        <f>IFERROR(__xludf.DUMMYFUNCTION("""COMPUTED_VALUE"""),25979.9)</f>
        <v>25979.9</v>
      </c>
      <c r="C75" s="1">
        <f>IFERROR(__xludf.DUMMYFUNCTION("""COMPUTED_VALUE"""),26397.71)</f>
        <v>26397.71</v>
      </c>
      <c r="D75" s="1">
        <f>IFERROR(__xludf.DUMMYFUNCTION("""COMPUTED_VALUE"""),25865.96)</f>
        <v>25865.96</v>
      </c>
      <c r="E75" s="1">
        <f>IFERROR(__xludf.DUMMYFUNCTION("""COMPUTED_VALUE"""),25941.92)</f>
        <v>25941.92</v>
      </c>
      <c r="F75" s="1">
        <f>IFERROR(__xludf.DUMMYFUNCTION("""COMPUTED_VALUE"""),232151.0)</f>
        <v>232151</v>
      </c>
    </row>
    <row r="76">
      <c r="A76" s="2">
        <f>IFERROR(__xludf.DUMMYFUNCTION("""COMPUTED_VALUE"""),44298.64583333333)</f>
        <v>44298.64583</v>
      </c>
      <c r="B76" s="1">
        <f>IFERROR(__xludf.DUMMYFUNCTION("""COMPUTED_VALUE"""),25941.92)</f>
        <v>25941.92</v>
      </c>
      <c r="C76" s="1">
        <f>IFERROR(__xludf.DUMMYFUNCTION("""COMPUTED_VALUE"""),25979.9)</f>
        <v>25979.9</v>
      </c>
      <c r="D76" s="1">
        <f>IFERROR(__xludf.DUMMYFUNCTION("""COMPUTED_VALUE"""),25220.26)</f>
        <v>25220.26</v>
      </c>
      <c r="E76" s="1">
        <f>IFERROR(__xludf.DUMMYFUNCTION("""COMPUTED_VALUE"""),25334.21)</f>
        <v>25334.21</v>
      </c>
      <c r="F76" s="1">
        <f>IFERROR(__xludf.DUMMYFUNCTION("""COMPUTED_VALUE"""),353690.0)</f>
        <v>353690</v>
      </c>
    </row>
    <row r="77">
      <c r="A77" s="2">
        <f>IFERROR(__xludf.DUMMYFUNCTION("""COMPUTED_VALUE"""),44299.64583333333)</f>
        <v>44299.64583</v>
      </c>
      <c r="B77" s="1">
        <f>IFERROR(__xludf.DUMMYFUNCTION("""COMPUTED_VALUE"""),25448.15)</f>
        <v>25448.15</v>
      </c>
      <c r="C77" s="1">
        <f>IFERROR(__xludf.DUMMYFUNCTION("""COMPUTED_VALUE"""),25865.96)</f>
        <v>25865.96</v>
      </c>
      <c r="D77" s="1">
        <f>IFERROR(__xludf.DUMMYFUNCTION("""COMPUTED_VALUE"""),25410.17)</f>
        <v>25410.17</v>
      </c>
      <c r="E77" s="1">
        <f>IFERROR(__xludf.DUMMYFUNCTION("""COMPUTED_VALUE"""),25486.13)</f>
        <v>25486.13</v>
      </c>
      <c r="F77" s="1">
        <f>IFERROR(__xludf.DUMMYFUNCTION("""COMPUTED_VALUE"""),189383.0)</f>
        <v>189383</v>
      </c>
    </row>
    <row r="78">
      <c r="A78" s="2">
        <f>IFERROR(__xludf.DUMMYFUNCTION("""COMPUTED_VALUE"""),44300.64583333333)</f>
        <v>44300.64583</v>
      </c>
      <c r="B78" s="1">
        <f>IFERROR(__xludf.DUMMYFUNCTION("""COMPUTED_VALUE"""),25752.01)</f>
        <v>25752.01</v>
      </c>
      <c r="C78" s="1">
        <f>IFERROR(__xludf.DUMMYFUNCTION("""COMPUTED_VALUE"""),26283.76)</f>
        <v>26283.76</v>
      </c>
      <c r="D78" s="1">
        <f>IFERROR(__xludf.DUMMYFUNCTION("""COMPUTED_VALUE"""),25562.1)</f>
        <v>25562.1</v>
      </c>
      <c r="E78" s="1">
        <f>IFERROR(__xludf.DUMMYFUNCTION("""COMPUTED_VALUE"""),25903.94)</f>
        <v>25903.94</v>
      </c>
      <c r="F78" s="1">
        <f>IFERROR(__xludf.DUMMYFUNCTION("""COMPUTED_VALUE"""),353239.0)</f>
        <v>353239</v>
      </c>
    </row>
    <row r="79">
      <c r="A79" s="2">
        <f>IFERROR(__xludf.DUMMYFUNCTION("""COMPUTED_VALUE"""),44301.64583333333)</f>
        <v>44301.64583</v>
      </c>
      <c r="B79" s="1">
        <f>IFERROR(__xludf.DUMMYFUNCTION("""COMPUTED_VALUE"""),25865.96)</f>
        <v>25865.96</v>
      </c>
      <c r="C79" s="1">
        <f>IFERROR(__xludf.DUMMYFUNCTION("""COMPUTED_VALUE"""),25903.94)</f>
        <v>25903.94</v>
      </c>
      <c r="D79" s="1">
        <f>IFERROR(__xludf.DUMMYFUNCTION("""COMPUTED_VALUE"""),25372.19)</f>
        <v>25372.19</v>
      </c>
      <c r="E79" s="1">
        <f>IFERROR(__xludf.DUMMYFUNCTION("""COMPUTED_VALUE"""),25410.17)</f>
        <v>25410.17</v>
      </c>
      <c r="F79" s="1">
        <f>IFERROR(__xludf.DUMMYFUNCTION("""COMPUTED_VALUE"""),234072.0)</f>
        <v>234072</v>
      </c>
    </row>
    <row r="80">
      <c r="A80" s="2">
        <f>IFERROR(__xludf.DUMMYFUNCTION("""COMPUTED_VALUE"""),44302.64583333333)</f>
        <v>44302.64583</v>
      </c>
      <c r="B80" s="1">
        <f>IFERROR(__xludf.DUMMYFUNCTION("""COMPUTED_VALUE"""),25410.17)</f>
        <v>25410.17</v>
      </c>
      <c r="C80" s="1">
        <f>IFERROR(__xludf.DUMMYFUNCTION("""COMPUTED_VALUE"""),25676.05)</f>
        <v>25676.05</v>
      </c>
      <c r="D80" s="1">
        <f>IFERROR(__xludf.DUMMYFUNCTION("""COMPUTED_VALUE"""),25106.31)</f>
        <v>25106.31</v>
      </c>
      <c r="E80" s="1">
        <f>IFERROR(__xludf.DUMMYFUNCTION("""COMPUTED_VALUE"""),25182.28)</f>
        <v>25182.28</v>
      </c>
      <c r="F80" s="1">
        <f>IFERROR(__xludf.DUMMYFUNCTION("""COMPUTED_VALUE"""),226379.0)</f>
        <v>226379</v>
      </c>
    </row>
    <row r="81">
      <c r="A81" s="2">
        <f>IFERROR(__xludf.DUMMYFUNCTION("""COMPUTED_VALUE"""),44305.64583333333)</f>
        <v>44305.64583</v>
      </c>
      <c r="B81" s="1">
        <f>IFERROR(__xludf.DUMMYFUNCTION("""COMPUTED_VALUE"""),25182.28)</f>
        <v>25182.28</v>
      </c>
      <c r="C81" s="1">
        <f>IFERROR(__xludf.DUMMYFUNCTION("""COMPUTED_VALUE"""),25220.26)</f>
        <v>25220.26</v>
      </c>
      <c r="D81" s="1">
        <f>IFERROR(__xludf.DUMMYFUNCTION("""COMPUTED_VALUE"""),24308.68)</f>
        <v>24308.68</v>
      </c>
      <c r="E81" s="1">
        <f>IFERROR(__xludf.DUMMYFUNCTION("""COMPUTED_VALUE"""),24612.54)</f>
        <v>24612.54</v>
      </c>
      <c r="F81" s="1">
        <f>IFERROR(__xludf.DUMMYFUNCTION("""COMPUTED_VALUE"""),340328.0)</f>
        <v>340328</v>
      </c>
    </row>
    <row r="82">
      <c r="A82" s="2">
        <f>IFERROR(__xludf.DUMMYFUNCTION("""COMPUTED_VALUE"""),44306.64583333333)</f>
        <v>44306.64583</v>
      </c>
      <c r="B82" s="1">
        <f>IFERROR(__xludf.DUMMYFUNCTION("""COMPUTED_VALUE"""),24536.58)</f>
        <v>24536.58</v>
      </c>
      <c r="C82" s="1">
        <f>IFERROR(__xludf.DUMMYFUNCTION("""COMPUTED_VALUE"""),25106.31)</f>
        <v>25106.31</v>
      </c>
      <c r="D82" s="1">
        <f>IFERROR(__xludf.DUMMYFUNCTION("""COMPUTED_VALUE"""),24536.58)</f>
        <v>24536.58</v>
      </c>
      <c r="E82" s="1">
        <f>IFERROR(__xludf.DUMMYFUNCTION("""COMPUTED_VALUE"""),24650.52)</f>
        <v>24650.52</v>
      </c>
      <c r="F82" s="1">
        <f>IFERROR(__xludf.DUMMYFUNCTION("""COMPUTED_VALUE"""),162651.0)</f>
        <v>162651</v>
      </c>
    </row>
    <row r="83">
      <c r="A83" s="2">
        <f>IFERROR(__xludf.DUMMYFUNCTION("""COMPUTED_VALUE"""),44307.64583333333)</f>
        <v>44307.64583</v>
      </c>
      <c r="B83" s="1">
        <f>IFERROR(__xludf.DUMMYFUNCTION("""COMPUTED_VALUE"""),24916.4)</f>
        <v>24916.4</v>
      </c>
      <c r="C83" s="1">
        <f>IFERROR(__xludf.DUMMYFUNCTION("""COMPUTED_VALUE"""),24916.4)</f>
        <v>24916.4</v>
      </c>
      <c r="D83" s="1">
        <f>IFERROR(__xludf.DUMMYFUNCTION("""COMPUTED_VALUE"""),24498.59)</f>
        <v>24498.59</v>
      </c>
      <c r="E83" s="1">
        <f>IFERROR(__xludf.DUMMYFUNCTION("""COMPUTED_VALUE"""),24612.54)</f>
        <v>24612.54</v>
      </c>
      <c r="F83" s="1">
        <f>IFERROR(__xludf.DUMMYFUNCTION("""COMPUTED_VALUE"""),142740.0)</f>
        <v>142740</v>
      </c>
    </row>
    <row r="84">
      <c r="A84" s="2">
        <f>IFERROR(__xludf.DUMMYFUNCTION("""COMPUTED_VALUE"""),44308.64583333333)</f>
        <v>44308.64583</v>
      </c>
      <c r="B84" s="1">
        <f>IFERROR(__xludf.DUMMYFUNCTION("""COMPUTED_VALUE"""),24612.54)</f>
        <v>24612.54</v>
      </c>
      <c r="C84" s="1">
        <f>IFERROR(__xludf.DUMMYFUNCTION("""COMPUTED_VALUE"""),24764.47)</f>
        <v>24764.47</v>
      </c>
      <c r="D84" s="1">
        <f>IFERROR(__xludf.DUMMYFUNCTION("""COMPUTED_VALUE"""),24156.75)</f>
        <v>24156.75</v>
      </c>
      <c r="E84" s="1">
        <f>IFERROR(__xludf.DUMMYFUNCTION("""COMPUTED_VALUE"""),24270.7)</f>
        <v>24270.7</v>
      </c>
      <c r="F84" s="1">
        <f>IFERROR(__xludf.DUMMYFUNCTION("""COMPUTED_VALUE"""),273801.0)</f>
        <v>273801</v>
      </c>
    </row>
    <row r="85">
      <c r="A85" s="2">
        <f>IFERROR(__xludf.DUMMYFUNCTION("""COMPUTED_VALUE"""),44309.64583333333)</f>
        <v>44309.64583</v>
      </c>
      <c r="B85" s="1">
        <f>IFERROR(__xludf.DUMMYFUNCTION("""COMPUTED_VALUE"""),24042.81)</f>
        <v>24042.81</v>
      </c>
      <c r="C85" s="1">
        <f>IFERROR(__xludf.DUMMYFUNCTION("""COMPUTED_VALUE"""),24080.79)</f>
        <v>24080.79</v>
      </c>
      <c r="D85" s="1">
        <f>IFERROR(__xludf.DUMMYFUNCTION("""COMPUTED_VALUE"""),23397.11)</f>
        <v>23397.11</v>
      </c>
      <c r="E85" s="1">
        <f>IFERROR(__xludf.DUMMYFUNCTION("""COMPUTED_VALUE"""),23587.02)</f>
        <v>23587.02</v>
      </c>
      <c r="F85" s="1">
        <f>IFERROR(__xludf.DUMMYFUNCTION("""COMPUTED_VALUE"""),319087.0)</f>
        <v>319087</v>
      </c>
    </row>
    <row r="86">
      <c r="A86" s="2">
        <f>IFERROR(__xludf.DUMMYFUNCTION("""COMPUTED_VALUE"""),44312.64583333333)</f>
        <v>44312.64583</v>
      </c>
      <c r="B86" s="1">
        <f>IFERROR(__xludf.DUMMYFUNCTION("""COMPUTED_VALUE"""),23435.09)</f>
        <v>23435.09</v>
      </c>
      <c r="C86" s="1">
        <f>IFERROR(__xludf.DUMMYFUNCTION("""COMPUTED_VALUE"""),23549.04)</f>
        <v>23549.04</v>
      </c>
      <c r="D86" s="1">
        <f>IFERROR(__xludf.DUMMYFUNCTION("""COMPUTED_VALUE"""),22903.34)</f>
        <v>22903.34</v>
      </c>
      <c r="E86" s="1">
        <f>IFERROR(__xludf.DUMMYFUNCTION("""COMPUTED_VALUE"""),23321.14)</f>
        <v>23321.14</v>
      </c>
      <c r="F86" s="1">
        <f>IFERROR(__xludf.DUMMYFUNCTION("""COMPUTED_VALUE"""),207568.0)</f>
        <v>207568</v>
      </c>
    </row>
    <row r="87">
      <c r="A87" s="2">
        <f>IFERROR(__xludf.DUMMYFUNCTION("""COMPUTED_VALUE"""),44313.64583333333)</f>
        <v>44313.64583</v>
      </c>
      <c r="B87" s="1">
        <f>IFERROR(__xludf.DUMMYFUNCTION("""COMPUTED_VALUE"""),23321.14)</f>
        <v>23321.14</v>
      </c>
      <c r="C87" s="1">
        <f>IFERROR(__xludf.DUMMYFUNCTION("""COMPUTED_VALUE"""),24346.67)</f>
        <v>24346.67</v>
      </c>
      <c r="D87" s="1">
        <f>IFERROR(__xludf.DUMMYFUNCTION("""COMPUTED_VALUE"""),22941.32)</f>
        <v>22941.32</v>
      </c>
      <c r="E87" s="1">
        <f>IFERROR(__xludf.DUMMYFUNCTION("""COMPUTED_VALUE"""),23776.93)</f>
        <v>23776.93</v>
      </c>
      <c r="F87" s="1">
        <f>IFERROR(__xludf.DUMMYFUNCTION("""COMPUTED_VALUE"""),366844.0)</f>
        <v>366844</v>
      </c>
    </row>
    <row r="88">
      <c r="A88" s="2">
        <f>IFERROR(__xludf.DUMMYFUNCTION("""COMPUTED_VALUE"""),44314.64583333333)</f>
        <v>44314.64583</v>
      </c>
      <c r="B88" s="1">
        <f>IFERROR(__xludf.DUMMYFUNCTION("""COMPUTED_VALUE"""),23814.91)</f>
        <v>23814.91</v>
      </c>
      <c r="C88" s="1">
        <f>IFERROR(__xludf.DUMMYFUNCTION("""COMPUTED_VALUE"""),24004.82)</f>
        <v>24004.82</v>
      </c>
      <c r="D88" s="1">
        <f>IFERROR(__xludf.DUMMYFUNCTION("""COMPUTED_VALUE"""),23169.21)</f>
        <v>23169.21</v>
      </c>
      <c r="E88" s="1">
        <f>IFERROR(__xludf.DUMMYFUNCTION("""COMPUTED_VALUE"""),23283.16)</f>
        <v>23283.16</v>
      </c>
      <c r="F88" s="1">
        <f>IFERROR(__xludf.DUMMYFUNCTION("""COMPUTED_VALUE"""),160421.0)</f>
        <v>160421</v>
      </c>
    </row>
    <row r="89">
      <c r="A89" s="2">
        <f>IFERROR(__xludf.DUMMYFUNCTION("""COMPUTED_VALUE"""),44315.64583333333)</f>
        <v>44315.64583</v>
      </c>
      <c r="B89" s="1">
        <f>IFERROR(__xludf.DUMMYFUNCTION("""COMPUTED_VALUE"""),23359.12)</f>
        <v>23359.12</v>
      </c>
      <c r="C89" s="1">
        <f>IFERROR(__xludf.DUMMYFUNCTION("""COMPUTED_VALUE"""),23397.11)</f>
        <v>23397.11</v>
      </c>
      <c r="D89" s="1">
        <f>IFERROR(__xludf.DUMMYFUNCTION("""COMPUTED_VALUE"""),22789.39)</f>
        <v>22789.39</v>
      </c>
      <c r="E89" s="1">
        <f>IFERROR(__xludf.DUMMYFUNCTION("""COMPUTED_VALUE"""),22827.37)</f>
        <v>22827.37</v>
      </c>
      <c r="F89" s="1">
        <f>IFERROR(__xludf.DUMMYFUNCTION("""COMPUTED_VALUE"""),163180.0)</f>
        <v>163180</v>
      </c>
    </row>
    <row r="90">
      <c r="A90" s="2">
        <f>IFERROR(__xludf.DUMMYFUNCTION("""COMPUTED_VALUE"""),44316.64583333333)</f>
        <v>44316.64583</v>
      </c>
      <c r="B90" s="1">
        <f>IFERROR(__xludf.DUMMYFUNCTION("""COMPUTED_VALUE"""),22865.35)</f>
        <v>22865.35</v>
      </c>
      <c r="C90" s="1">
        <f>IFERROR(__xludf.DUMMYFUNCTION("""COMPUTED_VALUE"""),22865.35)</f>
        <v>22865.35</v>
      </c>
      <c r="D90" s="1">
        <f>IFERROR(__xludf.DUMMYFUNCTION("""COMPUTED_VALUE"""),22181.67)</f>
        <v>22181.67</v>
      </c>
      <c r="E90" s="1">
        <f>IFERROR(__xludf.DUMMYFUNCTION("""COMPUTED_VALUE"""),22181.67)</f>
        <v>22181.67</v>
      </c>
      <c r="F90" s="1">
        <f>IFERROR(__xludf.DUMMYFUNCTION("""COMPUTED_VALUE"""),175994.0)</f>
        <v>175994</v>
      </c>
    </row>
    <row r="91">
      <c r="A91" s="2">
        <f>IFERROR(__xludf.DUMMYFUNCTION("""COMPUTED_VALUE"""),44319.64583333333)</f>
        <v>44319.64583</v>
      </c>
      <c r="B91" s="1">
        <f>IFERROR(__xludf.DUMMYFUNCTION("""COMPUTED_VALUE"""),22371.58)</f>
        <v>22371.58</v>
      </c>
      <c r="C91" s="1">
        <f>IFERROR(__xludf.DUMMYFUNCTION("""COMPUTED_VALUE"""),22523.51)</f>
        <v>22523.51</v>
      </c>
      <c r="D91" s="1">
        <f>IFERROR(__xludf.DUMMYFUNCTION("""COMPUTED_VALUE"""),21991.76)</f>
        <v>21991.76</v>
      </c>
      <c r="E91" s="1">
        <f>IFERROR(__xludf.DUMMYFUNCTION("""COMPUTED_VALUE"""),22105.71)</f>
        <v>22105.71</v>
      </c>
      <c r="F91" s="1">
        <f>IFERROR(__xludf.DUMMYFUNCTION("""COMPUTED_VALUE"""),107586.0)</f>
        <v>107586</v>
      </c>
    </row>
    <row r="92">
      <c r="A92" s="2">
        <f>IFERROR(__xludf.DUMMYFUNCTION("""COMPUTED_VALUE"""),44320.64583333333)</f>
        <v>44320.64583</v>
      </c>
      <c r="B92" s="1">
        <f>IFERROR(__xludf.DUMMYFUNCTION("""COMPUTED_VALUE"""),21991.76)</f>
        <v>21991.76</v>
      </c>
      <c r="C92" s="1">
        <f>IFERROR(__xludf.DUMMYFUNCTION("""COMPUTED_VALUE"""),22067.73)</f>
        <v>22067.73</v>
      </c>
      <c r="D92" s="1">
        <f>IFERROR(__xludf.DUMMYFUNCTION("""COMPUTED_VALUE"""),21384.04)</f>
        <v>21384.04</v>
      </c>
      <c r="E92" s="1">
        <f>IFERROR(__xludf.DUMMYFUNCTION("""COMPUTED_VALUE"""),21611.94)</f>
        <v>21611.94</v>
      </c>
      <c r="F92" s="1">
        <f>IFERROR(__xludf.DUMMYFUNCTION("""COMPUTED_VALUE"""),156194.0)</f>
        <v>156194</v>
      </c>
    </row>
    <row r="93">
      <c r="A93" s="2">
        <f>IFERROR(__xludf.DUMMYFUNCTION("""COMPUTED_VALUE"""),44322.64583333333)</f>
        <v>44322.64583</v>
      </c>
      <c r="B93" s="1">
        <f>IFERROR(__xludf.DUMMYFUNCTION("""COMPUTED_VALUE"""),21497.99)</f>
        <v>21497.99</v>
      </c>
      <c r="C93" s="1">
        <f>IFERROR(__xludf.DUMMYFUNCTION("""COMPUTED_VALUE"""),22523.51)</f>
        <v>22523.51</v>
      </c>
      <c r="D93" s="1">
        <f>IFERROR(__xludf.DUMMYFUNCTION("""COMPUTED_VALUE"""),21270.1)</f>
        <v>21270.1</v>
      </c>
      <c r="E93" s="1">
        <f>IFERROR(__xludf.DUMMYFUNCTION("""COMPUTED_VALUE"""),22143.69)</f>
        <v>22143.69</v>
      </c>
      <c r="F93" s="1">
        <f>IFERROR(__xludf.DUMMYFUNCTION("""COMPUTED_VALUE"""),97855.0)</f>
        <v>97855</v>
      </c>
    </row>
    <row r="94">
      <c r="A94" s="2">
        <f>IFERROR(__xludf.DUMMYFUNCTION("""COMPUTED_VALUE"""),44323.64583333333)</f>
        <v>44323.64583</v>
      </c>
      <c r="B94" s="1">
        <f>IFERROR(__xludf.DUMMYFUNCTION("""COMPUTED_VALUE"""),22219.66)</f>
        <v>22219.66</v>
      </c>
      <c r="C94" s="1">
        <f>IFERROR(__xludf.DUMMYFUNCTION("""COMPUTED_VALUE"""),22751.41)</f>
        <v>22751.41</v>
      </c>
      <c r="D94" s="1">
        <f>IFERROR(__xludf.DUMMYFUNCTION("""COMPUTED_VALUE"""),22143.69)</f>
        <v>22143.69</v>
      </c>
      <c r="E94" s="1">
        <f>IFERROR(__xludf.DUMMYFUNCTION("""COMPUTED_VALUE"""),22637.46)</f>
        <v>22637.46</v>
      </c>
      <c r="F94" s="1">
        <f>IFERROR(__xludf.DUMMYFUNCTION("""COMPUTED_VALUE"""),98261.0)</f>
        <v>98261</v>
      </c>
    </row>
    <row r="95">
      <c r="A95" s="2">
        <f>IFERROR(__xludf.DUMMYFUNCTION("""COMPUTED_VALUE"""),44326.64583333333)</f>
        <v>44326.64583</v>
      </c>
      <c r="B95" s="1">
        <f>IFERROR(__xludf.DUMMYFUNCTION("""COMPUTED_VALUE"""),22637.46)</f>
        <v>22637.46</v>
      </c>
      <c r="C95" s="1">
        <f>IFERROR(__xludf.DUMMYFUNCTION("""COMPUTED_VALUE"""),22789.39)</f>
        <v>22789.39</v>
      </c>
      <c r="D95" s="1">
        <f>IFERROR(__xludf.DUMMYFUNCTION("""COMPUTED_VALUE"""),22219.66)</f>
        <v>22219.66</v>
      </c>
      <c r="E95" s="1">
        <f>IFERROR(__xludf.DUMMYFUNCTION("""COMPUTED_VALUE"""),22561.5)</f>
        <v>22561.5</v>
      </c>
      <c r="F95" s="1">
        <f>IFERROR(__xludf.DUMMYFUNCTION("""COMPUTED_VALUE"""),89515.0)</f>
        <v>89515</v>
      </c>
    </row>
    <row r="96">
      <c r="A96" s="2">
        <f>IFERROR(__xludf.DUMMYFUNCTION("""COMPUTED_VALUE"""),44327.64583333333)</f>
        <v>44327.64583</v>
      </c>
      <c r="B96" s="1">
        <f>IFERROR(__xludf.DUMMYFUNCTION("""COMPUTED_VALUE"""),22409.57)</f>
        <v>22409.57</v>
      </c>
      <c r="C96" s="1">
        <f>IFERROR(__xludf.DUMMYFUNCTION("""COMPUTED_VALUE"""),22713.43)</f>
        <v>22713.43</v>
      </c>
      <c r="D96" s="1">
        <f>IFERROR(__xludf.DUMMYFUNCTION("""COMPUTED_VALUE"""),21915.8)</f>
        <v>21915.8</v>
      </c>
      <c r="E96" s="1">
        <f>IFERROR(__xludf.DUMMYFUNCTION("""COMPUTED_VALUE"""),22029.74)</f>
        <v>22029.74</v>
      </c>
      <c r="F96" s="1">
        <f>IFERROR(__xludf.DUMMYFUNCTION("""COMPUTED_VALUE"""),101945.0)</f>
        <v>101945</v>
      </c>
    </row>
    <row r="97">
      <c r="A97" s="2">
        <f>IFERROR(__xludf.DUMMYFUNCTION("""COMPUTED_VALUE"""),44328.64583333333)</f>
        <v>44328.64583</v>
      </c>
      <c r="B97" s="1">
        <f>IFERROR(__xludf.DUMMYFUNCTION("""COMPUTED_VALUE"""),22181.67)</f>
        <v>22181.67</v>
      </c>
      <c r="C97" s="1">
        <f>IFERROR(__xludf.DUMMYFUNCTION("""COMPUTED_VALUE"""),24004.82)</f>
        <v>24004.82</v>
      </c>
      <c r="D97" s="1">
        <f>IFERROR(__xludf.DUMMYFUNCTION("""COMPUTED_VALUE"""),22181.67)</f>
        <v>22181.67</v>
      </c>
      <c r="E97" s="1">
        <f>IFERROR(__xludf.DUMMYFUNCTION("""COMPUTED_VALUE"""),22333.6)</f>
        <v>22333.6</v>
      </c>
      <c r="F97" s="1">
        <f>IFERROR(__xludf.DUMMYFUNCTION("""COMPUTED_VALUE"""),383255.0)</f>
        <v>383255</v>
      </c>
    </row>
    <row r="98">
      <c r="A98" s="2">
        <f>IFERROR(__xludf.DUMMYFUNCTION("""COMPUTED_VALUE"""),44329.64583333333)</f>
        <v>44329.64583</v>
      </c>
      <c r="B98" s="1">
        <f>IFERROR(__xludf.DUMMYFUNCTION("""COMPUTED_VALUE"""),21953.78)</f>
        <v>21953.78</v>
      </c>
      <c r="C98" s="1">
        <f>IFERROR(__xludf.DUMMYFUNCTION("""COMPUTED_VALUE"""),21953.78)</f>
        <v>21953.78</v>
      </c>
      <c r="D98" s="1">
        <f>IFERROR(__xludf.DUMMYFUNCTION("""COMPUTED_VALUE"""),21118.17)</f>
        <v>21118.17</v>
      </c>
      <c r="E98" s="1">
        <f>IFERROR(__xludf.DUMMYFUNCTION("""COMPUTED_VALUE"""),21460.01)</f>
        <v>21460.01</v>
      </c>
      <c r="F98" s="1">
        <f>IFERROR(__xludf.DUMMYFUNCTION("""COMPUTED_VALUE"""),214421.0)</f>
        <v>214421</v>
      </c>
    </row>
    <row r="99">
      <c r="A99" s="2">
        <f>IFERROR(__xludf.DUMMYFUNCTION("""COMPUTED_VALUE"""),44330.64583333333)</f>
        <v>44330.64583</v>
      </c>
      <c r="B99" s="1">
        <f>IFERROR(__xludf.DUMMYFUNCTION("""COMPUTED_VALUE"""),21687.9)</f>
        <v>21687.9</v>
      </c>
      <c r="C99" s="1">
        <f>IFERROR(__xludf.DUMMYFUNCTION("""COMPUTED_VALUE"""),21839.83)</f>
        <v>21839.83</v>
      </c>
      <c r="D99" s="1">
        <f>IFERROR(__xludf.DUMMYFUNCTION("""COMPUTED_VALUE"""),21497.99)</f>
        <v>21497.99</v>
      </c>
      <c r="E99" s="1">
        <f>IFERROR(__xludf.DUMMYFUNCTION("""COMPUTED_VALUE"""),21535.97)</f>
        <v>21535.97</v>
      </c>
      <c r="F99" s="1">
        <f>IFERROR(__xludf.DUMMYFUNCTION("""COMPUTED_VALUE"""),71645.0)</f>
        <v>71645</v>
      </c>
    </row>
    <row r="100">
      <c r="A100" s="2">
        <f>IFERROR(__xludf.DUMMYFUNCTION("""COMPUTED_VALUE"""),44333.64583333333)</f>
        <v>44333.64583</v>
      </c>
      <c r="B100" s="1">
        <f>IFERROR(__xludf.DUMMYFUNCTION("""COMPUTED_VALUE"""),21687.9)</f>
        <v>21687.9</v>
      </c>
      <c r="C100" s="1">
        <f>IFERROR(__xludf.DUMMYFUNCTION("""COMPUTED_VALUE"""),21877.81)</f>
        <v>21877.81</v>
      </c>
      <c r="D100" s="1">
        <f>IFERROR(__xludf.DUMMYFUNCTION("""COMPUTED_VALUE"""),21460.01)</f>
        <v>21460.01</v>
      </c>
      <c r="E100" s="1">
        <f>IFERROR(__xludf.DUMMYFUNCTION("""COMPUTED_VALUE"""),21460.01)</f>
        <v>21460.01</v>
      </c>
      <c r="F100" s="1">
        <f>IFERROR(__xludf.DUMMYFUNCTION("""COMPUTED_VALUE"""),71806.0)</f>
        <v>71806</v>
      </c>
    </row>
    <row r="101">
      <c r="A101" s="2">
        <f>IFERROR(__xludf.DUMMYFUNCTION("""COMPUTED_VALUE"""),44334.64583333333)</f>
        <v>44334.64583</v>
      </c>
      <c r="B101" s="1">
        <f>IFERROR(__xludf.DUMMYFUNCTION("""COMPUTED_VALUE"""),21422.03)</f>
        <v>21422.03</v>
      </c>
      <c r="C101" s="1">
        <f>IFERROR(__xludf.DUMMYFUNCTION("""COMPUTED_VALUE"""),25220.26)</f>
        <v>25220.26</v>
      </c>
      <c r="D101" s="1">
        <f>IFERROR(__xludf.DUMMYFUNCTION("""COMPUTED_VALUE"""),21156.15)</f>
        <v>21156.15</v>
      </c>
      <c r="E101" s="1">
        <f>IFERROR(__xludf.DUMMYFUNCTION("""COMPUTED_VALUE"""),22409.57)</f>
        <v>22409.57</v>
      </c>
      <c r="F101" s="1">
        <f>IFERROR(__xludf.DUMMYFUNCTION("""COMPUTED_VALUE"""),2038312.0)</f>
        <v>2038312</v>
      </c>
    </row>
    <row r="102">
      <c r="A102" s="2">
        <f>IFERROR(__xludf.DUMMYFUNCTION("""COMPUTED_VALUE"""),44336.64583333333)</f>
        <v>44336.64583</v>
      </c>
      <c r="B102" s="1">
        <f>IFERROR(__xludf.DUMMYFUNCTION("""COMPUTED_VALUE"""),22409.57)</f>
        <v>22409.57</v>
      </c>
      <c r="C102" s="1">
        <f>IFERROR(__xludf.DUMMYFUNCTION("""COMPUTED_VALUE"""),23435.09)</f>
        <v>23435.09</v>
      </c>
      <c r="D102" s="1">
        <f>IFERROR(__xludf.DUMMYFUNCTION("""COMPUTED_VALUE"""),22333.6)</f>
        <v>22333.6</v>
      </c>
      <c r="E102" s="1">
        <f>IFERROR(__xludf.DUMMYFUNCTION("""COMPUTED_VALUE"""),22637.46)</f>
        <v>22637.46</v>
      </c>
      <c r="F102" s="1">
        <f>IFERROR(__xludf.DUMMYFUNCTION("""COMPUTED_VALUE"""),294914.0)</f>
        <v>294914</v>
      </c>
    </row>
    <row r="103">
      <c r="A103" s="2">
        <f>IFERROR(__xludf.DUMMYFUNCTION("""COMPUTED_VALUE"""),44337.64583333333)</f>
        <v>44337.64583</v>
      </c>
      <c r="B103" s="1">
        <f>IFERROR(__xludf.DUMMYFUNCTION("""COMPUTED_VALUE"""),22827.37)</f>
        <v>22827.37</v>
      </c>
      <c r="C103" s="1">
        <f>IFERROR(__xludf.DUMMYFUNCTION("""COMPUTED_VALUE"""),23093.25)</f>
        <v>23093.25</v>
      </c>
      <c r="D103" s="1">
        <f>IFERROR(__xludf.DUMMYFUNCTION("""COMPUTED_VALUE"""),22409.57)</f>
        <v>22409.57</v>
      </c>
      <c r="E103" s="1">
        <f>IFERROR(__xludf.DUMMYFUNCTION("""COMPUTED_VALUE"""),22447.55)</f>
        <v>22447.55</v>
      </c>
      <c r="F103" s="1">
        <f>IFERROR(__xludf.DUMMYFUNCTION("""COMPUTED_VALUE"""),160828.0)</f>
        <v>160828</v>
      </c>
    </row>
    <row r="104">
      <c r="A104" s="2">
        <f>IFERROR(__xludf.DUMMYFUNCTION("""COMPUTED_VALUE"""),44340.64583333333)</f>
        <v>44340.64583</v>
      </c>
      <c r="B104" s="1">
        <f>IFERROR(__xludf.DUMMYFUNCTION("""COMPUTED_VALUE"""),22447.55)</f>
        <v>22447.55</v>
      </c>
      <c r="C104" s="1">
        <f>IFERROR(__xludf.DUMMYFUNCTION("""COMPUTED_VALUE"""),24080.79)</f>
        <v>24080.79</v>
      </c>
      <c r="D104" s="1">
        <f>IFERROR(__xludf.DUMMYFUNCTION("""COMPUTED_VALUE"""),22447.55)</f>
        <v>22447.55</v>
      </c>
      <c r="E104" s="1">
        <f>IFERROR(__xludf.DUMMYFUNCTION("""COMPUTED_VALUE"""),23473.07)</f>
        <v>23473.07</v>
      </c>
      <c r="F104" s="1">
        <f>IFERROR(__xludf.DUMMYFUNCTION("""COMPUTED_VALUE"""),962994.0)</f>
        <v>962994</v>
      </c>
    </row>
    <row r="105">
      <c r="A105" s="2">
        <f>IFERROR(__xludf.DUMMYFUNCTION("""COMPUTED_VALUE"""),44341.64583333333)</f>
        <v>44341.64583</v>
      </c>
      <c r="B105" s="1">
        <f>IFERROR(__xludf.DUMMYFUNCTION("""COMPUTED_VALUE"""),23700.97)</f>
        <v>23700.97</v>
      </c>
      <c r="C105" s="1">
        <f>IFERROR(__xludf.DUMMYFUNCTION("""COMPUTED_VALUE"""),24080.79)</f>
        <v>24080.79</v>
      </c>
      <c r="D105" s="1">
        <f>IFERROR(__xludf.DUMMYFUNCTION("""COMPUTED_VALUE"""),23055.27)</f>
        <v>23055.27</v>
      </c>
      <c r="E105" s="1">
        <f>IFERROR(__xludf.DUMMYFUNCTION("""COMPUTED_VALUE"""),23055.27)</f>
        <v>23055.27</v>
      </c>
      <c r="F105" s="1">
        <f>IFERROR(__xludf.DUMMYFUNCTION("""COMPUTED_VALUE"""),373830.0)</f>
        <v>373830</v>
      </c>
    </row>
    <row r="106">
      <c r="A106" s="2">
        <f>IFERROR(__xludf.DUMMYFUNCTION("""COMPUTED_VALUE"""),44342.64583333333)</f>
        <v>44342.64583</v>
      </c>
      <c r="B106" s="1">
        <f>IFERROR(__xludf.DUMMYFUNCTION("""COMPUTED_VALUE"""),23359.12)</f>
        <v>23359.12</v>
      </c>
      <c r="C106" s="1">
        <f>IFERROR(__xludf.DUMMYFUNCTION("""COMPUTED_VALUE"""),24536.58)</f>
        <v>24536.58</v>
      </c>
      <c r="D106" s="1">
        <f>IFERROR(__xludf.DUMMYFUNCTION("""COMPUTED_VALUE"""),23321.14)</f>
        <v>23321.14</v>
      </c>
      <c r="E106" s="1">
        <f>IFERROR(__xludf.DUMMYFUNCTION("""COMPUTED_VALUE"""),23473.07)</f>
        <v>23473.07</v>
      </c>
      <c r="F106" s="1">
        <f>IFERROR(__xludf.DUMMYFUNCTION("""COMPUTED_VALUE"""),642440.0)</f>
        <v>642440</v>
      </c>
    </row>
    <row r="107">
      <c r="A107" s="2">
        <f>IFERROR(__xludf.DUMMYFUNCTION("""COMPUTED_VALUE"""),44343.64583333333)</f>
        <v>44343.64583</v>
      </c>
      <c r="B107" s="1">
        <f>IFERROR(__xludf.DUMMYFUNCTION("""COMPUTED_VALUE"""),23928.86)</f>
        <v>23928.86</v>
      </c>
      <c r="C107" s="1">
        <f>IFERROR(__xludf.DUMMYFUNCTION("""COMPUTED_VALUE"""),24270.7)</f>
        <v>24270.7</v>
      </c>
      <c r="D107" s="1">
        <f>IFERROR(__xludf.DUMMYFUNCTION("""COMPUTED_VALUE"""),23511.05)</f>
        <v>23511.05</v>
      </c>
      <c r="E107" s="1">
        <f>IFERROR(__xludf.DUMMYFUNCTION("""COMPUTED_VALUE"""),23662.98)</f>
        <v>23662.98</v>
      </c>
      <c r="F107" s="1">
        <f>IFERROR(__xludf.DUMMYFUNCTION("""COMPUTED_VALUE"""),285781.0)</f>
        <v>285781</v>
      </c>
    </row>
    <row r="108">
      <c r="A108" s="2">
        <f>IFERROR(__xludf.DUMMYFUNCTION("""COMPUTED_VALUE"""),44344.64583333333)</f>
        <v>44344.64583</v>
      </c>
      <c r="B108" s="1">
        <f>IFERROR(__xludf.DUMMYFUNCTION("""COMPUTED_VALUE"""),23700.97)</f>
        <v>23700.97</v>
      </c>
      <c r="C108" s="1">
        <f>IFERROR(__xludf.DUMMYFUNCTION("""COMPUTED_VALUE"""),23890.88)</f>
        <v>23890.88</v>
      </c>
      <c r="D108" s="1">
        <f>IFERROR(__xludf.DUMMYFUNCTION("""COMPUTED_VALUE"""),23017.28)</f>
        <v>23017.28</v>
      </c>
      <c r="E108" s="1">
        <f>IFERROR(__xludf.DUMMYFUNCTION("""COMPUTED_VALUE"""),23245.18)</f>
        <v>23245.18</v>
      </c>
      <c r="F108" s="1">
        <f>IFERROR(__xludf.DUMMYFUNCTION("""COMPUTED_VALUE"""),242147.0)</f>
        <v>242147</v>
      </c>
    </row>
    <row r="109">
      <c r="A109" s="2">
        <f>IFERROR(__xludf.DUMMYFUNCTION("""COMPUTED_VALUE"""),44347.64583333333)</f>
        <v>44347.64583</v>
      </c>
      <c r="B109" s="1">
        <f>IFERROR(__xludf.DUMMYFUNCTION("""COMPUTED_VALUE"""),23435.09)</f>
        <v>23435.09</v>
      </c>
      <c r="C109" s="1">
        <f>IFERROR(__xludf.DUMMYFUNCTION("""COMPUTED_VALUE"""),23738.95)</f>
        <v>23738.95</v>
      </c>
      <c r="D109" s="1">
        <f>IFERROR(__xludf.DUMMYFUNCTION("""COMPUTED_VALUE"""),22523.51)</f>
        <v>22523.51</v>
      </c>
      <c r="E109" s="1">
        <f>IFERROR(__xludf.DUMMYFUNCTION("""COMPUTED_VALUE"""),23283.16)</f>
        <v>23283.16</v>
      </c>
      <c r="F109" s="1">
        <f>IFERROR(__xludf.DUMMYFUNCTION("""COMPUTED_VALUE"""),175487.0)</f>
        <v>175487</v>
      </c>
    </row>
    <row r="110">
      <c r="A110" s="2">
        <f>IFERROR(__xludf.DUMMYFUNCTION("""COMPUTED_VALUE"""),44348.64583333333)</f>
        <v>44348.64583</v>
      </c>
      <c r="B110" s="1">
        <f>IFERROR(__xludf.DUMMYFUNCTION("""COMPUTED_VALUE"""),23549.04)</f>
        <v>23549.04</v>
      </c>
      <c r="C110" s="1">
        <f>IFERROR(__xludf.DUMMYFUNCTION("""COMPUTED_VALUE"""),23700.97)</f>
        <v>23700.97</v>
      </c>
      <c r="D110" s="1">
        <f>IFERROR(__xludf.DUMMYFUNCTION("""COMPUTED_VALUE"""),23131.23)</f>
        <v>23131.23</v>
      </c>
      <c r="E110" s="1">
        <f>IFERROR(__xludf.DUMMYFUNCTION("""COMPUTED_VALUE"""),23283.16)</f>
        <v>23283.16</v>
      </c>
      <c r="F110" s="1">
        <f>IFERROR(__xludf.DUMMYFUNCTION("""COMPUTED_VALUE"""),128830.0)</f>
        <v>128830</v>
      </c>
    </row>
    <row r="111">
      <c r="A111" s="2">
        <f>IFERROR(__xludf.DUMMYFUNCTION("""COMPUTED_VALUE"""),44349.64583333333)</f>
        <v>44349.64583</v>
      </c>
      <c r="B111" s="1">
        <f>IFERROR(__xludf.DUMMYFUNCTION("""COMPUTED_VALUE"""),23283.16)</f>
        <v>23283.16</v>
      </c>
      <c r="C111" s="1">
        <f>IFERROR(__xludf.DUMMYFUNCTION("""COMPUTED_VALUE"""),23852.89)</f>
        <v>23852.89</v>
      </c>
      <c r="D111" s="1">
        <f>IFERROR(__xludf.DUMMYFUNCTION("""COMPUTED_VALUE"""),23245.18)</f>
        <v>23245.18</v>
      </c>
      <c r="E111" s="1">
        <f>IFERROR(__xludf.DUMMYFUNCTION("""COMPUTED_VALUE"""),23397.11)</f>
        <v>23397.11</v>
      </c>
      <c r="F111" s="1">
        <f>IFERROR(__xludf.DUMMYFUNCTION("""COMPUTED_VALUE"""),169408.0)</f>
        <v>169408</v>
      </c>
    </row>
    <row r="112">
      <c r="A112" s="2">
        <f>IFERROR(__xludf.DUMMYFUNCTION("""COMPUTED_VALUE"""),44350.64583333333)</f>
        <v>44350.64583</v>
      </c>
      <c r="B112" s="1">
        <f>IFERROR(__xludf.DUMMYFUNCTION("""COMPUTED_VALUE"""),23511.05)</f>
        <v>23511.05</v>
      </c>
      <c r="C112" s="1">
        <f>IFERROR(__xludf.DUMMYFUNCTION("""COMPUTED_VALUE"""),23662.98)</f>
        <v>23662.98</v>
      </c>
      <c r="D112" s="1">
        <f>IFERROR(__xludf.DUMMYFUNCTION("""COMPUTED_VALUE"""),23245.18)</f>
        <v>23245.18</v>
      </c>
      <c r="E112" s="1">
        <f>IFERROR(__xludf.DUMMYFUNCTION("""COMPUTED_VALUE"""),23549.04)</f>
        <v>23549.04</v>
      </c>
      <c r="F112" s="1">
        <f>IFERROR(__xludf.DUMMYFUNCTION("""COMPUTED_VALUE"""),148562.0)</f>
        <v>148562</v>
      </c>
    </row>
    <row r="113">
      <c r="A113" s="2">
        <f>IFERROR(__xludf.DUMMYFUNCTION("""COMPUTED_VALUE"""),44351.64583333333)</f>
        <v>44351.64583</v>
      </c>
      <c r="B113" s="1">
        <f>IFERROR(__xludf.DUMMYFUNCTION("""COMPUTED_VALUE"""),23549.04)</f>
        <v>23549.04</v>
      </c>
      <c r="C113" s="1">
        <f>IFERROR(__xludf.DUMMYFUNCTION("""COMPUTED_VALUE"""),23549.04)</f>
        <v>23549.04</v>
      </c>
      <c r="D113" s="1">
        <f>IFERROR(__xludf.DUMMYFUNCTION("""COMPUTED_VALUE"""),23093.25)</f>
        <v>23093.25</v>
      </c>
      <c r="E113" s="1">
        <f>IFERROR(__xludf.DUMMYFUNCTION("""COMPUTED_VALUE"""),23131.23)</f>
        <v>23131.23</v>
      </c>
      <c r="F113" s="1">
        <f>IFERROR(__xludf.DUMMYFUNCTION("""COMPUTED_VALUE"""),100823.0)</f>
        <v>100823</v>
      </c>
    </row>
    <row r="114">
      <c r="A114" s="2">
        <f>IFERROR(__xludf.DUMMYFUNCTION("""COMPUTED_VALUE"""),44354.64583333333)</f>
        <v>44354.64583</v>
      </c>
      <c r="B114" s="1">
        <f>IFERROR(__xludf.DUMMYFUNCTION("""COMPUTED_VALUE"""),23131.23)</f>
        <v>23131.23</v>
      </c>
      <c r="C114" s="1">
        <f>IFERROR(__xludf.DUMMYFUNCTION("""COMPUTED_VALUE"""),23321.14)</f>
        <v>23321.14</v>
      </c>
      <c r="D114" s="1">
        <f>IFERROR(__xludf.DUMMYFUNCTION("""COMPUTED_VALUE"""),22789.39)</f>
        <v>22789.39</v>
      </c>
      <c r="E114" s="1">
        <f>IFERROR(__xludf.DUMMYFUNCTION("""COMPUTED_VALUE"""),22865.35)</f>
        <v>22865.35</v>
      </c>
      <c r="F114" s="1">
        <f>IFERROR(__xludf.DUMMYFUNCTION("""COMPUTED_VALUE"""),109344.0)</f>
        <v>109344</v>
      </c>
    </row>
    <row r="115">
      <c r="A115" s="2">
        <f>IFERROR(__xludf.DUMMYFUNCTION("""COMPUTED_VALUE"""),44355.64583333333)</f>
        <v>44355.64583</v>
      </c>
      <c r="B115" s="1">
        <f>IFERROR(__xludf.DUMMYFUNCTION("""COMPUTED_VALUE"""),22789.39)</f>
        <v>22789.39</v>
      </c>
      <c r="C115" s="1">
        <f>IFERROR(__xludf.DUMMYFUNCTION("""COMPUTED_VALUE"""),23700.97)</f>
        <v>23700.97</v>
      </c>
      <c r="D115" s="1">
        <f>IFERROR(__xludf.DUMMYFUNCTION("""COMPUTED_VALUE"""),22713.43)</f>
        <v>22713.43</v>
      </c>
      <c r="E115" s="1">
        <f>IFERROR(__xludf.DUMMYFUNCTION("""COMPUTED_VALUE"""),23700.97)</f>
        <v>23700.97</v>
      </c>
      <c r="F115" s="1">
        <f>IFERROR(__xludf.DUMMYFUNCTION("""COMPUTED_VALUE"""),220605.0)</f>
        <v>220605</v>
      </c>
    </row>
    <row r="116">
      <c r="A116" s="2">
        <f>IFERROR(__xludf.DUMMYFUNCTION("""COMPUTED_VALUE"""),44356.64583333333)</f>
        <v>44356.64583</v>
      </c>
      <c r="B116" s="1">
        <f>IFERROR(__xludf.DUMMYFUNCTION("""COMPUTED_VALUE"""),24992.36)</f>
        <v>24992.36</v>
      </c>
      <c r="C116" s="1">
        <f>IFERROR(__xludf.DUMMYFUNCTION("""COMPUTED_VALUE"""),25410.17)</f>
        <v>25410.17</v>
      </c>
      <c r="D116" s="1">
        <f>IFERROR(__xludf.DUMMYFUNCTION("""COMPUTED_VALUE"""),23625.0)</f>
        <v>23625</v>
      </c>
      <c r="E116" s="1">
        <f>IFERROR(__xludf.DUMMYFUNCTION("""COMPUTED_VALUE"""),23625.0)</f>
        <v>23625</v>
      </c>
      <c r="F116" s="1">
        <f>IFERROR(__xludf.DUMMYFUNCTION("""COMPUTED_VALUE"""),964218.0)</f>
        <v>964218</v>
      </c>
    </row>
    <row r="117">
      <c r="A117" s="2">
        <f>IFERROR(__xludf.DUMMYFUNCTION("""COMPUTED_VALUE"""),44357.64583333333)</f>
        <v>44357.64583</v>
      </c>
      <c r="B117" s="1">
        <f>IFERROR(__xludf.DUMMYFUNCTION("""COMPUTED_VALUE"""),23700.97)</f>
        <v>23700.97</v>
      </c>
      <c r="C117" s="1">
        <f>IFERROR(__xludf.DUMMYFUNCTION("""COMPUTED_VALUE"""),23776.93)</f>
        <v>23776.93</v>
      </c>
      <c r="D117" s="1">
        <f>IFERROR(__xludf.DUMMYFUNCTION("""COMPUTED_VALUE"""),23169.21)</f>
        <v>23169.21</v>
      </c>
      <c r="E117" s="1">
        <f>IFERROR(__xludf.DUMMYFUNCTION("""COMPUTED_VALUE"""),23359.12)</f>
        <v>23359.12</v>
      </c>
      <c r="F117" s="1">
        <f>IFERROR(__xludf.DUMMYFUNCTION("""COMPUTED_VALUE"""),157140.0)</f>
        <v>157140</v>
      </c>
    </row>
    <row r="118">
      <c r="A118" s="2">
        <f>IFERROR(__xludf.DUMMYFUNCTION("""COMPUTED_VALUE"""),44358.64583333333)</f>
        <v>44358.64583</v>
      </c>
      <c r="B118" s="1">
        <f>IFERROR(__xludf.DUMMYFUNCTION("""COMPUTED_VALUE"""),23587.02)</f>
        <v>23587.02</v>
      </c>
      <c r="C118" s="1">
        <f>IFERROR(__xludf.DUMMYFUNCTION("""COMPUTED_VALUE"""),24042.81)</f>
        <v>24042.81</v>
      </c>
      <c r="D118" s="1">
        <f>IFERROR(__xludf.DUMMYFUNCTION("""COMPUTED_VALUE"""),23397.11)</f>
        <v>23397.11</v>
      </c>
      <c r="E118" s="1">
        <f>IFERROR(__xludf.DUMMYFUNCTION("""COMPUTED_VALUE"""),23511.05)</f>
        <v>23511.05</v>
      </c>
      <c r="F118" s="1">
        <f>IFERROR(__xludf.DUMMYFUNCTION("""COMPUTED_VALUE"""),203702.0)</f>
        <v>203702</v>
      </c>
    </row>
    <row r="119">
      <c r="A119" s="2">
        <f>IFERROR(__xludf.DUMMYFUNCTION("""COMPUTED_VALUE"""),44361.64583333333)</f>
        <v>44361.64583</v>
      </c>
      <c r="B119" s="1">
        <f>IFERROR(__xludf.DUMMYFUNCTION("""COMPUTED_VALUE"""),23625.0)</f>
        <v>23625</v>
      </c>
      <c r="C119" s="1">
        <f>IFERROR(__xludf.DUMMYFUNCTION("""COMPUTED_VALUE"""),23890.88)</f>
        <v>23890.88</v>
      </c>
      <c r="D119" s="1">
        <f>IFERROR(__xludf.DUMMYFUNCTION("""COMPUTED_VALUE"""),23321.14)</f>
        <v>23321.14</v>
      </c>
      <c r="E119" s="1">
        <f>IFERROR(__xludf.DUMMYFUNCTION("""COMPUTED_VALUE"""),23700.97)</f>
        <v>23700.97</v>
      </c>
      <c r="F119" s="1">
        <f>IFERROR(__xludf.DUMMYFUNCTION("""COMPUTED_VALUE"""),145392.0)</f>
        <v>145392</v>
      </c>
    </row>
    <row r="120">
      <c r="A120" s="2">
        <f>IFERROR(__xludf.DUMMYFUNCTION("""COMPUTED_VALUE"""),44362.64583333333)</f>
        <v>44362.64583</v>
      </c>
      <c r="B120" s="1">
        <f>IFERROR(__xludf.DUMMYFUNCTION("""COMPUTED_VALUE"""),23700.97)</f>
        <v>23700.97</v>
      </c>
      <c r="C120" s="1">
        <f>IFERROR(__xludf.DUMMYFUNCTION("""COMPUTED_VALUE"""),24688.51)</f>
        <v>24688.51</v>
      </c>
      <c r="D120" s="1">
        <f>IFERROR(__xludf.DUMMYFUNCTION("""COMPUTED_VALUE"""),23397.11)</f>
        <v>23397.11</v>
      </c>
      <c r="E120" s="1">
        <f>IFERROR(__xludf.DUMMYFUNCTION("""COMPUTED_VALUE"""),24536.58)</f>
        <v>24536.58</v>
      </c>
      <c r="F120" s="1">
        <f>IFERROR(__xludf.DUMMYFUNCTION("""COMPUTED_VALUE"""),451769.0)</f>
        <v>451769</v>
      </c>
    </row>
    <row r="121">
      <c r="A121" s="2">
        <f>IFERROR(__xludf.DUMMYFUNCTION("""COMPUTED_VALUE"""),44363.64583333333)</f>
        <v>44363.64583</v>
      </c>
      <c r="B121" s="1">
        <f>IFERROR(__xludf.DUMMYFUNCTION("""COMPUTED_VALUE"""),24726.49)</f>
        <v>24726.49</v>
      </c>
      <c r="C121" s="1">
        <f>IFERROR(__xludf.DUMMYFUNCTION("""COMPUTED_VALUE"""),24726.49)</f>
        <v>24726.49</v>
      </c>
      <c r="D121" s="1">
        <f>IFERROR(__xludf.DUMMYFUNCTION("""COMPUTED_VALUE"""),24156.75)</f>
        <v>24156.75</v>
      </c>
      <c r="E121" s="1">
        <f>IFERROR(__xludf.DUMMYFUNCTION("""COMPUTED_VALUE"""),24232.72)</f>
        <v>24232.72</v>
      </c>
      <c r="F121" s="1">
        <f>IFERROR(__xludf.DUMMYFUNCTION("""COMPUTED_VALUE"""),229627.0)</f>
        <v>229627</v>
      </c>
    </row>
    <row r="122">
      <c r="A122" s="2">
        <f>IFERROR(__xludf.DUMMYFUNCTION("""COMPUTED_VALUE"""),44364.64583333333)</f>
        <v>44364.64583</v>
      </c>
      <c r="B122" s="1">
        <f>IFERROR(__xludf.DUMMYFUNCTION("""COMPUTED_VALUE"""),24232.72)</f>
        <v>24232.72</v>
      </c>
      <c r="C122" s="1">
        <f>IFERROR(__xludf.DUMMYFUNCTION("""COMPUTED_VALUE"""),24232.72)</f>
        <v>24232.72</v>
      </c>
      <c r="D122" s="1">
        <f>IFERROR(__xludf.DUMMYFUNCTION("""COMPUTED_VALUE"""),23625.0)</f>
        <v>23625</v>
      </c>
      <c r="E122" s="1">
        <f>IFERROR(__xludf.DUMMYFUNCTION("""COMPUTED_VALUE"""),23928.86)</f>
        <v>23928.86</v>
      </c>
      <c r="F122" s="1">
        <f>IFERROR(__xludf.DUMMYFUNCTION("""COMPUTED_VALUE"""),152766.0)</f>
        <v>152766</v>
      </c>
    </row>
    <row r="123">
      <c r="A123" s="2">
        <f>IFERROR(__xludf.DUMMYFUNCTION("""COMPUTED_VALUE"""),44365.64583333333)</f>
        <v>44365.64583</v>
      </c>
      <c r="B123" s="1">
        <f>IFERROR(__xludf.DUMMYFUNCTION("""COMPUTED_VALUE"""),23966.84)</f>
        <v>23966.84</v>
      </c>
      <c r="C123" s="1">
        <f>IFERROR(__xludf.DUMMYFUNCTION("""COMPUTED_VALUE"""),24080.79)</f>
        <v>24080.79</v>
      </c>
      <c r="D123" s="1">
        <f>IFERROR(__xludf.DUMMYFUNCTION("""COMPUTED_VALUE"""),23662.98)</f>
        <v>23662.98</v>
      </c>
      <c r="E123" s="1">
        <f>IFERROR(__xludf.DUMMYFUNCTION("""COMPUTED_VALUE"""),24042.81)</f>
        <v>24042.81</v>
      </c>
      <c r="F123" s="1">
        <f>IFERROR(__xludf.DUMMYFUNCTION("""COMPUTED_VALUE"""),123677.0)</f>
        <v>123677</v>
      </c>
    </row>
    <row r="124">
      <c r="A124" s="2">
        <f>IFERROR(__xludf.DUMMYFUNCTION("""COMPUTED_VALUE"""),44368.64583333333)</f>
        <v>44368.64583</v>
      </c>
      <c r="B124" s="1">
        <f>IFERROR(__xludf.DUMMYFUNCTION("""COMPUTED_VALUE"""),23700.97)</f>
        <v>23700.97</v>
      </c>
      <c r="C124" s="1">
        <f>IFERROR(__xludf.DUMMYFUNCTION("""COMPUTED_VALUE"""),24726.49)</f>
        <v>24726.49</v>
      </c>
      <c r="D124" s="1">
        <f>IFERROR(__xludf.DUMMYFUNCTION("""COMPUTED_VALUE"""),23625.0)</f>
        <v>23625</v>
      </c>
      <c r="E124" s="1">
        <f>IFERROR(__xludf.DUMMYFUNCTION("""COMPUTED_VALUE"""),24726.49)</f>
        <v>24726.49</v>
      </c>
      <c r="F124" s="1">
        <f>IFERROR(__xludf.DUMMYFUNCTION("""COMPUTED_VALUE"""),332465.0)</f>
        <v>332465</v>
      </c>
    </row>
    <row r="125">
      <c r="A125" s="2">
        <f>IFERROR(__xludf.DUMMYFUNCTION("""COMPUTED_VALUE"""),44369.64583333333)</f>
        <v>44369.64583</v>
      </c>
      <c r="B125" s="1">
        <f>IFERROR(__xludf.DUMMYFUNCTION("""COMPUTED_VALUE"""),24764.47)</f>
        <v>24764.47</v>
      </c>
      <c r="C125" s="1">
        <f>IFERROR(__xludf.DUMMYFUNCTION("""COMPUTED_VALUE"""),26245.78)</f>
        <v>26245.78</v>
      </c>
      <c r="D125" s="1">
        <f>IFERROR(__xludf.DUMMYFUNCTION("""COMPUTED_VALUE"""),24460.61)</f>
        <v>24460.61</v>
      </c>
      <c r="E125" s="1">
        <f>IFERROR(__xludf.DUMMYFUNCTION("""COMPUTED_VALUE"""),25372.19)</f>
        <v>25372.19</v>
      </c>
      <c r="F125" s="1">
        <f>IFERROR(__xludf.DUMMYFUNCTION("""COMPUTED_VALUE"""),2152533.0)</f>
        <v>2152533</v>
      </c>
    </row>
    <row r="126">
      <c r="A126" s="2">
        <f>IFERROR(__xludf.DUMMYFUNCTION("""COMPUTED_VALUE"""),44370.64583333333)</f>
        <v>44370.64583</v>
      </c>
      <c r="B126" s="1">
        <f>IFERROR(__xludf.DUMMYFUNCTION("""COMPUTED_VALUE"""),25903.94)</f>
        <v>25903.94</v>
      </c>
      <c r="C126" s="1">
        <f>IFERROR(__xludf.DUMMYFUNCTION("""COMPUTED_VALUE"""),27841.04)</f>
        <v>27841.04</v>
      </c>
      <c r="D126" s="1">
        <f>IFERROR(__xludf.DUMMYFUNCTION("""COMPUTED_VALUE"""),25524.12)</f>
        <v>25524.12</v>
      </c>
      <c r="E126" s="1">
        <f>IFERROR(__xludf.DUMMYFUNCTION("""COMPUTED_VALUE"""),27195.34)</f>
        <v>27195.34</v>
      </c>
      <c r="F126" s="1">
        <f>IFERROR(__xludf.DUMMYFUNCTION("""COMPUTED_VALUE"""),3160394.0)</f>
        <v>3160394</v>
      </c>
    </row>
    <row r="127">
      <c r="A127" s="2">
        <f>IFERROR(__xludf.DUMMYFUNCTION("""COMPUTED_VALUE"""),44371.64583333333)</f>
        <v>44371.64583</v>
      </c>
      <c r="B127" s="1">
        <f>IFERROR(__xludf.DUMMYFUNCTION("""COMPUTED_VALUE"""),28030.95)</f>
        <v>28030.95</v>
      </c>
      <c r="C127" s="1">
        <f>IFERROR(__xludf.DUMMYFUNCTION("""COMPUTED_VALUE"""),28524.72)</f>
        <v>28524.72</v>
      </c>
      <c r="D127" s="1">
        <f>IFERROR(__xludf.DUMMYFUNCTION("""COMPUTED_VALUE"""),26473.67)</f>
        <v>26473.67</v>
      </c>
      <c r="E127" s="1">
        <f>IFERROR(__xludf.DUMMYFUNCTION("""COMPUTED_VALUE"""),27613.14)</f>
        <v>27613.14</v>
      </c>
      <c r="F127" s="1">
        <f>IFERROR(__xludf.DUMMYFUNCTION("""COMPUTED_VALUE"""),1823651.0)</f>
        <v>1823651</v>
      </c>
    </row>
    <row r="128">
      <c r="A128" s="2">
        <f>IFERROR(__xludf.DUMMYFUNCTION("""COMPUTED_VALUE"""),44372.64583333333)</f>
        <v>44372.64583</v>
      </c>
      <c r="B128" s="1">
        <f>IFERROR(__xludf.DUMMYFUNCTION("""COMPUTED_VALUE"""),27651.13)</f>
        <v>27651.13</v>
      </c>
      <c r="C128" s="1">
        <f>IFERROR(__xludf.DUMMYFUNCTION("""COMPUTED_VALUE"""),27765.07)</f>
        <v>27765.07</v>
      </c>
      <c r="D128" s="1">
        <f>IFERROR(__xludf.DUMMYFUNCTION("""COMPUTED_VALUE"""),27005.43)</f>
        <v>27005.43</v>
      </c>
      <c r="E128" s="1">
        <f>IFERROR(__xludf.DUMMYFUNCTION("""COMPUTED_VALUE"""),27575.16)</f>
        <v>27575.16</v>
      </c>
      <c r="F128" s="1">
        <f>IFERROR(__xludf.DUMMYFUNCTION("""COMPUTED_VALUE"""),682293.0)</f>
        <v>682293</v>
      </c>
    </row>
    <row r="129">
      <c r="A129" s="2">
        <f>IFERROR(__xludf.DUMMYFUNCTION("""COMPUTED_VALUE"""),44375.64583333333)</f>
        <v>44375.64583</v>
      </c>
      <c r="B129" s="1">
        <f>IFERROR(__xludf.DUMMYFUNCTION("""COMPUTED_VALUE"""),27537.18)</f>
        <v>27537.18</v>
      </c>
      <c r="C129" s="1">
        <f>IFERROR(__xludf.DUMMYFUNCTION("""COMPUTED_VALUE"""),27537.18)</f>
        <v>27537.18</v>
      </c>
      <c r="D129" s="1">
        <f>IFERROR(__xludf.DUMMYFUNCTION("""COMPUTED_VALUE"""),26891.48)</f>
        <v>26891.48</v>
      </c>
      <c r="E129" s="1">
        <f>IFERROR(__xludf.DUMMYFUNCTION("""COMPUTED_VALUE"""),27195.34)</f>
        <v>27195.34</v>
      </c>
      <c r="F129" s="1">
        <f>IFERROR(__xludf.DUMMYFUNCTION("""COMPUTED_VALUE"""),531442.0)</f>
        <v>531442</v>
      </c>
    </row>
    <row r="130">
      <c r="A130" s="2">
        <f>IFERROR(__xludf.DUMMYFUNCTION("""COMPUTED_VALUE"""),44376.64583333333)</f>
        <v>44376.64583</v>
      </c>
      <c r="B130" s="1">
        <f>IFERROR(__xludf.DUMMYFUNCTION("""COMPUTED_VALUE"""),27461.22)</f>
        <v>27461.22</v>
      </c>
      <c r="C130" s="1">
        <f>IFERROR(__xludf.DUMMYFUNCTION("""COMPUTED_VALUE"""),27727.09)</f>
        <v>27727.09</v>
      </c>
      <c r="D130" s="1">
        <f>IFERROR(__xludf.DUMMYFUNCTION("""COMPUTED_VALUE"""),25752.01)</f>
        <v>25752.01</v>
      </c>
      <c r="E130" s="1">
        <f>IFERROR(__xludf.DUMMYFUNCTION("""COMPUTED_VALUE"""),26245.78)</f>
        <v>26245.78</v>
      </c>
      <c r="F130" s="1">
        <f>IFERROR(__xludf.DUMMYFUNCTION("""COMPUTED_VALUE"""),831774.0)</f>
        <v>831774</v>
      </c>
    </row>
    <row r="131">
      <c r="A131" s="2">
        <f>IFERROR(__xludf.DUMMYFUNCTION("""COMPUTED_VALUE"""),44377.64583333333)</f>
        <v>44377.64583</v>
      </c>
      <c r="B131" s="1">
        <f>IFERROR(__xludf.DUMMYFUNCTION("""COMPUTED_VALUE"""),26169.82)</f>
        <v>26169.82</v>
      </c>
      <c r="C131" s="1">
        <f>IFERROR(__xludf.DUMMYFUNCTION("""COMPUTED_VALUE"""),26891.48)</f>
        <v>26891.48</v>
      </c>
      <c r="D131" s="1">
        <f>IFERROR(__xludf.DUMMYFUNCTION("""COMPUTED_VALUE"""),25676.05)</f>
        <v>25676.05</v>
      </c>
      <c r="E131" s="1">
        <f>IFERROR(__xludf.DUMMYFUNCTION("""COMPUTED_VALUE"""),26435.69)</f>
        <v>26435.69</v>
      </c>
      <c r="F131" s="1">
        <f>IFERROR(__xludf.DUMMYFUNCTION("""COMPUTED_VALUE"""),568199.0)</f>
        <v>568199</v>
      </c>
    </row>
    <row r="132">
      <c r="A132" s="2">
        <f>IFERROR(__xludf.DUMMYFUNCTION("""COMPUTED_VALUE"""),44378.64583333333)</f>
        <v>44378.64583</v>
      </c>
      <c r="B132" s="1">
        <f>IFERROR(__xludf.DUMMYFUNCTION("""COMPUTED_VALUE"""),26435.69)</f>
        <v>26435.69</v>
      </c>
      <c r="C132" s="1">
        <f>IFERROR(__xludf.DUMMYFUNCTION("""COMPUTED_VALUE"""),27157.36)</f>
        <v>27157.36</v>
      </c>
      <c r="D132" s="1">
        <f>IFERROR(__xludf.DUMMYFUNCTION("""COMPUTED_VALUE"""),26207.8)</f>
        <v>26207.8</v>
      </c>
      <c r="E132" s="1">
        <f>IFERROR(__xludf.DUMMYFUNCTION("""COMPUTED_VALUE"""),26815.52)</f>
        <v>26815.52</v>
      </c>
      <c r="F132" s="1">
        <f>IFERROR(__xludf.DUMMYFUNCTION("""COMPUTED_VALUE"""),448534.0)</f>
        <v>448534</v>
      </c>
    </row>
    <row r="133">
      <c r="A133" s="2">
        <f>IFERROR(__xludf.DUMMYFUNCTION("""COMPUTED_VALUE"""),44379.64583333333)</f>
        <v>44379.64583</v>
      </c>
      <c r="B133" s="1">
        <f>IFERROR(__xludf.DUMMYFUNCTION("""COMPUTED_VALUE"""),27005.43)</f>
        <v>27005.43</v>
      </c>
      <c r="C133" s="1">
        <f>IFERROR(__xludf.DUMMYFUNCTION("""COMPUTED_VALUE"""),27157.36)</f>
        <v>27157.36</v>
      </c>
      <c r="D133" s="1">
        <f>IFERROR(__xludf.DUMMYFUNCTION("""COMPUTED_VALUE"""),26245.78)</f>
        <v>26245.78</v>
      </c>
      <c r="E133" s="1">
        <f>IFERROR(__xludf.DUMMYFUNCTION("""COMPUTED_VALUE"""),26929.46)</f>
        <v>26929.46</v>
      </c>
      <c r="F133" s="1">
        <f>IFERROR(__xludf.DUMMYFUNCTION("""COMPUTED_VALUE"""),486968.0)</f>
        <v>486968</v>
      </c>
    </row>
    <row r="134">
      <c r="A134" s="2">
        <f>IFERROR(__xludf.DUMMYFUNCTION("""COMPUTED_VALUE"""),44382.64583333333)</f>
        <v>44382.64583</v>
      </c>
      <c r="B134" s="1">
        <f>IFERROR(__xludf.DUMMYFUNCTION("""COMPUTED_VALUE"""),27309.29)</f>
        <v>27309.29</v>
      </c>
      <c r="C134" s="1">
        <f>IFERROR(__xludf.DUMMYFUNCTION("""COMPUTED_VALUE"""),28410.77)</f>
        <v>28410.77</v>
      </c>
      <c r="D134" s="1">
        <f>IFERROR(__xludf.DUMMYFUNCTION("""COMPUTED_VALUE"""),27233.32)</f>
        <v>27233.32</v>
      </c>
      <c r="E134" s="1">
        <f>IFERROR(__xludf.DUMMYFUNCTION("""COMPUTED_VALUE"""),28144.9)</f>
        <v>28144.9</v>
      </c>
      <c r="F134" s="1">
        <f>IFERROR(__xludf.DUMMYFUNCTION("""COMPUTED_VALUE"""),1388982.0)</f>
        <v>1388982</v>
      </c>
    </row>
    <row r="135">
      <c r="A135" s="2">
        <f>IFERROR(__xludf.DUMMYFUNCTION("""COMPUTED_VALUE"""),44383.64583333333)</f>
        <v>44383.64583</v>
      </c>
      <c r="B135" s="1">
        <f>IFERROR(__xludf.DUMMYFUNCTION("""COMPUTED_VALUE"""),28334.81)</f>
        <v>28334.81</v>
      </c>
      <c r="C135" s="1">
        <f>IFERROR(__xludf.DUMMYFUNCTION("""COMPUTED_VALUE"""),28828.58)</f>
        <v>28828.58</v>
      </c>
      <c r="D135" s="1">
        <f>IFERROR(__xludf.DUMMYFUNCTION("""COMPUTED_VALUE"""),27841.04)</f>
        <v>27841.04</v>
      </c>
      <c r="E135" s="1">
        <f>IFERROR(__xludf.DUMMYFUNCTION("""COMPUTED_VALUE"""),28258.84)</f>
        <v>28258.84</v>
      </c>
      <c r="F135" s="1">
        <f>IFERROR(__xludf.DUMMYFUNCTION("""COMPUTED_VALUE"""),768936.0)</f>
        <v>768936</v>
      </c>
    </row>
    <row r="136">
      <c r="A136" s="2">
        <f>IFERROR(__xludf.DUMMYFUNCTION("""COMPUTED_VALUE"""),44384.64583333333)</f>
        <v>44384.64583</v>
      </c>
      <c r="B136" s="1">
        <f>IFERROR(__xludf.DUMMYFUNCTION("""COMPUTED_VALUE"""),28182.88)</f>
        <v>28182.88</v>
      </c>
      <c r="C136" s="1">
        <f>IFERROR(__xludf.DUMMYFUNCTION("""COMPUTED_VALUE"""),28714.63)</f>
        <v>28714.63</v>
      </c>
      <c r="D136" s="1">
        <f>IFERROR(__xludf.DUMMYFUNCTION("""COMPUTED_VALUE"""),27727.09)</f>
        <v>27727.09</v>
      </c>
      <c r="E136" s="1">
        <f>IFERROR(__xludf.DUMMYFUNCTION("""COMPUTED_VALUE"""),28600.68)</f>
        <v>28600.68</v>
      </c>
      <c r="F136" s="1">
        <f>IFERROR(__xludf.DUMMYFUNCTION("""COMPUTED_VALUE"""),592787.0)</f>
        <v>592787</v>
      </c>
    </row>
    <row r="137">
      <c r="A137" s="2">
        <f>IFERROR(__xludf.DUMMYFUNCTION("""COMPUTED_VALUE"""),44385.64583333333)</f>
        <v>44385.64583</v>
      </c>
      <c r="B137" s="1">
        <f>IFERROR(__xludf.DUMMYFUNCTION("""COMPUTED_VALUE"""),28676.65)</f>
        <v>28676.65</v>
      </c>
      <c r="C137" s="1">
        <f>IFERROR(__xludf.DUMMYFUNCTION("""COMPUTED_VALUE"""),28714.63)</f>
        <v>28714.63</v>
      </c>
      <c r="D137" s="1">
        <f>IFERROR(__xludf.DUMMYFUNCTION("""COMPUTED_VALUE"""),27005.43)</f>
        <v>27005.43</v>
      </c>
      <c r="E137" s="1">
        <f>IFERROR(__xludf.DUMMYFUNCTION("""COMPUTED_VALUE"""),27347.27)</f>
        <v>27347.27</v>
      </c>
      <c r="F137" s="1">
        <f>IFERROR(__xludf.DUMMYFUNCTION("""COMPUTED_VALUE"""),693325.0)</f>
        <v>693325</v>
      </c>
    </row>
    <row r="138">
      <c r="A138" s="2">
        <f>IFERROR(__xludf.DUMMYFUNCTION("""COMPUTED_VALUE"""),44386.64583333333)</f>
        <v>44386.64583</v>
      </c>
      <c r="B138" s="1">
        <f>IFERROR(__xludf.DUMMYFUNCTION("""COMPUTED_VALUE"""),26891.48)</f>
        <v>26891.48</v>
      </c>
      <c r="C138" s="1">
        <f>IFERROR(__xludf.DUMMYFUNCTION("""COMPUTED_VALUE"""),28182.88)</f>
        <v>28182.88</v>
      </c>
      <c r="D138" s="1">
        <f>IFERROR(__xludf.DUMMYFUNCTION("""COMPUTED_VALUE"""),26283.76)</f>
        <v>26283.76</v>
      </c>
      <c r="E138" s="1">
        <f>IFERROR(__xludf.DUMMYFUNCTION("""COMPUTED_VALUE"""),28182.88)</f>
        <v>28182.88</v>
      </c>
      <c r="F138" s="1">
        <f>IFERROR(__xludf.DUMMYFUNCTION("""COMPUTED_VALUE"""),665797.0)</f>
        <v>665797</v>
      </c>
    </row>
    <row r="139">
      <c r="A139" s="2">
        <f>IFERROR(__xludf.DUMMYFUNCTION("""COMPUTED_VALUE"""),44389.64583333333)</f>
        <v>44389.64583</v>
      </c>
      <c r="B139" s="1">
        <f>IFERROR(__xludf.DUMMYFUNCTION("""COMPUTED_VALUE"""),28600.68)</f>
        <v>28600.68</v>
      </c>
      <c r="C139" s="1">
        <f>IFERROR(__xludf.DUMMYFUNCTION("""COMPUTED_VALUE"""),29436.3)</f>
        <v>29436.3</v>
      </c>
      <c r="D139" s="1">
        <f>IFERROR(__xludf.DUMMYFUNCTION("""COMPUTED_VALUE"""),28030.95)</f>
        <v>28030.95</v>
      </c>
      <c r="E139" s="1">
        <f>IFERROR(__xludf.DUMMYFUNCTION("""COMPUTED_VALUE"""),29170.42)</f>
        <v>29170.42</v>
      </c>
      <c r="F139" s="1">
        <f>IFERROR(__xludf.DUMMYFUNCTION("""COMPUTED_VALUE"""),1338144.0)</f>
        <v>1338144</v>
      </c>
    </row>
    <row r="140">
      <c r="A140" s="2">
        <f>IFERROR(__xludf.DUMMYFUNCTION("""COMPUTED_VALUE"""),44390.64583333333)</f>
        <v>44390.64583</v>
      </c>
      <c r="B140" s="1">
        <f>IFERROR(__xludf.DUMMYFUNCTION("""COMPUTED_VALUE"""),29512.26)</f>
        <v>29512.26</v>
      </c>
      <c r="C140" s="1">
        <f>IFERROR(__xludf.DUMMYFUNCTION("""COMPUTED_VALUE"""),31259.45)</f>
        <v>31259.45</v>
      </c>
      <c r="D140" s="1">
        <f>IFERROR(__xludf.DUMMYFUNCTION("""COMPUTED_VALUE"""),28486.74)</f>
        <v>28486.74</v>
      </c>
      <c r="E140" s="1">
        <f>IFERROR(__xludf.DUMMYFUNCTION("""COMPUTED_VALUE"""),30385.85)</f>
        <v>30385.85</v>
      </c>
      <c r="F140" s="1">
        <f>IFERROR(__xludf.DUMMYFUNCTION("""COMPUTED_VALUE"""),2232904.0)</f>
        <v>2232904</v>
      </c>
    </row>
    <row r="141">
      <c r="A141" s="2">
        <f>IFERROR(__xludf.DUMMYFUNCTION("""COMPUTED_VALUE"""),44391.64583333333)</f>
        <v>44391.64583</v>
      </c>
      <c r="B141" s="1">
        <f>IFERROR(__xludf.DUMMYFUNCTION("""COMPUTED_VALUE"""),30461.82)</f>
        <v>30461.82</v>
      </c>
      <c r="C141" s="1">
        <f>IFERROR(__xludf.DUMMYFUNCTION("""COMPUTED_VALUE"""),31867.16)</f>
        <v>31867.16</v>
      </c>
      <c r="D141" s="1">
        <f>IFERROR(__xludf.DUMMYFUNCTION("""COMPUTED_VALUE"""),30081.99)</f>
        <v>30081.99</v>
      </c>
      <c r="E141" s="1">
        <f>IFERROR(__xludf.DUMMYFUNCTION("""COMPUTED_VALUE"""),30157.96)</f>
        <v>30157.96</v>
      </c>
      <c r="F141" s="1">
        <f>IFERROR(__xludf.DUMMYFUNCTION("""COMPUTED_VALUE"""),1819743.0)</f>
        <v>1819743</v>
      </c>
    </row>
    <row r="142">
      <c r="A142" s="2">
        <f>IFERROR(__xludf.DUMMYFUNCTION("""COMPUTED_VALUE"""),44392.64583333333)</f>
        <v>44392.64583</v>
      </c>
      <c r="B142" s="1">
        <f>IFERROR(__xludf.DUMMYFUNCTION("""COMPUTED_VALUE"""),30081.99)</f>
        <v>30081.99</v>
      </c>
      <c r="C142" s="1">
        <f>IFERROR(__xludf.DUMMYFUNCTION("""COMPUTED_VALUE"""),30689.71)</f>
        <v>30689.71</v>
      </c>
      <c r="D142" s="1">
        <f>IFERROR(__xludf.DUMMYFUNCTION("""COMPUTED_VALUE"""),29550.24)</f>
        <v>29550.24</v>
      </c>
      <c r="E142" s="1">
        <f>IFERROR(__xludf.DUMMYFUNCTION("""COMPUTED_VALUE"""),30044.01)</f>
        <v>30044.01</v>
      </c>
      <c r="F142" s="1">
        <f>IFERROR(__xludf.DUMMYFUNCTION("""COMPUTED_VALUE"""),687800.0)</f>
        <v>687800</v>
      </c>
    </row>
    <row r="143">
      <c r="A143" s="2">
        <f>IFERROR(__xludf.DUMMYFUNCTION("""COMPUTED_VALUE"""),44393.64583333333)</f>
        <v>44393.64583</v>
      </c>
      <c r="B143" s="1">
        <f>IFERROR(__xludf.DUMMYFUNCTION("""COMPUTED_VALUE"""),29968.05)</f>
        <v>29968.05</v>
      </c>
      <c r="C143" s="1">
        <f>IFERROR(__xludf.DUMMYFUNCTION("""COMPUTED_VALUE"""),30006.03)</f>
        <v>30006.03</v>
      </c>
      <c r="D143" s="1">
        <f>IFERROR(__xludf.DUMMYFUNCTION("""COMPUTED_VALUE"""),28638.67)</f>
        <v>28638.67</v>
      </c>
      <c r="E143" s="1">
        <f>IFERROR(__xludf.DUMMYFUNCTION("""COMPUTED_VALUE"""),28980.51)</f>
        <v>28980.51</v>
      </c>
      <c r="F143" s="1">
        <f>IFERROR(__xludf.DUMMYFUNCTION("""COMPUTED_VALUE"""),685081.0)</f>
        <v>685081</v>
      </c>
    </row>
    <row r="144">
      <c r="A144" s="2">
        <f>IFERROR(__xludf.DUMMYFUNCTION("""COMPUTED_VALUE"""),44396.64583333333)</f>
        <v>44396.64583</v>
      </c>
      <c r="B144" s="1">
        <f>IFERROR(__xludf.DUMMYFUNCTION("""COMPUTED_VALUE"""),28714.63)</f>
        <v>28714.63</v>
      </c>
      <c r="C144" s="1">
        <f>IFERROR(__xludf.DUMMYFUNCTION("""COMPUTED_VALUE"""),31335.41)</f>
        <v>31335.41</v>
      </c>
      <c r="D144" s="1">
        <f>IFERROR(__xludf.DUMMYFUNCTION("""COMPUTED_VALUE"""),28296.83)</f>
        <v>28296.83</v>
      </c>
      <c r="E144" s="1">
        <f>IFERROR(__xludf.DUMMYFUNCTION("""COMPUTED_VALUE"""),31069.54)</f>
        <v>31069.54</v>
      </c>
      <c r="F144" s="1">
        <f>IFERROR(__xludf.DUMMYFUNCTION("""COMPUTED_VALUE"""),1607720.0)</f>
        <v>1607720</v>
      </c>
    </row>
    <row r="145">
      <c r="A145" s="2">
        <f>IFERROR(__xludf.DUMMYFUNCTION("""COMPUTED_VALUE"""),44397.64583333333)</f>
        <v>44397.64583</v>
      </c>
      <c r="B145" s="1">
        <f>IFERROR(__xludf.DUMMYFUNCTION("""COMPUTED_VALUE"""),30499.8)</f>
        <v>30499.8</v>
      </c>
      <c r="C145" s="1">
        <f>IFERROR(__xludf.DUMMYFUNCTION("""COMPUTED_VALUE"""),40337.22)</f>
        <v>40337.22</v>
      </c>
      <c r="D145" s="1">
        <f>IFERROR(__xludf.DUMMYFUNCTION("""COMPUTED_VALUE"""),30195.94)</f>
        <v>30195.94</v>
      </c>
      <c r="E145" s="1">
        <f>IFERROR(__xludf.DUMMYFUNCTION("""COMPUTED_VALUE"""),37412.58)</f>
        <v>37412.58</v>
      </c>
      <c r="F145" s="1">
        <f>IFERROR(__xludf.DUMMYFUNCTION("""COMPUTED_VALUE"""),1.5794136E7)</f>
        <v>15794136</v>
      </c>
    </row>
    <row r="146">
      <c r="A146" s="2">
        <f>IFERROR(__xludf.DUMMYFUNCTION("""COMPUTED_VALUE"""),44398.64583333333)</f>
        <v>44398.64583</v>
      </c>
      <c r="B146" s="1">
        <f>IFERROR(__xludf.DUMMYFUNCTION("""COMPUTED_VALUE"""),37640.48)</f>
        <v>37640.48</v>
      </c>
      <c r="C146" s="1">
        <f>IFERROR(__xludf.DUMMYFUNCTION("""COMPUTED_VALUE"""),38969.86)</f>
        <v>38969.86</v>
      </c>
      <c r="D146" s="1">
        <f>IFERROR(__xludf.DUMMYFUNCTION("""COMPUTED_VALUE"""),35399.52)</f>
        <v>35399.52</v>
      </c>
      <c r="E146" s="1">
        <f>IFERROR(__xludf.DUMMYFUNCTION("""COMPUTED_VALUE"""),38741.96)</f>
        <v>38741.96</v>
      </c>
      <c r="F146" s="1">
        <f>IFERROR(__xludf.DUMMYFUNCTION("""COMPUTED_VALUE"""),7014378.0)</f>
        <v>7014378</v>
      </c>
    </row>
    <row r="147">
      <c r="A147" s="2">
        <f>IFERROR(__xludf.DUMMYFUNCTION("""COMPUTED_VALUE"""),44399.64583333333)</f>
        <v>44399.64583</v>
      </c>
      <c r="B147" s="1">
        <f>IFERROR(__xludf.DUMMYFUNCTION("""COMPUTED_VALUE"""),37754.42)</f>
        <v>37754.42</v>
      </c>
      <c r="C147" s="1">
        <f>IFERROR(__xludf.DUMMYFUNCTION("""COMPUTED_VALUE"""),38666.0)</f>
        <v>38666</v>
      </c>
      <c r="D147" s="1">
        <f>IFERROR(__xludf.DUMMYFUNCTION("""COMPUTED_VALUE"""),35779.34)</f>
        <v>35779.34</v>
      </c>
      <c r="E147" s="1">
        <f>IFERROR(__xludf.DUMMYFUNCTION("""COMPUTED_VALUE"""),36804.87)</f>
        <v>36804.87</v>
      </c>
      <c r="F147" s="1">
        <f>IFERROR(__xludf.DUMMYFUNCTION("""COMPUTED_VALUE"""),2666725.0)</f>
        <v>2666725</v>
      </c>
    </row>
    <row r="148">
      <c r="A148" s="2">
        <f>IFERROR(__xludf.DUMMYFUNCTION("""COMPUTED_VALUE"""),44400.64583333333)</f>
        <v>44400.64583</v>
      </c>
      <c r="B148" s="1">
        <f>IFERROR(__xludf.DUMMYFUNCTION("""COMPUTED_VALUE"""),36614.95)</f>
        <v>36614.95</v>
      </c>
      <c r="C148" s="1">
        <f>IFERROR(__xludf.DUMMYFUNCTION("""COMPUTED_VALUE"""),37906.35)</f>
        <v>37906.35</v>
      </c>
      <c r="D148" s="1">
        <f>IFERROR(__xludf.DUMMYFUNCTION("""COMPUTED_VALUE"""),36197.15)</f>
        <v>36197.15</v>
      </c>
      <c r="E148" s="1">
        <f>IFERROR(__xludf.DUMMYFUNCTION("""COMPUTED_VALUE"""),37602.49)</f>
        <v>37602.49</v>
      </c>
      <c r="F148" s="1">
        <f>IFERROR(__xludf.DUMMYFUNCTION("""COMPUTED_VALUE"""),2093266.0)</f>
        <v>2093266</v>
      </c>
    </row>
    <row r="149">
      <c r="A149" s="2">
        <f>IFERROR(__xludf.DUMMYFUNCTION("""COMPUTED_VALUE"""),44403.64583333333)</f>
        <v>44403.64583</v>
      </c>
      <c r="B149" s="1">
        <f>IFERROR(__xludf.DUMMYFUNCTION("""COMPUTED_VALUE"""),37602.49)</f>
        <v>37602.49</v>
      </c>
      <c r="C149" s="1">
        <f>IFERROR(__xludf.DUMMYFUNCTION("""COMPUTED_VALUE"""),43147.91)</f>
        <v>43147.91</v>
      </c>
      <c r="D149" s="1">
        <f>IFERROR(__xludf.DUMMYFUNCTION("""COMPUTED_VALUE"""),37412.58)</f>
        <v>37412.58</v>
      </c>
      <c r="E149" s="1">
        <f>IFERROR(__xludf.DUMMYFUNCTION("""COMPUTED_VALUE"""),40261.26)</f>
        <v>40261.26</v>
      </c>
      <c r="F149" s="1">
        <f>IFERROR(__xludf.DUMMYFUNCTION("""COMPUTED_VALUE"""),8738233.0)</f>
        <v>8738233</v>
      </c>
    </row>
    <row r="150">
      <c r="A150" s="2">
        <f>IFERROR(__xludf.DUMMYFUNCTION("""COMPUTED_VALUE"""),44404.64583333333)</f>
        <v>44404.64583</v>
      </c>
      <c r="B150" s="1">
        <f>IFERROR(__xludf.DUMMYFUNCTION("""COMPUTED_VALUE"""),39881.43)</f>
        <v>39881.43</v>
      </c>
      <c r="C150" s="1">
        <f>IFERROR(__xludf.DUMMYFUNCTION("""COMPUTED_VALUE"""),40717.04)</f>
        <v>40717.04</v>
      </c>
      <c r="D150" s="1">
        <f>IFERROR(__xludf.DUMMYFUNCTION("""COMPUTED_VALUE"""),30006.03)</f>
        <v>30006.03</v>
      </c>
      <c r="E150" s="1">
        <f>IFERROR(__xludf.DUMMYFUNCTION("""COMPUTED_VALUE"""),30157.96)</f>
        <v>30157.96</v>
      </c>
      <c r="F150" s="1">
        <f>IFERROR(__xludf.DUMMYFUNCTION("""COMPUTED_VALUE"""),9387520.0)</f>
        <v>9387520</v>
      </c>
    </row>
    <row r="151">
      <c r="A151" s="2">
        <f>IFERROR(__xludf.DUMMYFUNCTION("""COMPUTED_VALUE"""),44405.64583333333)</f>
        <v>44405.64583</v>
      </c>
      <c r="B151" s="1">
        <f>IFERROR(__xludf.DUMMYFUNCTION("""COMPUTED_VALUE"""),30423.84)</f>
        <v>30423.84</v>
      </c>
      <c r="C151" s="1">
        <f>IFERROR(__xludf.DUMMYFUNCTION("""COMPUTED_VALUE"""),32209.0)</f>
        <v>32209</v>
      </c>
      <c r="D151" s="1">
        <f>IFERROR(__xludf.DUMMYFUNCTION("""COMPUTED_VALUE"""),30006.03)</f>
        <v>30006.03</v>
      </c>
      <c r="E151" s="1">
        <f>IFERROR(__xludf.DUMMYFUNCTION("""COMPUTED_VALUE"""),30385.85)</f>
        <v>30385.85</v>
      </c>
      <c r="F151" s="1">
        <f>IFERROR(__xludf.DUMMYFUNCTION("""COMPUTED_VALUE"""),3437053.0)</f>
        <v>3437053</v>
      </c>
    </row>
    <row r="152">
      <c r="A152" s="2">
        <f>IFERROR(__xludf.DUMMYFUNCTION("""COMPUTED_VALUE"""),44406.64583333333)</f>
        <v>44406.64583</v>
      </c>
      <c r="B152" s="1">
        <f>IFERROR(__xludf.DUMMYFUNCTION("""COMPUTED_VALUE"""),30575.77)</f>
        <v>30575.77</v>
      </c>
      <c r="C152" s="1">
        <f>IFERROR(__xludf.DUMMYFUNCTION("""COMPUTED_VALUE"""),31031.55)</f>
        <v>31031.55</v>
      </c>
      <c r="D152" s="1">
        <f>IFERROR(__xludf.DUMMYFUNCTION("""COMPUTED_VALUE"""),28372.79)</f>
        <v>28372.79</v>
      </c>
      <c r="E152" s="1">
        <f>IFERROR(__xludf.DUMMYFUNCTION("""COMPUTED_VALUE"""),28410.77)</f>
        <v>28410.77</v>
      </c>
      <c r="F152" s="1">
        <f>IFERROR(__xludf.DUMMYFUNCTION("""COMPUTED_VALUE"""),1711119.0)</f>
        <v>1711119</v>
      </c>
    </row>
    <row r="153">
      <c r="A153" s="2">
        <f>IFERROR(__xludf.DUMMYFUNCTION("""COMPUTED_VALUE"""),44407.64583333333)</f>
        <v>44407.64583</v>
      </c>
      <c r="B153" s="1">
        <f>IFERROR(__xludf.DUMMYFUNCTION("""COMPUTED_VALUE"""),28448.76)</f>
        <v>28448.76</v>
      </c>
      <c r="C153" s="1">
        <f>IFERROR(__xludf.DUMMYFUNCTION("""COMPUTED_VALUE"""),29854.1)</f>
        <v>29854.1</v>
      </c>
      <c r="D153" s="1">
        <f>IFERROR(__xludf.DUMMYFUNCTION("""COMPUTED_VALUE"""),27841.04)</f>
        <v>27841.04</v>
      </c>
      <c r="E153" s="1">
        <f>IFERROR(__xludf.DUMMYFUNCTION("""COMPUTED_VALUE"""),27917.0)</f>
        <v>27917</v>
      </c>
      <c r="F153" s="1">
        <f>IFERROR(__xludf.DUMMYFUNCTION("""COMPUTED_VALUE"""),1372511.0)</f>
        <v>1372511</v>
      </c>
    </row>
    <row r="154">
      <c r="A154" s="2">
        <f>IFERROR(__xludf.DUMMYFUNCTION("""COMPUTED_VALUE"""),44410.64583333333)</f>
        <v>44410.64583</v>
      </c>
      <c r="B154" s="1">
        <f>IFERROR(__xludf.DUMMYFUNCTION("""COMPUTED_VALUE"""),28030.95)</f>
        <v>28030.95</v>
      </c>
      <c r="C154" s="1">
        <f>IFERROR(__xludf.DUMMYFUNCTION("""COMPUTED_VALUE"""),28524.72)</f>
        <v>28524.72</v>
      </c>
      <c r="D154" s="1">
        <f>IFERROR(__xludf.DUMMYFUNCTION("""COMPUTED_VALUE"""),27195.34)</f>
        <v>27195.34</v>
      </c>
      <c r="E154" s="1">
        <f>IFERROR(__xludf.DUMMYFUNCTION("""COMPUTED_VALUE"""),27271.3)</f>
        <v>27271.3</v>
      </c>
      <c r="F154" s="1">
        <f>IFERROR(__xludf.DUMMYFUNCTION("""COMPUTED_VALUE"""),615576.0)</f>
        <v>615576</v>
      </c>
    </row>
    <row r="155">
      <c r="A155" s="2">
        <f>IFERROR(__xludf.DUMMYFUNCTION("""COMPUTED_VALUE"""),44411.64583333333)</f>
        <v>44411.64583</v>
      </c>
      <c r="B155" s="1">
        <f>IFERROR(__xludf.DUMMYFUNCTION("""COMPUTED_VALUE"""),27347.27)</f>
        <v>27347.27</v>
      </c>
      <c r="C155" s="1">
        <f>IFERROR(__xludf.DUMMYFUNCTION("""COMPUTED_VALUE"""),29360.33)</f>
        <v>29360.33</v>
      </c>
      <c r="D155" s="1">
        <f>IFERROR(__xludf.DUMMYFUNCTION("""COMPUTED_VALUE"""),27271.3)</f>
        <v>27271.3</v>
      </c>
      <c r="E155" s="1">
        <f>IFERROR(__xludf.DUMMYFUNCTION("""COMPUTED_VALUE"""),28182.88)</f>
        <v>28182.88</v>
      </c>
      <c r="F155" s="1">
        <f>IFERROR(__xludf.DUMMYFUNCTION("""COMPUTED_VALUE"""),1638407.0)</f>
        <v>1638407</v>
      </c>
    </row>
    <row r="156">
      <c r="A156" s="2">
        <f>IFERROR(__xludf.DUMMYFUNCTION("""COMPUTED_VALUE"""),44412.64583333333)</f>
        <v>44412.64583</v>
      </c>
      <c r="B156" s="1">
        <f>IFERROR(__xludf.DUMMYFUNCTION("""COMPUTED_VALUE"""),28258.84)</f>
        <v>28258.84</v>
      </c>
      <c r="C156" s="1">
        <f>IFERROR(__xludf.DUMMYFUNCTION("""COMPUTED_VALUE"""),30119.98)</f>
        <v>30119.98</v>
      </c>
      <c r="D156" s="1">
        <f>IFERROR(__xludf.DUMMYFUNCTION("""COMPUTED_VALUE"""),28220.86)</f>
        <v>28220.86</v>
      </c>
      <c r="E156" s="1">
        <f>IFERROR(__xludf.DUMMYFUNCTION("""COMPUTED_VALUE"""),28980.51)</f>
        <v>28980.51</v>
      </c>
      <c r="F156" s="1">
        <f>IFERROR(__xludf.DUMMYFUNCTION("""COMPUTED_VALUE"""),1503639.0)</f>
        <v>1503639</v>
      </c>
    </row>
    <row r="157">
      <c r="A157" s="2">
        <f>IFERROR(__xludf.DUMMYFUNCTION("""COMPUTED_VALUE"""),44413.64583333333)</f>
        <v>44413.64583</v>
      </c>
      <c r="B157" s="1">
        <f>IFERROR(__xludf.DUMMYFUNCTION("""COMPUTED_VALUE"""),29360.33)</f>
        <v>29360.33</v>
      </c>
      <c r="C157" s="1">
        <f>IFERROR(__xludf.DUMMYFUNCTION("""COMPUTED_VALUE"""),30309.89)</f>
        <v>30309.89</v>
      </c>
      <c r="D157" s="1">
        <f>IFERROR(__xludf.DUMMYFUNCTION("""COMPUTED_VALUE"""),29360.33)</f>
        <v>29360.33</v>
      </c>
      <c r="E157" s="1">
        <f>IFERROR(__xludf.DUMMYFUNCTION("""COMPUTED_VALUE"""),29474.28)</f>
        <v>29474.28</v>
      </c>
      <c r="F157" s="1">
        <f>IFERROR(__xludf.DUMMYFUNCTION("""COMPUTED_VALUE"""),875593.0)</f>
        <v>875593</v>
      </c>
    </row>
    <row r="158">
      <c r="A158" s="2">
        <f>IFERROR(__xludf.DUMMYFUNCTION("""COMPUTED_VALUE"""),44414.64583333333)</f>
        <v>44414.64583</v>
      </c>
      <c r="B158" s="1">
        <f>IFERROR(__xludf.DUMMYFUNCTION("""COMPUTED_VALUE"""),29474.28)</f>
        <v>29474.28</v>
      </c>
      <c r="C158" s="1">
        <f>IFERROR(__xludf.DUMMYFUNCTION("""COMPUTED_VALUE"""),30917.61)</f>
        <v>30917.61</v>
      </c>
      <c r="D158" s="1">
        <f>IFERROR(__xludf.DUMMYFUNCTION("""COMPUTED_VALUE"""),28562.7)</f>
        <v>28562.7</v>
      </c>
      <c r="E158" s="1">
        <f>IFERROR(__xludf.DUMMYFUNCTION("""COMPUTED_VALUE"""),30157.96)</f>
        <v>30157.96</v>
      </c>
      <c r="F158" s="1">
        <f>IFERROR(__xludf.DUMMYFUNCTION("""COMPUTED_VALUE"""),925767.0)</f>
        <v>925767</v>
      </c>
    </row>
    <row r="159">
      <c r="A159" s="2">
        <f>IFERROR(__xludf.DUMMYFUNCTION("""COMPUTED_VALUE"""),44417.64583333333)</f>
        <v>44417.64583</v>
      </c>
      <c r="B159" s="1">
        <f>IFERROR(__xludf.DUMMYFUNCTION("""COMPUTED_VALUE"""),30537.78)</f>
        <v>30537.78</v>
      </c>
      <c r="C159" s="1">
        <f>IFERROR(__xludf.DUMMYFUNCTION("""COMPUTED_VALUE"""),31297.43)</f>
        <v>31297.43</v>
      </c>
      <c r="D159" s="1">
        <f>IFERROR(__xludf.DUMMYFUNCTION("""COMPUTED_VALUE"""),29474.28)</f>
        <v>29474.28</v>
      </c>
      <c r="E159" s="1">
        <f>IFERROR(__xludf.DUMMYFUNCTION("""COMPUTED_VALUE"""),29474.28)</f>
        <v>29474.28</v>
      </c>
      <c r="F159" s="1">
        <f>IFERROR(__xludf.DUMMYFUNCTION("""COMPUTED_VALUE"""),794021.0)</f>
        <v>794021</v>
      </c>
    </row>
    <row r="160">
      <c r="A160" s="2">
        <f>IFERROR(__xludf.DUMMYFUNCTION("""COMPUTED_VALUE"""),44418.64583333333)</f>
        <v>44418.64583</v>
      </c>
      <c r="B160" s="1">
        <f>IFERROR(__xludf.DUMMYFUNCTION("""COMPUTED_VALUE"""),29702.17)</f>
        <v>29702.17</v>
      </c>
      <c r="C160" s="1">
        <f>IFERROR(__xludf.DUMMYFUNCTION("""COMPUTED_VALUE"""),29778.14)</f>
        <v>29778.14</v>
      </c>
      <c r="D160" s="1">
        <f>IFERROR(__xludf.DUMMYFUNCTION("""COMPUTED_VALUE"""),28220.86)</f>
        <v>28220.86</v>
      </c>
      <c r="E160" s="1">
        <f>IFERROR(__xludf.DUMMYFUNCTION("""COMPUTED_VALUE"""),28258.84)</f>
        <v>28258.84</v>
      </c>
      <c r="F160" s="1">
        <f>IFERROR(__xludf.DUMMYFUNCTION("""COMPUTED_VALUE"""),495977.0)</f>
        <v>495977</v>
      </c>
    </row>
    <row r="161">
      <c r="A161" s="2">
        <f>IFERROR(__xludf.DUMMYFUNCTION("""COMPUTED_VALUE"""),44419.64583333333)</f>
        <v>44419.64583</v>
      </c>
      <c r="B161" s="1">
        <f>IFERROR(__xludf.DUMMYFUNCTION("""COMPUTED_VALUE"""),28258.84)</f>
        <v>28258.84</v>
      </c>
      <c r="C161" s="1">
        <f>IFERROR(__xludf.DUMMYFUNCTION("""COMPUTED_VALUE"""),28904.54)</f>
        <v>28904.54</v>
      </c>
      <c r="D161" s="1">
        <f>IFERROR(__xludf.DUMMYFUNCTION("""COMPUTED_VALUE"""),27575.16)</f>
        <v>27575.16</v>
      </c>
      <c r="E161" s="1">
        <f>IFERROR(__xludf.DUMMYFUNCTION("""COMPUTED_VALUE"""),28068.93)</f>
        <v>28068.93</v>
      </c>
      <c r="F161" s="1">
        <f>IFERROR(__xludf.DUMMYFUNCTION("""COMPUTED_VALUE"""),346029.0)</f>
        <v>346029</v>
      </c>
    </row>
    <row r="162">
      <c r="A162" s="2">
        <f>IFERROR(__xludf.DUMMYFUNCTION("""COMPUTED_VALUE"""),44420.64583333333)</f>
        <v>44420.64583</v>
      </c>
      <c r="B162" s="1">
        <f>IFERROR(__xludf.DUMMYFUNCTION("""COMPUTED_VALUE"""),28790.6)</f>
        <v>28790.6</v>
      </c>
      <c r="C162" s="1">
        <f>IFERROR(__xludf.DUMMYFUNCTION("""COMPUTED_VALUE"""),29436.3)</f>
        <v>29436.3</v>
      </c>
      <c r="D162" s="1">
        <f>IFERROR(__xludf.DUMMYFUNCTION("""COMPUTED_VALUE"""),28296.83)</f>
        <v>28296.83</v>
      </c>
      <c r="E162" s="1">
        <f>IFERROR(__xludf.DUMMYFUNCTION("""COMPUTED_VALUE"""),28752.61)</f>
        <v>28752.61</v>
      </c>
      <c r="F162" s="1">
        <f>IFERROR(__xludf.DUMMYFUNCTION("""COMPUTED_VALUE"""),552603.0)</f>
        <v>552603</v>
      </c>
    </row>
    <row r="163">
      <c r="A163" s="2">
        <f>IFERROR(__xludf.DUMMYFUNCTION("""COMPUTED_VALUE"""),44421.64583333333)</f>
        <v>44421.64583</v>
      </c>
      <c r="B163" s="1">
        <f>IFERROR(__xludf.DUMMYFUNCTION("""COMPUTED_VALUE"""),28904.54)</f>
        <v>28904.54</v>
      </c>
      <c r="C163" s="1">
        <f>IFERROR(__xludf.DUMMYFUNCTION("""COMPUTED_VALUE"""),28980.51)</f>
        <v>28980.51</v>
      </c>
      <c r="D163" s="1">
        <f>IFERROR(__xludf.DUMMYFUNCTION("""COMPUTED_VALUE"""),27347.27)</f>
        <v>27347.27</v>
      </c>
      <c r="E163" s="1">
        <f>IFERROR(__xludf.DUMMYFUNCTION("""COMPUTED_VALUE"""),27992.97)</f>
        <v>27992.97</v>
      </c>
      <c r="F163" s="1">
        <f>IFERROR(__xludf.DUMMYFUNCTION("""COMPUTED_VALUE"""),357054.0)</f>
        <v>357054</v>
      </c>
    </row>
    <row r="164">
      <c r="A164" s="2">
        <f>IFERROR(__xludf.DUMMYFUNCTION("""COMPUTED_VALUE"""),44425.64583333333)</f>
        <v>44425.64583</v>
      </c>
      <c r="B164" s="1">
        <f>IFERROR(__xludf.DUMMYFUNCTION("""COMPUTED_VALUE"""),27954.99)</f>
        <v>27954.99</v>
      </c>
      <c r="C164" s="1">
        <f>IFERROR(__xludf.DUMMYFUNCTION("""COMPUTED_VALUE"""),27954.99)</f>
        <v>27954.99</v>
      </c>
      <c r="D164" s="1">
        <f>IFERROR(__xludf.DUMMYFUNCTION("""COMPUTED_VALUE"""),26169.82)</f>
        <v>26169.82</v>
      </c>
      <c r="E164" s="1">
        <f>IFERROR(__xludf.DUMMYFUNCTION("""COMPUTED_VALUE"""),26663.59)</f>
        <v>26663.59</v>
      </c>
      <c r="F164" s="1">
        <f>IFERROR(__xludf.DUMMYFUNCTION("""COMPUTED_VALUE"""),465749.0)</f>
        <v>465749</v>
      </c>
    </row>
    <row r="165">
      <c r="A165" s="2">
        <f>IFERROR(__xludf.DUMMYFUNCTION("""COMPUTED_VALUE"""),44426.64583333333)</f>
        <v>44426.64583</v>
      </c>
      <c r="B165" s="1">
        <f>IFERROR(__xludf.DUMMYFUNCTION("""COMPUTED_VALUE"""),26207.8)</f>
        <v>26207.8</v>
      </c>
      <c r="C165" s="1">
        <f>IFERROR(__xludf.DUMMYFUNCTION("""COMPUTED_VALUE"""),27195.34)</f>
        <v>27195.34</v>
      </c>
      <c r="D165" s="1">
        <f>IFERROR(__xludf.DUMMYFUNCTION("""COMPUTED_VALUE"""),26055.87)</f>
        <v>26055.87</v>
      </c>
      <c r="E165" s="1">
        <f>IFERROR(__xludf.DUMMYFUNCTION("""COMPUTED_VALUE"""),26625.6)</f>
        <v>26625.6</v>
      </c>
      <c r="F165" s="1">
        <f>IFERROR(__xludf.DUMMYFUNCTION("""COMPUTED_VALUE"""),293548.0)</f>
        <v>293548</v>
      </c>
    </row>
    <row r="166">
      <c r="A166" s="2">
        <f>IFERROR(__xludf.DUMMYFUNCTION("""COMPUTED_VALUE"""),44427.64583333333)</f>
        <v>44427.64583</v>
      </c>
      <c r="B166" s="1">
        <f>IFERROR(__xludf.DUMMYFUNCTION("""COMPUTED_VALUE"""),26435.69)</f>
        <v>26435.69</v>
      </c>
      <c r="C166" s="1">
        <f>IFERROR(__xludf.DUMMYFUNCTION("""COMPUTED_VALUE"""),26967.44)</f>
        <v>26967.44</v>
      </c>
      <c r="D166" s="1">
        <f>IFERROR(__xludf.DUMMYFUNCTION("""COMPUTED_VALUE"""),25182.28)</f>
        <v>25182.28</v>
      </c>
      <c r="E166" s="1">
        <f>IFERROR(__xludf.DUMMYFUNCTION("""COMPUTED_VALUE"""),25182.28)</f>
        <v>25182.28</v>
      </c>
      <c r="F166" s="1">
        <f>IFERROR(__xludf.DUMMYFUNCTION("""COMPUTED_VALUE"""),400884.0)</f>
        <v>400884</v>
      </c>
    </row>
    <row r="167">
      <c r="A167" s="2">
        <f>IFERROR(__xludf.DUMMYFUNCTION("""COMPUTED_VALUE"""),44428.64583333333)</f>
        <v>44428.64583</v>
      </c>
      <c r="B167" s="1">
        <f>IFERROR(__xludf.DUMMYFUNCTION("""COMPUTED_VALUE"""),25220.26)</f>
        <v>25220.26</v>
      </c>
      <c r="C167" s="1">
        <f>IFERROR(__xludf.DUMMYFUNCTION("""COMPUTED_VALUE"""),25562.1)</f>
        <v>25562.1</v>
      </c>
      <c r="D167" s="1">
        <f>IFERROR(__xludf.DUMMYFUNCTION("""COMPUTED_VALUE"""),23814.91)</f>
        <v>23814.91</v>
      </c>
      <c r="E167" s="1">
        <f>IFERROR(__xludf.DUMMYFUNCTION("""COMPUTED_VALUE"""),24156.75)</f>
        <v>24156.75</v>
      </c>
      <c r="F167" s="1">
        <f>IFERROR(__xludf.DUMMYFUNCTION("""COMPUTED_VALUE"""),371927.0)</f>
        <v>371927</v>
      </c>
    </row>
    <row r="168">
      <c r="A168" s="2">
        <f>IFERROR(__xludf.DUMMYFUNCTION("""COMPUTED_VALUE"""),44431.64583333333)</f>
        <v>44431.64583</v>
      </c>
      <c r="B168" s="1">
        <f>IFERROR(__xludf.DUMMYFUNCTION("""COMPUTED_VALUE"""),24536.58)</f>
        <v>24536.58</v>
      </c>
      <c r="C168" s="1">
        <f>IFERROR(__xludf.DUMMYFUNCTION("""COMPUTED_VALUE"""),25220.26)</f>
        <v>25220.26</v>
      </c>
      <c r="D168" s="1">
        <f>IFERROR(__xludf.DUMMYFUNCTION("""COMPUTED_VALUE"""),23738.95)</f>
        <v>23738.95</v>
      </c>
      <c r="E168" s="1">
        <f>IFERROR(__xludf.DUMMYFUNCTION("""COMPUTED_VALUE"""),24726.49)</f>
        <v>24726.49</v>
      </c>
      <c r="F168" s="1">
        <f>IFERROR(__xludf.DUMMYFUNCTION("""COMPUTED_VALUE"""),205679.0)</f>
        <v>205679</v>
      </c>
    </row>
    <row r="169">
      <c r="A169" s="2">
        <f>IFERROR(__xludf.DUMMYFUNCTION("""COMPUTED_VALUE"""),44432.64583333333)</f>
        <v>44432.64583</v>
      </c>
      <c r="B169" s="1">
        <f>IFERROR(__xludf.DUMMYFUNCTION("""COMPUTED_VALUE"""),24916.4)</f>
        <v>24916.4</v>
      </c>
      <c r="C169" s="1">
        <f>IFERROR(__xludf.DUMMYFUNCTION("""COMPUTED_VALUE"""),26017.89)</f>
        <v>26017.89</v>
      </c>
      <c r="D169" s="1">
        <f>IFERROR(__xludf.DUMMYFUNCTION("""COMPUTED_VALUE"""),24916.4)</f>
        <v>24916.4</v>
      </c>
      <c r="E169" s="1">
        <f>IFERROR(__xludf.DUMMYFUNCTION("""COMPUTED_VALUE"""),25979.9)</f>
        <v>25979.9</v>
      </c>
      <c r="F169" s="1">
        <f>IFERROR(__xludf.DUMMYFUNCTION("""COMPUTED_VALUE"""),230737.0)</f>
        <v>230737</v>
      </c>
    </row>
    <row r="170">
      <c r="A170" s="2">
        <f>IFERROR(__xludf.DUMMYFUNCTION("""COMPUTED_VALUE"""),44433.64583333333)</f>
        <v>44433.64583</v>
      </c>
      <c r="B170" s="1">
        <f>IFERROR(__xludf.DUMMYFUNCTION("""COMPUTED_VALUE"""),26473.67)</f>
        <v>26473.67</v>
      </c>
      <c r="C170" s="1">
        <f>IFERROR(__xludf.DUMMYFUNCTION("""COMPUTED_VALUE"""),26625.6)</f>
        <v>26625.6</v>
      </c>
      <c r="D170" s="1">
        <f>IFERROR(__xludf.DUMMYFUNCTION("""COMPUTED_VALUE"""),25638.06)</f>
        <v>25638.06</v>
      </c>
      <c r="E170" s="1">
        <f>IFERROR(__xludf.DUMMYFUNCTION("""COMPUTED_VALUE"""),25903.94)</f>
        <v>25903.94</v>
      </c>
      <c r="F170" s="1">
        <f>IFERROR(__xludf.DUMMYFUNCTION("""COMPUTED_VALUE"""),161015.0)</f>
        <v>161015</v>
      </c>
    </row>
    <row r="171">
      <c r="A171" s="2">
        <f>IFERROR(__xludf.DUMMYFUNCTION("""COMPUTED_VALUE"""),44434.64583333333)</f>
        <v>44434.64583</v>
      </c>
      <c r="B171" s="1">
        <f>IFERROR(__xludf.DUMMYFUNCTION("""COMPUTED_VALUE"""),25638.06)</f>
        <v>25638.06</v>
      </c>
      <c r="C171" s="1">
        <f>IFERROR(__xludf.DUMMYFUNCTION("""COMPUTED_VALUE"""),26663.59)</f>
        <v>26663.59</v>
      </c>
      <c r="D171" s="1">
        <f>IFERROR(__xludf.DUMMYFUNCTION("""COMPUTED_VALUE"""),25600.08)</f>
        <v>25600.08</v>
      </c>
      <c r="E171" s="1">
        <f>IFERROR(__xludf.DUMMYFUNCTION("""COMPUTED_VALUE"""),26017.89)</f>
        <v>26017.89</v>
      </c>
      <c r="F171" s="1">
        <f>IFERROR(__xludf.DUMMYFUNCTION("""COMPUTED_VALUE"""),156002.0)</f>
        <v>156002</v>
      </c>
    </row>
    <row r="172">
      <c r="A172" s="2">
        <f>IFERROR(__xludf.DUMMYFUNCTION("""COMPUTED_VALUE"""),44435.64583333333)</f>
        <v>44435.64583</v>
      </c>
      <c r="B172" s="1">
        <f>IFERROR(__xludf.DUMMYFUNCTION("""COMPUTED_VALUE"""),26017.89)</f>
        <v>26017.89</v>
      </c>
      <c r="C172" s="1">
        <f>IFERROR(__xludf.DUMMYFUNCTION("""COMPUTED_VALUE"""),27195.34)</f>
        <v>27195.34</v>
      </c>
      <c r="D172" s="1">
        <f>IFERROR(__xludf.DUMMYFUNCTION("""COMPUTED_VALUE"""),25638.06)</f>
        <v>25638.06</v>
      </c>
      <c r="E172" s="1">
        <f>IFERROR(__xludf.DUMMYFUNCTION("""COMPUTED_VALUE"""),26321.75)</f>
        <v>26321.75</v>
      </c>
      <c r="F172" s="1">
        <f>IFERROR(__xludf.DUMMYFUNCTION("""COMPUTED_VALUE"""),246815.0)</f>
        <v>246815</v>
      </c>
    </row>
    <row r="173">
      <c r="A173" s="2">
        <f>IFERROR(__xludf.DUMMYFUNCTION("""COMPUTED_VALUE"""),44438.64583333333)</f>
        <v>44438.64583</v>
      </c>
      <c r="B173" s="1">
        <f>IFERROR(__xludf.DUMMYFUNCTION("""COMPUTED_VALUE"""),26359.73)</f>
        <v>26359.73</v>
      </c>
      <c r="C173" s="1">
        <f>IFERROR(__xludf.DUMMYFUNCTION("""COMPUTED_VALUE"""),26397.71)</f>
        <v>26397.71</v>
      </c>
      <c r="D173" s="1">
        <f>IFERROR(__xludf.DUMMYFUNCTION("""COMPUTED_VALUE"""),25827.98)</f>
        <v>25827.98</v>
      </c>
      <c r="E173" s="1">
        <f>IFERROR(__xludf.DUMMYFUNCTION("""COMPUTED_VALUE"""),25827.98)</f>
        <v>25827.98</v>
      </c>
      <c r="F173" s="1">
        <f>IFERROR(__xludf.DUMMYFUNCTION("""COMPUTED_VALUE"""),144070.0)</f>
        <v>144070</v>
      </c>
    </row>
    <row r="174">
      <c r="A174" s="2">
        <f>IFERROR(__xludf.DUMMYFUNCTION("""COMPUTED_VALUE"""),44439.64583333333)</f>
        <v>44439.64583</v>
      </c>
      <c r="B174" s="1">
        <f>IFERROR(__xludf.DUMMYFUNCTION("""COMPUTED_VALUE"""),25903.94)</f>
        <v>25903.94</v>
      </c>
      <c r="C174" s="1">
        <f>IFERROR(__xludf.DUMMYFUNCTION("""COMPUTED_VALUE"""),25979.9)</f>
        <v>25979.9</v>
      </c>
      <c r="D174" s="1">
        <f>IFERROR(__xludf.DUMMYFUNCTION("""COMPUTED_VALUE"""),25106.31)</f>
        <v>25106.31</v>
      </c>
      <c r="E174" s="1">
        <f>IFERROR(__xludf.DUMMYFUNCTION("""COMPUTED_VALUE"""),25714.03)</f>
        <v>25714.03</v>
      </c>
      <c r="F174" s="1">
        <f>IFERROR(__xludf.DUMMYFUNCTION("""COMPUTED_VALUE"""),188070.0)</f>
        <v>188070</v>
      </c>
    </row>
    <row r="175">
      <c r="A175" s="2">
        <f>IFERROR(__xludf.DUMMYFUNCTION("""COMPUTED_VALUE"""),44440.64583333333)</f>
        <v>44440.64583</v>
      </c>
      <c r="B175" s="1">
        <f>IFERROR(__xludf.DUMMYFUNCTION("""COMPUTED_VALUE"""),25752.01)</f>
        <v>25752.01</v>
      </c>
      <c r="C175" s="1">
        <f>IFERROR(__xludf.DUMMYFUNCTION("""COMPUTED_VALUE"""),25979.9)</f>
        <v>25979.9</v>
      </c>
      <c r="D175" s="1">
        <f>IFERROR(__xludf.DUMMYFUNCTION("""COMPUTED_VALUE"""),25524.12)</f>
        <v>25524.12</v>
      </c>
      <c r="E175" s="1">
        <f>IFERROR(__xludf.DUMMYFUNCTION("""COMPUTED_VALUE"""),25714.03)</f>
        <v>25714.03</v>
      </c>
      <c r="F175" s="1">
        <f>IFERROR(__xludf.DUMMYFUNCTION("""COMPUTED_VALUE"""),131665.0)</f>
        <v>131665</v>
      </c>
    </row>
    <row r="176">
      <c r="A176" s="2">
        <f>IFERROR(__xludf.DUMMYFUNCTION("""COMPUTED_VALUE"""),44441.64583333333)</f>
        <v>44441.64583</v>
      </c>
      <c r="B176" s="1">
        <f>IFERROR(__xludf.DUMMYFUNCTION("""COMPUTED_VALUE"""),26055.87)</f>
        <v>26055.87</v>
      </c>
      <c r="C176" s="1">
        <f>IFERROR(__xludf.DUMMYFUNCTION("""COMPUTED_VALUE"""),26169.82)</f>
        <v>26169.82</v>
      </c>
      <c r="D176" s="1">
        <f>IFERROR(__xludf.DUMMYFUNCTION("""COMPUTED_VALUE"""),25638.06)</f>
        <v>25638.06</v>
      </c>
      <c r="E176" s="1">
        <f>IFERROR(__xludf.DUMMYFUNCTION("""COMPUTED_VALUE"""),25865.96)</f>
        <v>25865.96</v>
      </c>
      <c r="F176" s="1">
        <f>IFERROR(__xludf.DUMMYFUNCTION("""COMPUTED_VALUE"""),142681.0)</f>
        <v>142681</v>
      </c>
    </row>
    <row r="177">
      <c r="A177" s="2">
        <f>IFERROR(__xludf.DUMMYFUNCTION("""COMPUTED_VALUE"""),44442.64583333333)</f>
        <v>44442.64583</v>
      </c>
      <c r="B177" s="1">
        <f>IFERROR(__xludf.DUMMYFUNCTION("""COMPUTED_VALUE"""),26017.89)</f>
        <v>26017.89</v>
      </c>
      <c r="C177" s="1">
        <f>IFERROR(__xludf.DUMMYFUNCTION("""COMPUTED_VALUE"""),28942.53)</f>
        <v>28942.53</v>
      </c>
      <c r="D177" s="1">
        <f>IFERROR(__xludf.DUMMYFUNCTION("""COMPUTED_VALUE"""),25865.96)</f>
        <v>25865.96</v>
      </c>
      <c r="E177" s="1">
        <f>IFERROR(__xludf.DUMMYFUNCTION("""COMPUTED_VALUE"""),27309.29)</f>
        <v>27309.29</v>
      </c>
      <c r="F177" s="1">
        <f>IFERROR(__xludf.DUMMYFUNCTION("""COMPUTED_VALUE"""),1030392.0)</f>
        <v>1030392</v>
      </c>
    </row>
    <row r="178">
      <c r="A178" s="2">
        <f>IFERROR(__xludf.DUMMYFUNCTION("""COMPUTED_VALUE"""),44445.64583333333)</f>
        <v>44445.64583</v>
      </c>
      <c r="B178" s="1">
        <f>IFERROR(__xludf.DUMMYFUNCTION("""COMPUTED_VALUE"""),27461.22)</f>
        <v>27461.22</v>
      </c>
      <c r="C178" s="1">
        <f>IFERROR(__xludf.DUMMYFUNCTION("""COMPUTED_VALUE"""),27575.16)</f>
        <v>27575.16</v>
      </c>
      <c r="D178" s="1">
        <f>IFERROR(__xludf.DUMMYFUNCTION("""COMPUTED_VALUE"""),26777.53)</f>
        <v>26777.53</v>
      </c>
      <c r="E178" s="1">
        <f>IFERROR(__xludf.DUMMYFUNCTION("""COMPUTED_VALUE"""),27385.25)</f>
        <v>27385.25</v>
      </c>
      <c r="F178" s="1">
        <f>IFERROR(__xludf.DUMMYFUNCTION("""COMPUTED_VALUE"""),158416.0)</f>
        <v>158416</v>
      </c>
    </row>
    <row r="179">
      <c r="A179" s="2">
        <f>IFERROR(__xludf.DUMMYFUNCTION("""COMPUTED_VALUE"""),44446.64583333333)</f>
        <v>44446.64583</v>
      </c>
      <c r="B179" s="1">
        <f>IFERROR(__xludf.DUMMYFUNCTION("""COMPUTED_VALUE"""),27347.27)</f>
        <v>27347.27</v>
      </c>
      <c r="C179" s="1">
        <f>IFERROR(__xludf.DUMMYFUNCTION("""COMPUTED_VALUE"""),27385.25)</f>
        <v>27385.25</v>
      </c>
      <c r="D179" s="1">
        <f>IFERROR(__xludf.DUMMYFUNCTION("""COMPUTED_VALUE"""),26701.57)</f>
        <v>26701.57</v>
      </c>
      <c r="E179" s="1">
        <f>IFERROR(__xludf.DUMMYFUNCTION("""COMPUTED_VALUE"""),26739.55)</f>
        <v>26739.55</v>
      </c>
      <c r="F179" s="1">
        <f>IFERROR(__xludf.DUMMYFUNCTION("""COMPUTED_VALUE"""),142767.0)</f>
        <v>142767</v>
      </c>
    </row>
    <row r="180">
      <c r="A180" s="2">
        <f>IFERROR(__xludf.DUMMYFUNCTION("""COMPUTED_VALUE"""),44447.64583333333)</f>
        <v>44447.64583</v>
      </c>
      <c r="B180" s="1">
        <f>IFERROR(__xludf.DUMMYFUNCTION("""COMPUTED_VALUE"""),26739.55)</f>
        <v>26739.55</v>
      </c>
      <c r="C180" s="1">
        <f>IFERROR(__xludf.DUMMYFUNCTION("""COMPUTED_VALUE"""),26815.52)</f>
        <v>26815.52</v>
      </c>
      <c r="D180" s="1">
        <f>IFERROR(__xludf.DUMMYFUNCTION("""COMPUTED_VALUE"""),25714.03)</f>
        <v>25714.03</v>
      </c>
      <c r="E180" s="1">
        <f>IFERROR(__xludf.DUMMYFUNCTION("""COMPUTED_VALUE"""),25714.03)</f>
        <v>25714.03</v>
      </c>
      <c r="F180" s="1">
        <f>IFERROR(__xludf.DUMMYFUNCTION("""COMPUTED_VALUE"""),201281.0)</f>
        <v>201281</v>
      </c>
    </row>
    <row r="181">
      <c r="A181" s="2">
        <f>IFERROR(__xludf.DUMMYFUNCTION("""COMPUTED_VALUE"""),44448.64583333333)</f>
        <v>44448.64583</v>
      </c>
      <c r="B181" s="1">
        <f>IFERROR(__xludf.DUMMYFUNCTION("""COMPUTED_VALUE"""),25714.03)</f>
        <v>25714.03</v>
      </c>
      <c r="C181" s="1">
        <f>IFERROR(__xludf.DUMMYFUNCTION("""COMPUTED_VALUE"""),25752.01)</f>
        <v>25752.01</v>
      </c>
      <c r="D181" s="1">
        <f>IFERROR(__xludf.DUMMYFUNCTION("""COMPUTED_VALUE"""),24764.47)</f>
        <v>24764.47</v>
      </c>
      <c r="E181" s="1">
        <f>IFERROR(__xludf.DUMMYFUNCTION("""COMPUTED_VALUE"""),24992.36)</f>
        <v>24992.36</v>
      </c>
      <c r="F181" s="1">
        <f>IFERROR(__xludf.DUMMYFUNCTION("""COMPUTED_VALUE"""),169921.0)</f>
        <v>169921</v>
      </c>
    </row>
    <row r="182">
      <c r="A182" s="2">
        <f>IFERROR(__xludf.DUMMYFUNCTION("""COMPUTED_VALUE"""),44449.64583333333)</f>
        <v>44449.64583</v>
      </c>
      <c r="B182" s="1">
        <f>IFERROR(__xludf.DUMMYFUNCTION("""COMPUTED_VALUE"""),25068.33)</f>
        <v>25068.33</v>
      </c>
      <c r="C182" s="1">
        <f>IFERROR(__xludf.DUMMYFUNCTION("""COMPUTED_VALUE"""),25258.24)</f>
        <v>25258.24</v>
      </c>
      <c r="D182" s="1">
        <f>IFERROR(__xludf.DUMMYFUNCTION("""COMPUTED_VALUE"""),24346.67)</f>
        <v>24346.67</v>
      </c>
      <c r="E182" s="1">
        <f>IFERROR(__xludf.DUMMYFUNCTION("""COMPUTED_VALUE"""),25106.31)</f>
        <v>25106.31</v>
      </c>
      <c r="F182" s="1">
        <f>IFERROR(__xludf.DUMMYFUNCTION("""COMPUTED_VALUE"""),127699.0)</f>
        <v>127699</v>
      </c>
    </row>
    <row r="183">
      <c r="A183" s="2">
        <f>IFERROR(__xludf.DUMMYFUNCTION("""COMPUTED_VALUE"""),44452.64583333333)</f>
        <v>44452.64583</v>
      </c>
      <c r="B183" s="1">
        <f>IFERROR(__xludf.DUMMYFUNCTION("""COMPUTED_VALUE"""),24726.49)</f>
        <v>24726.49</v>
      </c>
      <c r="C183" s="1">
        <f>IFERROR(__xludf.DUMMYFUNCTION("""COMPUTED_VALUE"""),25030.35)</f>
        <v>25030.35</v>
      </c>
      <c r="D183" s="1">
        <f>IFERROR(__xludf.DUMMYFUNCTION("""COMPUTED_VALUE"""),24270.7)</f>
        <v>24270.7</v>
      </c>
      <c r="E183" s="1">
        <f>IFERROR(__xludf.DUMMYFUNCTION("""COMPUTED_VALUE"""),24346.67)</f>
        <v>24346.67</v>
      </c>
      <c r="F183" s="1">
        <f>IFERROR(__xludf.DUMMYFUNCTION("""COMPUTED_VALUE"""),131034.0)</f>
        <v>131034</v>
      </c>
    </row>
    <row r="184">
      <c r="A184" s="2">
        <f>IFERROR(__xludf.DUMMYFUNCTION("""COMPUTED_VALUE"""),44453.64583333333)</f>
        <v>44453.64583</v>
      </c>
      <c r="B184" s="1">
        <f>IFERROR(__xludf.DUMMYFUNCTION("""COMPUTED_VALUE"""),24346.67)</f>
        <v>24346.67</v>
      </c>
      <c r="C184" s="1">
        <f>IFERROR(__xludf.DUMMYFUNCTION("""COMPUTED_VALUE"""),24878.42)</f>
        <v>24878.42</v>
      </c>
      <c r="D184" s="1">
        <f>IFERROR(__xludf.DUMMYFUNCTION("""COMPUTED_VALUE"""),24232.72)</f>
        <v>24232.72</v>
      </c>
      <c r="E184" s="1">
        <f>IFERROR(__xludf.DUMMYFUNCTION("""COMPUTED_VALUE"""),24840.44)</f>
        <v>24840.44</v>
      </c>
      <c r="F184" s="1">
        <f>IFERROR(__xludf.DUMMYFUNCTION("""COMPUTED_VALUE"""),114705.0)</f>
        <v>114705</v>
      </c>
    </row>
    <row r="185">
      <c r="A185" s="2">
        <f>IFERROR(__xludf.DUMMYFUNCTION("""COMPUTED_VALUE"""),44454.64583333333)</f>
        <v>44454.64583</v>
      </c>
      <c r="B185" s="1">
        <f>IFERROR(__xludf.DUMMYFUNCTION("""COMPUTED_VALUE"""),24840.44)</f>
        <v>24840.44</v>
      </c>
      <c r="C185" s="1">
        <f>IFERROR(__xludf.DUMMYFUNCTION("""COMPUTED_VALUE"""),26587.62)</f>
        <v>26587.62</v>
      </c>
      <c r="D185" s="1">
        <f>IFERROR(__xludf.DUMMYFUNCTION("""COMPUTED_VALUE"""),24688.51)</f>
        <v>24688.51</v>
      </c>
      <c r="E185" s="1">
        <f>IFERROR(__xludf.DUMMYFUNCTION("""COMPUTED_VALUE"""),25486.13)</f>
        <v>25486.13</v>
      </c>
      <c r="F185" s="1">
        <f>IFERROR(__xludf.DUMMYFUNCTION("""COMPUTED_VALUE"""),433246.0)</f>
        <v>433246</v>
      </c>
    </row>
    <row r="186">
      <c r="A186" s="2">
        <f>IFERROR(__xludf.DUMMYFUNCTION("""COMPUTED_VALUE"""),44455.64583333333)</f>
        <v>44455.64583</v>
      </c>
      <c r="B186" s="1">
        <f>IFERROR(__xludf.DUMMYFUNCTION("""COMPUTED_VALUE"""),25562.1)</f>
        <v>25562.1</v>
      </c>
      <c r="C186" s="1">
        <f>IFERROR(__xludf.DUMMYFUNCTION("""COMPUTED_VALUE"""),25752.01)</f>
        <v>25752.01</v>
      </c>
      <c r="D186" s="1">
        <f>IFERROR(__xludf.DUMMYFUNCTION("""COMPUTED_VALUE"""),24992.36)</f>
        <v>24992.36</v>
      </c>
      <c r="E186" s="1">
        <f>IFERROR(__xludf.DUMMYFUNCTION("""COMPUTED_VALUE"""),25220.26)</f>
        <v>25220.26</v>
      </c>
      <c r="F186" s="1">
        <f>IFERROR(__xludf.DUMMYFUNCTION("""COMPUTED_VALUE"""),115786.0)</f>
        <v>115786</v>
      </c>
    </row>
    <row r="187">
      <c r="A187" s="2">
        <f>IFERROR(__xludf.DUMMYFUNCTION("""COMPUTED_VALUE"""),44456.64583333333)</f>
        <v>44456.64583</v>
      </c>
      <c r="B187" s="1">
        <f>IFERROR(__xludf.DUMMYFUNCTION("""COMPUTED_VALUE"""),25448.15)</f>
        <v>25448.15</v>
      </c>
      <c r="C187" s="1">
        <f>IFERROR(__xludf.DUMMYFUNCTION("""COMPUTED_VALUE"""),25789.99)</f>
        <v>25789.99</v>
      </c>
      <c r="D187" s="1">
        <f>IFERROR(__xludf.DUMMYFUNCTION("""COMPUTED_VALUE"""),25030.35)</f>
        <v>25030.35</v>
      </c>
      <c r="E187" s="1">
        <f>IFERROR(__xludf.DUMMYFUNCTION("""COMPUTED_VALUE"""),25106.31)</f>
        <v>25106.31</v>
      </c>
      <c r="F187" s="1">
        <f>IFERROR(__xludf.DUMMYFUNCTION("""COMPUTED_VALUE"""),127575.0)</f>
        <v>127575</v>
      </c>
    </row>
    <row r="188">
      <c r="A188" s="2">
        <f>IFERROR(__xludf.DUMMYFUNCTION("""COMPUTED_VALUE"""),44462.64583333333)</f>
        <v>44462.64583</v>
      </c>
      <c r="B188" s="1">
        <f>IFERROR(__xludf.DUMMYFUNCTION("""COMPUTED_VALUE"""),25068.33)</f>
        <v>25068.33</v>
      </c>
      <c r="C188" s="1">
        <f>IFERROR(__xludf.DUMMYFUNCTION("""COMPUTED_VALUE"""),25068.33)</f>
        <v>25068.33</v>
      </c>
      <c r="D188" s="1">
        <f>IFERROR(__xludf.DUMMYFUNCTION("""COMPUTED_VALUE"""),24308.68)</f>
        <v>24308.68</v>
      </c>
      <c r="E188" s="1">
        <f>IFERROR(__xludf.DUMMYFUNCTION("""COMPUTED_VALUE"""),24308.68)</f>
        <v>24308.68</v>
      </c>
      <c r="F188" s="1">
        <f>IFERROR(__xludf.DUMMYFUNCTION("""COMPUTED_VALUE"""),149933.0)</f>
        <v>149933</v>
      </c>
    </row>
    <row r="189">
      <c r="A189" s="2">
        <f>IFERROR(__xludf.DUMMYFUNCTION("""COMPUTED_VALUE"""),44463.64583333333)</f>
        <v>44463.64583</v>
      </c>
      <c r="B189" s="1">
        <f>IFERROR(__xludf.DUMMYFUNCTION("""COMPUTED_VALUE"""),24650.52)</f>
        <v>24650.52</v>
      </c>
      <c r="C189" s="1">
        <f>IFERROR(__xludf.DUMMYFUNCTION("""COMPUTED_VALUE"""),24650.52)</f>
        <v>24650.52</v>
      </c>
      <c r="D189" s="1">
        <f>IFERROR(__xludf.DUMMYFUNCTION("""COMPUTED_VALUE"""),23814.91)</f>
        <v>23814.91</v>
      </c>
      <c r="E189" s="1">
        <f>IFERROR(__xludf.DUMMYFUNCTION("""COMPUTED_VALUE"""),24080.79)</f>
        <v>24080.79</v>
      </c>
      <c r="F189" s="1">
        <f>IFERROR(__xludf.DUMMYFUNCTION("""COMPUTED_VALUE"""),138856.0)</f>
        <v>138856</v>
      </c>
    </row>
    <row r="190">
      <c r="A190" s="2">
        <f>IFERROR(__xludf.DUMMYFUNCTION("""COMPUTED_VALUE"""),44466.64583333333)</f>
        <v>44466.64583</v>
      </c>
      <c r="B190" s="1">
        <f>IFERROR(__xludf.DUMMYFUNCTION("""COMPUTED_VALUE"""),23966.84)</f>
        <v>23966.84</v>
      </c>
      <c r="C190" s="1">
        <f>IFERROR(__xludf.DUMMYFUNCTION("""COMPUTED_VALUE"""),24080.79)</f>
        <v>24080.79</v>
      </c>
      <c r="D190" s="1">
        <f>IFERROR(__xludf.DUMMYFUNCTION("""COMPUTED_VALUE"""),23662.98)</f>
        <v>23662.98</v>
      </c>
      <c r="E190" s="1">
        <f>IFERROR(__xludf.DUMMYFUNCTION("""COMPUTED_VALUE"""),23776.93)</f>
        <v>23776.93</v>
      </c>
      <c r="F190" s="1">
        <f>IFERROR(__xludf.DUMMYFUNCTION("""COMPUTED_VALUE"""),110258.0)</f>
        <v>110258</v>
      </c>
    </row>
    <row r="191">
      <c r="A191" s="2">
        <f>IFERROR(__xludf.DUMMYFUNCTION("""COMPUTED_VALUE"""),44467.64583333333)</f>
        <v>44467.64583</v>
      </c>
      <c r="B191" s="1">
        <f>IFERROR(__xludf.DUMMYFUNCTION("""COMPUTED_VALUE"""),23738.95)</f>
        <v>23738.95</v>
      </c>
      <c r="C191" s="1">
        <f>IFERROR(__xludf.DUMMYFUNCTION("""COMPUTED_VALUE"""),24080.79)</f>
        <v>24080.79</v>
      </c>
      <c r="D191" s="1">
        <f>IFERROR(__xludf.DUMMYFUNCTION("""COMPUTED_VALUE"""),22941.32)</f>
        <v>22941.32</v>
      </c>
      <c r="E191" s="1">
        <f>IFERROR(__xludf.DUMMYFUNCTION("""COMPUTED_VALUE"""),22979.3)</f>
        <v>22979.3</v>
      </c>
      <c r="F191" s="1">
        <f>IFERROR(__xludf.DUMMYFUNCTION("""COMPUTED_VALUE"""),176665.0)</f>
        <v>176665</v>
      </c>
    </row>
    <row r="192">
      <c r="A192" s="2">
        <f>IFERROR(__xludf.DUMMYFUNCTION("""COMPUTED_VALUE"""),44468.64583333333)</f>
        <v>44468.64583</v>
      </c>
      <c r="B192" s="1">
        <f>IFERROR(__xludf.DUMMYFUNCTION("""COMPUTED_VALUE"""),22485.53)</f>
        <v>22485.53</v>
      </c>
      <c r="C192" s="1">
        <f>IFERROR(__xludf.DUMMYFUNCTION("""COMPUTED_VALUE"""),22789.39)</f>
        <v>22789.39</v>
      </c>
      <c r="D192" s="1">
        <f>IFERROR(__xludf.DUMMYFUNCTION("""COMPUTED_VALUE"""),22105.71)</f>
        <v>22105.71</v>
      </c>
      <c r="E192" s="1">
        <f>IFERROR(__xludf.DUMMYFUNCTION("""COMPUTED_VALUE"""),22751.41)</f>
        <v>22751.41</v>
      </c>
      <c r="F192" s="1">
        <f>IFERROR(__xludf.DUMMYFUNCTION("""COMPUTED_VALUE"""),140439.0)</f>
        <v>140439</v>
      </c>
    </row>
    <row r="193">
      <c r="A193" s="2">
        <f>IFERROR(__xludf.DUMMYFUNCTION("""COMPUTED_VALUE"""),44469.64583333333)</f>
        <v>44469.64583</v>
      </c>
      <c r="B193" s="1">
        <f>IFERROR(__xludf.DUMMYFUNCTION("""COMPUTED_VALUE"""),22675.44)</f>
        <v>22675.44</v>
      </c>
      <c r="C193" s="1">
        <f>IFERROR(__xludf.DUMMYFUNCTION("""COMPUTED_VALUE"""),23093.25)</f>
        <v>23093.25</v>
      </c>
      <c r="D193" s="1">
        <f>IFERROR(__xludf.DUMMYFUNCTION("""COMPUTED_VALUE"""),22409.57)</f>
        <v>22409.57</v>
      </c>
      <c r="E193" s="1">
        <f>IFERROR(__xludf.DUMMYFUNCTION("""COMPUTED_VALUE"""),22637.46)</f>
        <v>22637.46</v>
      </c>
      <c r="F193" s="1">
        <f>IFERROR(__xludf.DUMMYFUNCTION("""COMPUTED_VALUE"""),125897.0)</f>
        <v>125897</v>
      </c>
    </row>
    <row r="194">
      <c r="A194" s="2">
        <f>IFERROR(__xludf.DUMMYFUNCTION("""COMPUTED_VALUE"""),44470.64583333333)</f>
        <v>44470.64583</v>
      </c>
      <c r="B194" s="1">
        <f>IFERROR(__xludf.DUMMYFUNCTION("""COMPUTED_VALUE"""),22485.53)</f>
        <v>22485.53</v>
      </c>
      <c r="C194" s="1">
        <f>IFERROR(__xludf.DUMMYFUNCTION("""COMPUTED_VALUE"""),23738.95)</f>
        <v>23738.95</v>
      </c>
      <c r="D194" s="1">
        <f>IFERROR(__xludf.DUMMYFUNCTION("""COMPUTED_VALUE"""),22295.62)</f>
        <v>22295.62</v>
      </c>
      <c r="E194" s="1">
        <f>IFERROR(__xludf.DUMMYFUNCTION("""COMPUTED_VALUE"""),22789.39)</f>
        <v>22789.39</v>
      </c>
      <c r="F194" s="1">
        <f>IFERROR(__xludf.DUMMYFUNCTION("""COMPUTED_VALUE"""),267876.0)</f>
        <v>267876</v>
      </c>
    </row>
    <row r="195">
      <c r="A195" s="2">
        <f>IFERROR(__xludf.DUMMYFUNCTION("""COMPUTED_VALUE"""),44474.64583333333)</f>
        <v>44474.64583</v>
      </c>
      <c r="B195" s="1">
        <f>IFERROR(__xludf.DUMMYFUNCTION("""COMPUTED_VALUE"""),22637.46)</f>
        <v>22637.46</v>
      </c>
      <c r="C195" s="1">
        <f>IFERROR(__xludf.DUMMYFUNCTION("""COMPUTED_VALUE"""),22637.46)</f>
        <v>22637.46</v>
      </c>
      <c r="D195" s="1">
        <f>IFERROR(__xludf.DUMMYFUNCTION("""COMPUTED_VALUE"""),21118.17)</f>
        <v>21118.17</v>
      </c>
      <c r="E195" s="1">
        <f>IFERROR(__xludf.DUMMYFUNCTION("""COMPUTED_VALUE"""),21649.92)</f>
        <v>21649.92</v>
      </c>
      <c r="F195" s="1">
        <f>IFERROR(__xludf.DUMMYFUNCTION("""COMPUTED_VALUE"""),261021.0)</f>
        <v>261021</v>
      </c>
    </row>
    <row r="196">
      <c r="A196" s="2">
        <f>IFERROR(__xludf.DUMMYFUNCTION("""COMPUTED_VALUE"""),44475.64583333333)</f>
        <v>44475.64583</v>
      </c>
      <c r="B196" s="1">
        <f>IFERROR(__xludf.DUMMYFUNCTION("""COMPUTED_VALUE"""),21611.94)</f>
        <v>21611.94</v>
      </c>
      <c r="C196" s="1">
        <f>IFERROR(__xludf.DUMMYFUNCTION("""COMPUTED_VALUE"""),22067.73)</f>
        <v>22067.73</v>
      </c>
      <c r="D196" s="1">
        <f>IFERROR(__xludf.DUMMYFUNCTION("""COMPUTED_VALUE"""),20358.52)</f>
        <v>20358.52</v>
      </c>
      <c r="E196" s="1">
        <f>IFERROR(__xludf.DUMMYFUNCTION("""COMPUTED_VALUE"""),20358.52)</f>
        <v>20358.52</v>
      </c>
      <c r="F196" s="1">
        <f>IFERROR(__xludf.DUMMYFUNCTION("""COMPUTED_VALUE"""),258340.0)</f>
        <v>258340</v>
      </c>
    </row>
    <row r="197">
      <c r="A197" s="2">
        <f>IFERROR(__xludf.DUMMYFUNCTION("""COMPUTED_VALUE"""),44476.64583333333)</f>
        <v>44476.64583</v>
      </c>
      <c r="B197" s="1">
        <f>IFERROR(__xludf.DUMMYFUNCTION("""COMPUTED_VALUE"""),20358.52)</f>
        <v>20358.52</v>
      </c>
      <c r="C197" s="1">
        <f>IFERROR(__xludf.DUMMYFUNCTION("""COMPUTED_VALUE"""),21422.03)</f>
        <v>21422.03</v>
      </c>
      <c r="D197" s="1">
        <f>IFERROR(__xludf.DUMMYFUNCTION("""COMPUTED_VALUE"""),20358.52)</f>
        <v>20358.52</v>
      </c>
      <c r="E197" s="1">
        <f>IFERROR(__xludf.DUMMYFUNCTION("""COMPUTED_VALUE"""),21270.1)</f>
        <v>21270.1</v>
      </c>
      <c r="F197" s="1">
        <f>IFERROR(__xludf.DUMMYFUNCTION("""COMPUTED_VALUE"""),174240.0)</f>
        <v>174240</v>
      </c>
    </row>
    <row r="198">
      <c r="A198" s="2">
        <f>IFERROR(__xludf.DUMMYFUNCTION("""COMPUTED_VALUE"""),44477.64583333333)</f>
        <v>44477.64583</v>
      </c>
      <c r="B198" s="1">
        <f>IFERROR(__xludf.DUMMYFUNCTION("""COMPUTED_VALUE"""),21346.06)</f>
        <v>21346.06</v>
      </c>
      <c r="C198" s="1">
        <f>IFERROR(__xludf.DUMMYFUNCTION("""COMPUTED_VALUE"""),21649.92)</f>
        <v>21649.92</v>
      </c>
      <c r="D198" s="1">
        <f>IFERROR(__xludf.DUMMYFUNCTION("""COMPUTED_VALUE"""),21004.22)</f>
        <v>21004.22</v>
      </c>
      <c r="E198" s="1">
        <f>IFERROR(__xludf.DUMMYFUNCTION("""COMPUTED_VALUE"""),21308.08)</f>
        <v>21308.08</v>
      </c>
      <c r="F198" s="1">
        <f>IFERROR(__xludf.DUMMYFUNCTION("""COMPUTED_VALUE"""),99399.0)</f>
        <v>99399</v>
      </c>
    </row>
    <row r="199">
      <c r="A199" s="2">
        <f>IFERROR(__xludf.DUMMYFUNCTION("""COMPUTED_VALUE"""),44481.64583333333)</f>
        <v>44481.64583</v>
      </c>
      <c r="B199" s="1">
        <f>IFERROR(__xludf.DUMMYFUNCTION("""COMPUTED_VALUE"""),21270.1)</f>
        <v>21270.1</v>
      </c>
      <c r="C199" s="1">
        <f>IFERROR(__xludf.DUMMYFUNCTION("""COMPUTED_VALUE"""),21270.1)</f>
        <v>21270.1</v>
      </c>
      <c r="D199" s="1">
        <f>IFERROR(__xludf.DUMMYFUNCTION("""COMPUTED_VALUE"""),20434.49)</f>
        <v>20434.49</v>
      </c>
      <c r="E199" s="1">
        <f>IFERROR(__xludf.DUMMYFUNCTION("""COMPUTED_VALUE"""),20738.34)</f>
        <v>20738.34</v>
      </c>
      <c r="F199" s="1">
        <f>IFERROR(__xludf.DUMMYFUNCTION("""COMPUTED_VALUE"""),145830.0)</f>
        <v>145830</v>
      </c>
    </row>
    <row r="200">
      <c r="A200" s="2">
        <f>IFERROR(__xludf.DUMMYFUNCTION("""COMPUTED_VALUE"""),44482.64583333333)</f>
        <v>44482.64583</v>
      </c>
      <c r="B200" s="1">
        <f>IFERROR(__xludf.DUMMYFUNCTION("""COMPUTED_VALUE"""),20548.43)</f>
        <v>20548.43</v>
      </c>
      <c r="C200" s="1">
        <f>IFERROR(__xludf.DUMMYFUNCTION("""COMPUTED_VALUE"""),21801.85)</f>
        <v>21801.85</v>
      </c>
      <c r="D200" s="1">
        <f>IFERROR(__xludf.DUMMYFUNCTION("""COMPUTED_VALUE"""),20548.43)</f>
        <v>20548.43</v>
      </c>
      <c r="E200" s="1">
        <f>IFERROR(__xludf.DUMMYFUNCTION("""COMPUTED_VALUE"""),21270.1)</f>
        <v>21270.1</v>
      </c>
      <c r="F200" s="1">
        <f>IFERROR(__xludf.DUMMYFUNCTION("""COMPUTED_VALUE"""),110320.0)</f>
        <v>110320</v>
      </c>
    </row>
    <row r="201">
      <c r="A201" s="2">
        <f>IFERROR(__xludf.DUMMYFUNCTION("""COMPUTED_VALUE"""),44483.64583333333)</f>
        <v>44483.64583</v>
      </c>
      <c r="B201" s="1">
        <f>IFERROR(__xludf.DUMMYFUNCTION("""COMPUTED_VALUE"""),21270.1)</f>
        <v>21270.1</v>
      </c>
      <c r="C201" s="1">
        <f>IFERROR(__xludf.DUMMYFUNCTION("""COMPUTED_VALUE"""),22979.3)</f>
        <v>22979.3</v>
      </c>
      <c r="D201" s="1">
        <f>IFERROR(__xludf.DUMMYFUNCTION("""COMPUTED_VALUE"""),21270.1)</f>
        <v>21270.1</v>
      </c>
      <c r="E201" s="1">
        <f>IFERROR(__xludf.DUMMYFUNCTION("""COMPUTED_VALUE"""),22599.48)</f>
        <v>22599.48</v>
      </c>
      <c r="F201" s="1">
        <f>IFERROR(__xludf.DUMMYFUNCTION("""COMPUTED_VALUE"""),236115.0)</f>
        <v>236115</v>
      </c>
    </row>
    <row r="202">
      <c r="A202" s="2">
        <f>IFERROR(__xludf.DUMMYFUNCTION("""COMPUTED_VALUE"""),44484.64583333333)</f>
        <v>44484.64583</v>
      </c>
      <c r="B202" s="1">
        <f>IFERROR(__xludf.DUMMYFUNCTION("""COMPUTED_VALUE"""),22941.32)</f>
        <v>22941.32</v>
      </c>
      <c r="C202" s="1">
        <f>IFERROR(__xludf.DUMMYFUNCTION("""COMPUTED_VALUE"""),23397.11)</f>
        <v>23397.11</v>
      </c>
      <c r="D202" s="1">
        <f>IFERROR(__xludf.DUMMYFUNCTION("""COMPUTED_VALUE"""),22333.6)</f>
        <v>22333.6</v>
      </c>
      <c r="E202" s="1">
        <f>IFERROR(__xludf.DUMMYFUNCTION("""COMPUTED_VALUE"""),23055.27)</f>
        <v>23055.27</v>
      </c>
      <c r="F202" s="1">
        <f>IFERROR(__xludf.DUMMYFUNCTION("""COMPUTED_VALUE"""),235615.0)</f>
        <v>235615</v>
      </c>
    </row>
    <row r="203">
      <c r="A203" s="2">
        <f>IFERROR(__xludf.DUMMYFUNCTION("""COMPUTED_VALUE"""),44487.64583333333)</f>
        <v>44487.64583</v>
      </c>
      <c r="B203" s="1">
        <f>IFERROR(__xludf.DUMMYFUNCTION("""COMPUTED_VALUE"""),23397.11)</f>
        <v>23397.11</v>
      </c>
      <c r="C203" s="1">
        <f>IFERROR(__xludf.DUMMYFUNCTION("""COMPUTED_VALUE"""),24460.61)</f>
        <v>24460.61</v>
      </c>
      <c r="D203" s="1">
        <f>IFERROR(__xludf.DUMMYFUNCTION("""COMPUTED_VALUE"""),22941.32)</f>
        <v>22941.32</v>
      </c>
      <c r="E203" s="1">
        <f>IFERROR(__xludf.DUMMYFUNCTION("""COMPUTED_VALUE"""),24118.77)</f>
        <v>24118.77</v>
      </c>
      <c r="F203" s="1">
        <f>IFERROR(__xludf.DUMMYFUNCTION("""COMPUTED_VALUE"""),326534.0)</f>
        <v>326534</v>
      </c>
    </row>
    <row r="204">
      <c r="A204" s="2">
        <f>IFERROR(__xludf.DUMMYFUNCTION("""COMPUTED_VALUE"""),44488.64583333333)</f>
        <v>44488.64583</v>
      </c>
      <c r="B204" s="1">
        <f>IFERROR(__xludf.DUMMYFUNCTION("""COMPUTED_VALUE"""),24118.77)</f>
        <v>24118.77</v>
      </c>
      <c r="C204" s="1">
        <f>IFERROR(__xludf.DUMMYFUNCTION("""COMPUTED_VALUE"""),24118.77)</f>
        <v>24118.77</v>
      </c>
      <c r="D204" s="1">
        <f>IFERROR(__xludf.DUMMYFUNCTION("""COMPUTED_VALUE"""),23435.09)</f>
        <v>23435.09</v>
      </c>
      <c r="E204" s="1">
        <f>IFERROR(__xludf.DUMMYFUNCTION("""COMPUTED_VALUE"""),24042.81)</f>
        <v>24042.81</v>
      </c>
      <c r="F204" s="1">
        <f>IFERROR(__xludf.DUMMYFUNCTION("""COMPUTED_VALUE"""),142654.0)</f>
        <v>142654</v>
      </c>
    </row>
    <row r="205">
      <c r="A205" s="2">
        <f>IFERROR(__xludf.DUMMYFUNCTION("""COMPUTED_VALUE"""),44489.64583333333)</f>
        <v>44489.64583</v>
      </c>
      <c r="B205" s="1">
        <f>IFERROR(__xludf.DUMMYFUNCTION("""COMPUTED_VALUE"""),23738.95)</f>
        <v>23738.95</v>
      </c>
      <c r="C205" s="1">
        <f>IFERROR(__xludf.DUMMYFUNCTION("""COMPUTED_VALUE"""),24574.56)</f>
        <v>24574.56</v>
      </c>
      <c r="D205" s="1">
        <f>IFERROR(__xludf.DUMMYFUNCTION("""COMPUTED_VALUE"""),23738.95)</f>
        <v>23738.95</v>
      </c>
      <c r="E205" s="1">
        <f>IFERROR(__xludf.DUMMYFUNCTION("""COMPUTED_VALUE"""),23852.89)</f>
        <v>23852.89</v>
      </c>
      <c r="F205" s="1">
        <f>IFERROR(__xludf.DUMMYFUNCTION("""COMPUTED_VALUE"""),136968.0)</f>
        <v>136968</v>
      </c>
    </row>
    <row r="206">
      <c r="A206" s="2">
        <f>IFERROR(__xludf.DUMMYFUNCTION("""COMPUTED_VALUE"""),44490.64583333333)</f>
        <v>44490.64583</v>
      </c>
      <c r="B206" s="1">
        <f>IFERROR(__xludf.DUMMYFUNCTION("""COMPUTED_VALUE"""),24080.79)</f>
        <v>24080.79</v>
      </c>
      <c r="C206" s="1">
        <f>IFERROR(__xludf.DUMMYFUNCTION("""COMPUTED_VALUE"""),24916.4)</f>
        <v>24916.4</v>
      </c>
      <c r="D206" s="1">
        <f>IFERROR(__xludf.DUMMYFUNCTION("""COMPUTED_VALUE"""),23738.95)</f>
        <v>23738.95</v>
      </c>
      <c r="E206" s="1">
        <f>IFERROR(__xludf.DUMMYFUNCTION("""COMPUTED_VALUE"""),23852.89)</f>
        <v>23852.89</v>
      </c>
      <c r="F206" s="1">
        <f>IFERROR(__xludf.DUMMYFUNCTION("""COMPUTED_VALUE"""),247444.0)</f>
        <v>247444</v>
      </c>
    </row>
    <row r="207">
      <c r="A207" s="2">
        <f>IFERROR(__xludf.DUMMYFUNCTION("""COMPUTED_VALUE"""),44491.64583333333)</f>
        <v>44491.64583</v>
      </c>
      <c r="B207" s="1">
        <f>IFERROR(__xludf.DUMMYFUNCTION("""COMPUTED_VALUE"""),24650.52)</f>
        <v>24650.52</v>
      </c>
      <c r="C207" s="1">
        <f>IFERROR(__xludf.DUMMYFUNCTION("""COMPUTED_VALUE"""),27917.0)</f>
        <v>27917</v>
      </c>
      <c r="D207" s="1">
        <f>IFERROR(__xludf.DUMMYFUNCTION("""COMPUTED_VALUE"""),24422.63)</f>
        <v>24422.63</v>
      </c>
      <c r="E207" s="1">
        <f>IFERROR(__xludf.DUMMYFUNCTION("""COMPUTED_VALUE"""),26207.8)</f>
        <v>26207.8</v>
      </c>
      <c r="F207" s="1">
        <f>IFERROR(__xludf.DUMMYFUNCTION("""COMPUTED_VALUE"""),2840033.0)</f>
        <v>2840033</v>
      </c>
    </row>
    <row r="208">
      <c r="A208" s="2">
        <f>IFERROR(__xludf.DUMMYFUNCTION("""COMPUTED_VALUE"""),44494.64583333333)</f>
        <v>44494.64583</v>
      </c>
      <c r="B208" s="1">
        <f>IFERROR(__xludf.DUMMYFUNCTION("""COMPUTED_VALUE"""),28372.79)</f>
        <v>28372.79</v>
      </c>
      <c r="C208" s="1">
        <f>IFERROR(__xludf.DUMMYFUNCTION("""COMPUTED_VALUE"""),29778.14)</f>
        <v>29778.14</v>
      </c>
      <c r="D208" s="1">
        <f>IFERROR(__xludf.DUMMYFUNCTION("""COMPUTED_VALUE"""),27195.34)</f>
        <v>27195.34</v>
      </c>
      <c r="E208" s="1">
        <f>IFERROR(__xludf.DUMMYFUNCTION("""COMPUTED_VALUE"""),27461.22)</f>
        <v>27461.22</v>
      </c>
      <c r="F208" s="1">
        <f>IFERROR(__xludf.DUMMYFUNCTION("""COMPUTED_VALUE"""),3103799.0)</f>
        <v>3103799</v>
      </c>
    </row>
    <row r="209">
      <c r="A209" s="2">
        <f>IFERROR(__xludf.DUMMYFUNCTION("""COMPUTED_VALUE"""),44495.64583333333)</f>
        <v>44495.64583</v>
      </c>
      <c r="B209" s="1">
        <f>IFERROR(__xludf.DUMMYFUNCTION("""COMPUTED_VALUE"""),27347.27)</f>
        <v>27347.27</v>
      </c>
      <c r="C209" s="1">
        <f>IFERROR(__xludf.DUMMYFUNCTION("""COMPUTED_VALUE"""),28714.63)</f>
        <v>28714.63</v>
      </c>
      <c r="D209" s="1">
        <f>IFERROR(__xludf.DUMMYFUNCTION("""COMPUTED_VALUE"""),26473.67)</f>
        <v>26473.67</v>
      </c>
      <c r="E209" s="1">
        <f>IFERROR(__xludf.DUMMYFUNCTION("""COMPUTED_VALUE"""),28600.68)</f>
        <v>28600.68</v>
      </c>
      <c r="F209" s="1">
        <f>IFERROR(__xludf.DUMMYFUNCTION("""COMPUTED_VALUE"""),866697.0)</f>
        <v>866697</v>
      </c>
    </row>
    <row r="210">
      <c r="A210" s="2">
        <f>IFERROR(__xludf.DUMMYFUNCTION("""COMPUTED_VALUE"""),44496.64583333333)</f>
        <v>44496.64583</v>
      </c>
      <c r="B210" s="1">
        <f>IFERROR(__xludf.DUMMYFUNCTION("""COMPUTED_VALUE"""),28220.86)</f>
        <v>28220.86</v>
      </c>
      <c r="C210" s="1">
        <f>IFERROR(__xludf.DUMMYFUNCTION("""COMPUTED_VALUE"""),30271.91)</f>
        <v>30271.91</v>
      </c>
      <c r="D210" s="1">
        <f>IFERROR(__xludf.DUMMYFUNCTION("""COMPUTED_VALUE"""),28106.91)</f>
        <v>28106.91</v>
      </c>
      <c r="E210" s="1">
        <f>IFERROR(__xludf.DUMMYFUNCTION("""COMPUTED_VALUE"""),29588.22)</f>
        <v>29588.22</v>
      </c>
      <c r="F210" s="1">
        <f>IFERROR(__xludf.DUMMYFUNCTION("""COMPUTED_VALUE"""),1776196.0)</f>
        <v>1776196</v>
      </c>
    </row>
    <row r="211">
      <c r="A211" s="2">
        <f>IFERROR(__xludf.DUMMYFUNCTION("""COMPUTED_VALUE"""),44497.64583333333)</f>
        <v>44497.64583</v>
      </c>
      <c r="B211" s="1">
        <f>IFERROR(__xludf.DUMMYFUNCTION("""COMPUTED_VALUE"""),29778.14)</f>
        <v>29778.14</v>
      </c>
      <c r="C211" s="1">
        <f>IFERROR(__xludf.DUMMYFUNCTION("""COMPUTED_VALUE"""),30081.99)</f>
        <v>30081.99</v>
      </c>
      <c r="D211" s="1">
        <f>IFERROR(__xludf.DUMMYFUNCTION("""COMPUTED_VALUE"""),27157.36)</f>
        <v>27157.36</v>
      </c>
      <c r="E211" s="1">
        <f>IFERROR(__xludf.DUMMYFUNCTION("""COMPUTED_VALUE"""),28106.91)</f>
        <v>28106.91</v>
      </c>
      <c r="F211" s="1">
        <f>IFERROR(__xludf.DUMMYFUNCTION("""COMPUTED_VALUE"""),836991.0)</f>
        <v>836991</v>
      </c>
    </row>
    <row r="212">
      <c r="A212" s="2">
        <f>IFERROR(__xludf.DUMMYFUNCTION("""COMPUTED_VALUE"""),44498.64583333333)</f>
        <v>44498.64583</v>
      </c>
      <c r="B212" s="1">
        <f>IFERROR(__xludf.DUMMYFUNCTION("""COMPUTED_VALUE"""),27954.99)</f>
        <v>27954.99</v>
      </c>
      <c r="C212" s="1">
        <f>IFERROR(__xludf.DUMMYFUNCTION("""COMPUTED_VALUE"""),28410.77)</f>
        <v>28410.77</v>
      </c>
      <c r="D212" s="1">
        <f>IFERROR(__xludf.DUMMYFUNCTION("""COMPUTED_VALUE"""),26967.44)</f>
        <v>26967.44</v>
      </c>
      <c r="E212" s="1">
        <f>IFERROR(__xludf.DUMMYFUNCTION("""COMPUTED_VALUE"""),27423.23)</f>
        <v>27423.23</v>
      </c>
      <c r="F212" s="1">
        <f>IFERROR(__xludf.DUMMYFUNCTION("""COMPUTED_VALUE"""),416179.0)</f>
        <v>416179</v>
      </c>
    </row>
    <row r="213">
      <c r="A213" s="2">
        <f>IFERROR(__xludf.DUMMYFUNCTION("""COMPUTED_VALUE"""),44501.64583333333)</f>
        <v>44501.64583</v>
      </c>
      <c r="B213" s="1">
        <f>IFERROR(__xludf.DUMMYFUNCTION("""COMPUTED_VALUE"""),27423.23)</f>
        <v>27423.23</v>
      </c>
      <c r="C213" s="1">
        <f>IFERROR(__xludf.DUMMYFUNCTION("""COMPUTED_VALUE"""),27917.0)</f>
        <v>27917</v>
      </c>
      <c r="D213" s="1">
        <f>IFERROR(__xludf.DUMMYFUNCTION("""COMPUTED_VALUE"""),26473.67)</f>
        <v>26473.67</v>
      </c>
      <c r="E213" s="1">
        <f>IFERROR(__xludf.DUMMYFUNCTION("""COMPUTED_VALUE"""),27917.0)</f>
        <v>27917</v>
      </c>
      <c r="F213" s="1">
        <f>IFERROR(__xludf.DUMMYFUNCTION("""COMPUTED_VALUE"""),376599.0)</f>
        <v>376599</v>
      </c>
    </row>
    <row r="214">
      <c r="A214" s="2">
        <f>IFERROR(__xludf.DUMMYFUNCTION("""COMPUTED_VALUE"""),44502.64583333333)</f>
        <v>44502.64583</v>
      </c>
      <c r="B214" s="1">
        <f>IFERROR(__xludf.DUMMYFUNCTION("""COMPUTED_VALUE"""),27727.09)</f>
        <v>27727.09</v>
      </c>
      <c r="C214" s="1">
        <f>IFERROR(__xludf.DUMMYFUNCTION("""COMPUTED_VALUE"""),27841.04)</f>
        <v>27841.04</v>
      </c>
      <c r="D214" s="1">
        <f>IFERROR(__xludf.DUMMYFUNCTION("""COMPUTED_VALUE"""),27119.37)</f>
        <v>27119.37</v>
      </c>
      <c r="E214" s="1">
        <f>IFERROR(__xludf.DUMMYFUNCTION("""COMPUTED_VALUE"""),27233.32)</f>
        <v>27233.32</v>
      </c>
      <c r="F214" s="1">
        <f>IFERROR(__xludf.DUMMYFUNCTION("""COMPUTED_VALUE"""),249566.0)</f>
        <v>249566</v>
      </c>
    </row>
    <row r="215">
      <c r="A215" s="2">
        <f>IFERROR(__xludf.DUMMYFUNCTION("""COMPUTED_VALUE"""),44503.64583333333)</f>
        <v>44503.64583</v>
      </c>
      <c r="B215" s="1">
        <f>IFERROR(__xludf.DUMMYFUNCTION("""COMPUTED_VALUE"""),27081.39)</f>
        <v>27081.39</v>
      </c>
      <c r="C215" s="1">
        <f>IFERROR(__xludf.DUMMYFUNCTION("""COMPUTED_VALUE"""),27613.14)</f>
        <v>27613.14</v>
      </c>
      <c r="D215" s="1">
        <f>IFERROR(__xludf.DUMMYFUNCTION("""COMPUTED_VALUE"""),26321.75)</f>
        <v>26321.75</v>
      </c>
      <c r="E215" s="1">
        <f>IFERROR(__xludf.DUMMYFUNCTION("""COMPUTED_VALUE"""),26359.73)</f>
        <v>26359.73</v>
      </c>
      <c r="F215" s="1">
        <f>IFERROR(__xludf.DUMMYFUNCTION("""COMPUTED_VALUE"""),223959.0)</f>
        <v>223959</v>
      </c>
    </row>
    <row r="216">
      <c r="A216" s="2">
        <f>IFERROR(__xludf.DUMMYFUNCTION("""COMPUTED_VALUE"""),44504.64583333333)</f>
        <v>44504.64583</v>
      </c>
      <c r="B216" s="1">
        <f>IFERROR(__xludf.DUMMYFUNCTION("""COMPUTED_VALUE"""),26549.64)</f>
        <v>26549.64</v>
      </c>
      <c r="C216" s="1">
        <f>IFERROR(__xludf.DUMMYFUNCTION("""COMPUTED_VALUE"""),27043.41)</f>
        <v>27043.41</v>
      </c>
      <c r="D216" s="1">
        <f>IFERROR(__xludf.DUMMYFUNCTION("""COMPUTED_VALUE"""),25752.01)</f>
        <v>25752.01</v>
      </c>
      <c r="E216" s="1">
        <f>IFERROR(__xludf.DUMMYFUNCTION("""COMPUTED_VALUE"""),26967.44)</f>
        <v>26967.44</v>
      </c>
      <c r="F216" s="1">
        <f>IFERROR(__xludf.DUMMYFUNCTION("""COMPUTED_VALUE"""),337117.0)</f>
        <v>337117</v>
      </c>
    </row>
    <row r="217">
      <c r="A217" s="2">
        <f>IFERROR(__xludf.DUMMYFUNCTION("""COMPUTED_VALUE"""),44505.64583333333)</f>
        <v>44505.64583</v>
      </c>
      <c r="B217" s="1">
        <f>IFERROR(__xludf.DUMMYFUNCTION("""COMPUTED_VALUE"""),26929.46)</f>
        <v>26929.46</v>
      </c>
      <c r="C217" s="1">
        <f>IFERROR(__xludf.DUMMYFUNCTION("""COMPUTED_VALUE"""),27727.09)</f>
        <v>27727.09</v>
      </c>
      <c r="D217" s="1">
        <f>IFERROR(__xludf.DUMMYFUNCTION("""COMPUTED_VALUE"""),25638.06)</f>
        <v>25638.06</v>
      </c>
      <c r="E217" s="1">
        <f>IFERROR(__xludf.DUMMYFUNCTION("""COMPUTED_VALUE"""),26967.44)</f>
        <v>26967.44</v>
      </c>
      <c r="F217" s="1">
        <f>IFERROR(__xludf.DUMMYFUNCTION("""COMPUTED_VALUE"""),370475.0)</f>
        <v>370475</v>
      </c>
    </row>
    <row r="218">
      <c r="A218" s="2">
        <f>IFERROR(__xludf.DUMMYFUNCTION("""COMPUTED_VALUE"""),44508.64583333333)</f>
        <v>44508.64583</v>
      </c>
      <c r="B218" s="1">
        <f>IFERROR(__xludf.DUMMYFUNCTION("""COMPUTED_VALUE"""),27347.27)</f>
        <v>27347.27</v>
      </c>
      <c r="C218" s="1">
        <f>IFERROR(__xludf.DUMMYFUNCTION("""COMPUTED_VALUE"""),27765.07)</f>
        <v>27765.07</v>
      </c>
      <c r="D218" s="1">
        <f>IFERROR(__xludf.DUMMYFUNCTION("""COMPUTED_VALUE"""),26777.53)</f>
        <v>26777.53</v>
      </c>
      <c r="E218" s="1">
        <f>IFERROR(__xludf.DUMMYFUNCTION("""COMPUTED_VALUE"""),27461.22)</f>
        <v>27461.22</v>
      </c>
      <c r="F218" s="1">
        <f>IFERROR(__xludf.DUMMYFUNCTION("""COMPUTED_VALUE"""),232624.0)</f>
        <v>232624</v>
      </c>
    </row>
    <row r="219">
      <c r="A219" s="2">
        <f>IFERROR(__xludf.DUMMYFUNCTION("""COMPUTED_VALUE"""),44509.64583333333)</f>
        <v>44509.64583</v>
      </c>
      <c r="B219" s="1">
        <f>IFERROR(__xludf.DUMMYFUNCTION("""COMPUTED_VALUE"""),28030.95)</f>
        <v>28030.95</v>
      </c>
      <c r="C219" s="1">
        <f>IFERROR(__xludf.DUMMYFUNCTION("""COMPUTED_VALUE"""),28980.51)</f>
        <v>28980.51</v>
      </c>
      <c r="D219" s="1">
        <f>IFERROR(__xludf.DUMMYFUNCTION("""COMPUTED_VALUE"""),27727.09)</f>
        <v>27727.09</v>
      </c>
      <c r="E219" s="1">
        <f>IFERROR(__xludf.DUMMYFUNCTION("""COMPUTED_VALUE"""),28562.7)</f>
        <v>28562.7</v>
      </c>
      <c r="F219" s="1">
        <f>IFERROR(__xludf.DUMMYFUNCTION("""COMPUTED_VALUE"""),1064802.0)</f>
        <v>1064802</v>
      </c>
    </row>
    <row r="220">
      <c r="A220" s="2">
        <f>IFERROR(__xludf.DUMMYFUNCTION("""COMPUTED_VALUE"""),44510.64583333333)</f>
        <v>44510.64583</v>
      </c>
      <c r="B220" s="1">
        <f>IFERROR(__xludf.DUMMYFUNCTION("""COMPUTED_VALUE"""),28942.53)</f>
        <v>28942.53</v>
      </c>
      <c r="C220" s="1">
        <f>IFERROR(__xludf.DUMMYFUNCTION("""COMPUTED_VALUE"""),30195.94)</f>
        <v>30195.94</v>
      </c>
      <c r="D220" s="1">
        <f>IFERROR(__xludf.DUMMYFUNCTION("""COMPUTED_VALUE"""),28334.81)</f>
        <v>28334.81</v>
      </c>
      <c r="E220" s="1">
        <f>IFERROR(__xludf.DUMMYFUNCTION("""COMPUTED_VALUE"""),28676.65)</f>
        <v>28676.65</v>
      </c>
      <c r="F220" s="1">
        <f>IFERROR(__xludf.DUMMYFUNCTION("""COMPUTED_VALUE"""),1341275.0)</f>
        <v>1341275</v>
      </c>
    </row>
    <row r="221">
      <c r="A221" s="2">
        <f>IFERROR(__xludf.DUMMYFUNCTION("""COMPUTED_VALUE"""),44511.64583333333)</f>
        <v>44511.64583</v>
      </c>
      <c r="B221" s="1">
        <f>IFERROR(__xludf.DUMMYFUNCTION("""COMPUTED_VALUE"""),28220.86)</f>
        <v>28220.86</v>
      </c>
      <c r="C221" s="1">
        <f>IFERROR(__xludf.DUMMYFUNCTION("""COMPUTED_VALUE"""),29360.33)</f>
        <v>29360.33</v>
      </c>
      <c r="D221" s="1">
        <f>IFERROR(__xludf.DUMMYFUNCTION("""COMPUTED_VALUE"""),27727.09)</f>
        <v>27727.09</v>
      </c>
      <c r="E221" s="1">
        <f>IFERROR(__xludf.DUMMYFUNCTION("""COMPUTED_VALUE"""),28638.67)</f>
        <v>28638.67</v>
      </c>
      <c r="F221" s="1">
        <f>IFERROR(__xludf.DUMMYFUNCTION("""COMPUTED_VALUE"""),453971.0)</f>
        <v>453971</v>
      </c>
    </row>
    <row r="222">
      <c r="A222" s="2">
        <f>IFERROR(__xludf.DUMMYFUNCTION("""COMPUTED_VALUE"""),44512.64583333333)</f>
        <v>44512.64583</v>
      </c>
      <c r="B222" s="1">
        <f>IFERROR(__xludf.DUMMYFUNCTION("""COMPUTED_VALUE"""),28790.6)</f>
        <v>28790.6</v>
      </c>
      <c r="C222" s="1">
        <f>IFERROR(__xludf.DUMMYFUNCTION("""COMPUTED_VALUE"""),29322.35)</f>
        <v>29322.35</v>
      </c>
      <c r="D222" s="1">
        <f>IFERROR(__xludf.DUMMYFUNCTION("""COMPUTED_VALUE"""),27347.27)</f>
        <v>27347.27</v>
      </c>
      <c r="E222" s="1">
        <f>IFERROR(__xludf.DUMMYFUNCTION("""COMPUTED_VALUE"""),27537.18)</f>
        <v>27537.18</v>
      </c>
      <c r="F222" s="1">
        <f>IFERROR(__xludf.DUMMYFUNCTION("""COMPUTED_VALUE"""),557947.0)</f>
        <v>557947</v>
      </c>
    </row>
    <row r="223">
      <c r="A223" s="2">
        <f>IFERROR(__xludf.DUMMYFUNCTION("""COMPUTED_VALUE"""),44515.64583333333)</f>
        <v>44515.64583</v>
      </c>
      <c r="B223" s="1">
        <f>IFERROR(__xludf.DUMMYFUNCTION("""COMPUTED_VALUE"""),27803.06)</f>
        <v>27803.06</v>
      </c>
      <c r="C223" s="1">
        <f>IFERROR(__xludf.DUMMYFUNCTION("""COMPUTED_VALUE"""),28334.81)</f>
        <v>28334.81</v>
      </c>
      <c r="D223" s="1">
        <f>IFERROR(__xludf.DUMMYFUNCTION("""COMPUTED_VALUE"""),27233.32)</f>
        <v>27233.32</v>
      </c>
      <c r="E223" s="1">
        <f>IFERROR(__xludf.DUMMYFUNCTION("""COMPUTED_VALUE"""),28334.81)</f>
        <v>28334.81</v>
      </c>
      <c r="F223" s="1">
        <f>IFERROR(__xludf.DUMMYFUNCTION("""COMPUTED_VALUE"""),383337.0)</f>
        <v>383337</v>
      </c>
    </row>
    <row r="224">
      <c r="A224" s="2">
        <f>IFERROR(__xludf.DUMMYFUNCTION("""COMPUTED_VALUE"""),44516.64583333333)</f>
        <v>44516.64583</v>
      </c>
      <c r="B224" s="1">
        <f>IFERROR(__xludf.DUMMYFUNCTION("""COMPUTED_VALUE"""),28448.76)</f>
        <v>28448.76</v>
      </c>
      <c r="C224" s="1">
        <f>IFERROR(__xludf.DUMMYFUNCTION("""COMPUTED_VALUE"""),29588.22)</f>
        <v>29588.22</v>
      </c>
      <c r="D224" s="1">
        <f>IFERROR(__xludf.DUMMYFUNCTION("""COMPUTED_VALUE"""),28220.86)</f>
        <v>28220.86</v>
      </c>
      <c r="E224" s="1">
        <f>IFERROR(__xludf.DUMMYFUNCTION("""COMPUTED_VALUE"""),29588.22)</f>
        <v>29588.22</v>
      </c>
      <c r="F224" s="1">
        <f>IFERROR(__xludf.DUMMYFUNCTION("""COMPUTED_VALUE"""),800255.0)</f>
        <v>800255</v>
      </c>
    </row>
    <row r="225">
      <c r="A225" s="2">
        <f>IFERROR(__xludf.DUMMYFUNCTION("""COMPUTED_VALUE"""),44517.64583333333)</f>
        <v>44517.64583</v>
      </c>
      <c r="B225" s="1">
        <f>IFERROR(__xludf.DUMMYFUNCTION("""COMPUTED_VALUE"""),29892.08)</f>
        <v>29892.08</v>
      </c>
      <c r="C225" s="1">
        <f>IFERROR(__xludf.DUMMYFUNCTION("""COMPUTED_VALUE"""),33652.33)</f>
        <v>33652.33</v>
      </c>
      <c r="D225" s="1">
        <f>IFERROR(__xludf.DUMMYFUNCTION("""COMPUTED_VALUE"""),29626.21)</f>
        <v>29626.21</v>
      </c>
      <c r="E225" s="1">
        <f>IFERROR(__xludf.DUMMYFUNCTION("""COMPUTED_VALUE"""),32057.08)</f>
        <v>32057.08</v>
      </c>
      <c r="F225" s="1">
        <f>IFERROR(__xludf.DUMMYFUNCTION("""COMPUTED_VALUE"""),4389867.0)</f>
        <v>4389867</v>
      </c>
    </row>
    <row r="226">
      <c r="A226" s="2">
        <f>IFERROR(__xludf.DUMMYFUNCTION("""COMPUTED_VALUE"""),44518.64583333333)</f>
        <v>44518.64583</v>
      </c>
      <c r="B226" s="1">
        <f>IFERROR(__xludf.DUMMYFUNCTION("""COMPUTED_VALUE"""),32436.9)</f>
        <v>32436.9</v>
      </c>
      <c r="C226" s="1">
        <f>IFERROR(__xludf.DUMMYFUNCTION("""COMPUTED_VALUE"""),33082.6)</f>
        <v>33082.6</v>
      </c>
      <c r="D226" s="1">
        <f>IFERROR(__xludf.DUMMYFUNCTION("""COMPUTED_VALUE"""),29664.19)</f>
        <v>29664.19</v>
      </c>
      <c r="E226" s="1">
        <f>IFERROR(__xludf.DUMMYFUNCTION("""COMPUTED_VALUE"""),31449.36)</f>
        <v>31449.36</v>
      </c>
      <c r="F226" s="1">
        <f>IFERROR(__xludf.DUMMYFUNCTION("""COMPUTED_VALUE"""),1503564.0)</f>
        <v>1503564</v>
      </c>
    </row>
    <row r="227">
      <c r="A227" s="2">
        <f>IFERROR(__xludf.DUMMYFUNCTION("""COMPUTED_VALUE"""),44519.64583333333)</f>
        <v>44519.64583</v>
      </c>
      <c r="B227" s="1">
        <f>IFERROR(__xludf.DUMMYFUNCTION("""COMPUTED_VALUE"""),31449.36)</f>
        <v>31449.36</v>
      </c>
      <c r="C227" s="1">
        <f>IFERROR(__xludf.DUMMYFUNCTION("""COMPUTED_VALUE"""),33044.62)</f>
        <v>33044.62</v>
      </c>
      <c r="D227" s="1">
        <f>IFERROR(__xludf.DUMMYFUNCTION("""COMPUTED_VALUE"""),30613.75)</f>
        <v>30613.75</v>
      </c>
      <c r="E227" s="1">
        <f>IFERROR(__xludf.DUMMYFUNCTION("""COMPUTED_VALUE"""),31069.54)</f>
        <v>31069.54</v>
      </c>
      <c r="F227" s="1">
        <f>IFERROR(__xludf.DUMMYFUNCTION("""COMPUTED_VALUE"""),909587.0)</f>
        <v>909587</v>
      </c>
    </row>
    <row r="228">
      <c r="A228" s="2">
        <f>IFERROR(__xludf.DUMMYFUNCTION("""COMPUTED_VALUE"""),44522.64583333333)</f>
        <v>44522.64583</v>
      </c>
      <c r="B228" s="1">
        <f>IFERROR(__xludf.DUMMYFUNCTION("""COMPUTED_VALUE"""),31031.55)</f>
        <v>31031.55</v>
      </c>
      <c r="C228" s="1">
        <f>IFERROR(__xludf.DUMMYFUNCTION("""COMPUTED_VALUE"""),31031.55)</f>
        <v>31031.55</v>
      </c>
      <c r="D228" s="1">
        <f>IFERROR(__xludf.DUMMYFUNCTION("""COMPUTED_VALUE"""),28106.91)</f>
        <v>28106.91</v>
      </c>
      <c r="E228" s="1">
        <f>IFERROR(__xludf.DUMMYFUNCTION("""COMPUTED_VALUE"""),28106.91)</f>
        <v>28106.91</v>
      </c>
      <c r="F228" s="1">
        <f>IFERROR(__xludf.DUMMYFUNCTION("""COMPUTED_VALUE"""),718929.0)</f>
        <v>718929</v>
      </c>
    </row>
    <row r="229">
      <c r="A229" s="2">
        <f>IFERROR(__xludf.DUMMYFUNCTION("""COMPUTED_VALUE"""),44523.64583333333)</f>
        <v>44523.64583</v>
      </c>
      <c r="B229" s="1">
        <f>IFERROR(__xludf.DUMMYFUNCTION("""COMPUTED_VALUE"""),27347.27)</f>
        <v>27347.27</v>
      </c>
      <c r="C229" s="1">
        <f>IFERROR(__xludf.DUMMYFUNCTION("""COMPUTED_VALUE"""),28486.74)</f>
        <v>28486.74</v>
      </c>
      <c r="D229" s="1">
        <f>IFERROR(__xludf.DUMMYFUNCTION("""COMPUTED_VALUE"""),26739.55)</f>
        <v>26739.55</v>
      </c>
      <c r="E229" s="1">
        <f>IFERROR(__xludf.DUMMYFUNCTION("""COMPUTED_VALUE"""),27347.27)</f>
        <v>27347.27</v>
      </c>
      <c r="F229" s="1">
        <f>IFERROR(__xludf.DUMMYFUNCTION("""COMPUTED_VALUE"""),330298.0)</f>
        <v>330298</v>
      </c>
    </row>
    <row r="230">
      <c r="A230" s="2">
        <f>IFERROR(__xludf.DUMMYFUNCTION("""COMPUTED_VALUE"""),44524.64583333333)</f>
        <v>44524.64583</v>
      </c>
      <c r="B230" s="1">
        <f>IFERROR(__xludf.DUMMYFUNCTION("""COMPUTED_VALUE"""),27309.29)</f>
        <v>27309.29</v>
      </c>
      <c r="C230" s="1">
        <f>IFERROR(__xludf.DUMMYFUNCTION("""COMPUTED_VALUE"""),27954.99)</f>
        <v>27954.99</v>
      </c>
      <c r="D230" s="1">
        <f>IFERROR(__xludf.DUMMYFUNCTION("""COMPUTED_VALUE"""),26207.8)</f>
        <v>26207.8</v>
      </c>
      <c r="E230" s="1">
        <f>IFERROR(__xludf.DUMMYFUNCTION("""COMPUTED_VALUE"""),27537.18)</f>
        <v>27537.18</v>
      </c>
      <c r="F230" s="1">
        <f>IFERROR(__xludf.DUMMYFUNCTION("""COMPUTED_VALUE"""),329414.0)</f>
        <v>329414</v>
      </c>
    </row>
    <row r="231">
      <c r="A231" s="2">
        <f>IFERROR(__xludf.DUMMYFUNCTION("""COMPUTED_VALUE"""),44525.64583333333)</f>
        <v>44525.64583</v>
      </c>
      <c r="B231" s="1">
        <f>IFERROR(__xludf.DUMMYFUNCTION("""COMPUTED_VALUE"""),27727.09)</f>
        <v>27727.09</v>
      </c>
      <c r="C231" s="1">
        <f>IFERROR(__xludf.DUMMYFUNCTION("""COMPUTED_VALUE"""),29436.3)</f>
        <v>29436.3</v>
      </c>
      <c r="D231" s="1">
        <f>IFERROR(__xludf.DUMMYFUNCTION("""COMPUTED_VALUE"""),27613.14)</f>
        <v>27613.14</v>
      </c>
      <c r="E231" s="1">
        <f>IFERROR(__xludf.DUMMYFUNCTION("""COMPUTED_VALUE"""),29398.31)</f>
        <v>29398.31</v>
      </c>
      <c r="F231" s="1">
        <f>IFERROR(__xludf.DUMMYFUNCTION("""COMPUTED_VALUE"""),497267.0)</f>
        <v>497267</v>
      </c>
    </row>
    <row r="232">
      <c r="A232" s="2">
        <f>IFERROR(__xludf.DUMMYFUNCTION("""COMPUTED_VALUE"""),44526.64583333333)</f>
        <v>44526.64583</v>
      </c>
      <c r="B232" s="1">
        <f>IFERROR(__xludf.DUMMYFUNCTION("""COMPUTED_VALUE"""),29664.19)</f>
        <v>29664.19</v>
      </c>
      <c r="C232" s="1">
        <f>IFERROR(__xludf.DUMMYFUNCTION("""COMPUTED_VALUE"""),31373.39)</f>
        <v>31373.39</v>
      </c>
      <c r="D232" s="1">
        <f>IFERROR(__xludf.DUMMYFUNCTION("""COMPUTED_VALUE"""),28372.79)</f>
        <v>28372.79</v>
      </c>
      <c r="E232" s="1">
        <f>IFERROR(__xludf.DUMMYFUNCTION("""COMPUTED_VALUE"""),29892.08)</f>
        <v>29892.08</v>
      </c>
      <c r="F232" s="1">
        <f>IFERROR(__xludf.DUMMYFUNCTION("""COMPUTED_VALUE"""),1144789.0)</f>
        <v>1144789</v>
      </c>
    </row>
    <row r="233">
      <c r="A233" s="2">
        <f>IFERROR(__xludf.DUMMYFUNCTION("""COMPUTED_VALUE"""),44529.64583333333)</f>
        <v>44529.64583</v>
      </c>
      <c r="B233" s="1">
        <f>IFERROR(__xludf.DUMMYFUNCTION("""COMPUTED_VALUE"""),28524.72)</f>
        <v>28524.72</v>
      </c>
      <c r="C233" s="1">
        <f>IFERROR(__xludf.DUMMYFUNCTION("""COMPUTED_VALUE"""),30575.77)</f>
        <v>30575.77</v>
      </c>
      <c r="D233" s="1">
        <f>IFERROR(__xludf.DUMMYFUNCTION("""COMPUTED_VALUE"""),27689.11)</f>
        <v>27689.11</v>
      </c>
      <c r="E233" s="1">
        <f>IFERROR(__xludf.DUMMYFUNCTION("""COMPUTED_VALUE"""),28182.88)</f>
        <v>28182.88</v>
      </c>
      <c r="F233" s="1">
        <f>IFERROR(__xludf.DUMMYFUNCTION("""COMPUTED_VALUE"""),517441.0)</f>
        <v>517441</v>
      </c>
    </row>
    <row r="234">
      <c r="A234" s="2">
        <f>IFERROR(__xludf.DUMMYFUNCTION("""COMPUTED_VALUE"""),44530.64583333333)</f>
        <v>44530.64583</v>
      </c>
      <c r="B234" s="1">
        <f>IFERROR(__xludf.DUMMYFUNCTION("""COMPUTED_VALUE"""),28334.81)</f>
        <v>28334.81</v>
      </c>
      <c r="C234" s="1">
        <f>IFERROR(__xludf.DUMMYFUNCTION("""COMPUTED_VALUE"""),29322.35)</f>
        <v>29322.35</v>
      </c>
      <c r="D234" s="1">
        <f>IFERROR(__xludf.DUMMYFUNCTION("""COMPUTED_VALUE"""),26891.48)</f>
        <v>26891.48</v>
      </c>
      <c r="E234" s="1">
        <f>IFERROR(__xludf.DUMMYFUNCTION("""COMPUTED_VALUE"""),27005.43)</f>
        <v>27005.43</v>
      </c>
      <c r="F234" s="1">
        <f>IFERROR(__xludf.DUMMYFUNCTION("""COMPUTED_VALUE"""),443736.0)</f>
        <v>443736</v>
      </c>
    </row>
    <row r="235">
      <c r="A235" s="2">
        <f>IFERROR(__xludf.DUMMYFUNCTION("""COMPUTED_VALUE"""),44531.64583333333)</f>
        <v>44531.64583</v>
      </c>
      <c r="B235" s="1">
        <f>IFERROR(__xludf.DUMMYFUNCTION("""COMPUTED_VALUE"""),27879.02)</f>
        <v>27879.02</v>
      </c>
      <c r="C235" s="1">
        <f>IFERROR(__xludf.DUMMYFUNCTION("""COMPUTED_VALUE"""),28296.83)</f>
        <v>28296.83</v>
      </c>
      <c r="D235" s="1">
        <f>IFERROR(__xludf.DUMMYFUNCTION("""COMPUTED_VALUE"""),26245.78)</f>
        <v>26245.78</v>
      </c>
      <c r="E235" s="1">
        <f>IFERROR(__xludf.DUMMYFUNCTION("""COMPUTED_VALUE"""),27385.25)</f>
        <v>27385.25</v>
      </c>
      <c r="F235" s="1">
        <f>IFERROR(__xludf.DUMMYFUNCTION("""COMPUTED_VALUE"""),396642.0)</f>
        <v>396642</v>
      </c>
    </row>
    <row r="236">
      <c r="A236" s="2">
        <f>IFERROR(__xludf.DUMMYFUNCTION("""COMPUTED_VALUE"""),44532.64583333333)</f>
        <v>44532.64583</v>
      </c>
      <c r="B236" s="1">
        <f>IFERROR(__xludf.DUMMYFUNCTION("""COMPUTED_VALUE"""),26739.55)</f>
        <v>26739.55</v>
      </c>
      <c r="C236" s="1">
        <f>IFERROR(__xludf.DUMMYFUNCTION("""COMPUTED_VALUE"""),27271.3)</f>
        <v>27271.3</v>
      </c>
      <c r="D236" s="1">
        <f>IFERROR(__xludf.DUMMYFUNCTION("""COMPUTED_VALUE"""),25448.15)</f>
        <v>25448.15</v>
      </c>
      <c r="E236" s="1">
        <f>IFERROR(__xludf.DUMMYFUNCTION("""COMPUTED_VALUE"""),25676.05)</f>
        <v>25676.05</v>
      </c>
      <c r="F236" s="1">
        <f>IFERROR(__xludf.DUMMYFUNCTION("""COMPUTED_VALUE"""),434175.0)</f>
        <v>434175</v>
      </c>
    </row>
    <row r="237">
      <c r="A237" s="2">
        <f>IFERROR(__xludf.DUMMYFUNCTION("""COMPUTED_VALUE"""),44533.64583333333)</f>
        <v>44533.64583</v>
      </c>
      <c r="B237" s="1">
        <f>IFERROR(__xludf.DUMMYFUNCTION("""COMPUTED_VALUE"""),26093.85)</f>
        <v>26093.85</v>
      </c>
      <c r="C237" s="1">
        <f>IFERROR(__xludf.DUMMYFUNCTION("""COMPUTED_VALUE"""),26587.62)</f>
        <v>26587.62</v>
      </c>
      <c r="D237" s="1">
        <f>IFERROR(__xludf.DUMMYFUNCTION("""COMPUTED_VALUE"""),25714.03)</f>
        <v>25714.03</v>
      </c>
      <c r="E237" s="1">
        <f>IFERROR(__xludf.DUMMYFUNCTION("""COMPUTED_VALUE"""),26207.8)</f>
        <v>26207.8</v>
      </c>
      <c r="F237" s="1">
        <f>IFERROR(__xludf.DUMMYFUNCTION("""COMPUTED_VALUE"""),225178.0)</f>
        <v>225178</v>
      </c>
    </row>
    <row r="238">
      <c r="A238" s="2">
        <f>IFERROR(__xludf.DUMMYFUNCTION("""COMPUTED_VALUE"""),44536.64583333333)</f>
        <v>44536.64583</v>
      </c>
      <c r="B238" s="1">
        <f>IFERROR(__xludf.DUMMYFUNCTION("""COMPUTED_VALUE"""),25827.98)</f>
        <v>25827.98</v>
      </c>
      <c r="C238" s="1">
        <f>IFERROR(__xludf.DUMMYFUNCTION("""COMPUTED_VALUE"""),25941.92)</f>
        <v>25941.92</v>
      </c>
      <c r="D238" s="1">
        <f>IFERROR(__xludf.DUMMYFUNCTION("""COMPUTED_VALUE"""),24992.36)</f>
        <v>24992.36</v>
      </c>
      <c r="E238" s="1">
        <f>IFERROR(__xludf.DUMMYFUNCTION("""COMPUTED_VALUE"""),25068.33)</f>
        <v>25068.33</v>
      </c>
      <c r="F238" s="1">
        <f>IFERROR(__xludf.DUMMYFUNCTION("""COMPUTED_VALUE"""),249172.0)</f>
        <v>249172</v>
      </c>
    </row>
    <row r="239">
      <c r="A239" s="2">
        <f>IFERROR(__xludf.DUMMYFUNCTION("""COMPUTED_VALUE"""),44537.64583333333)</f>
        <v>44537.64583</v>
      </c>
      <c r="B239" s="1">
        <f>IFERROR(__xludf.DUMMYFUNCTION("""COMPUTED_VALUE"""),25372.19)</f>
        <v>25372.19</v>
      </c>
      <c r="C239" s="1">
        <f>IFERROR(__xludf.DUMMYFUNCTION("""COMPUTED_VALUE"""),25752.01)</f>
        <v>25752.01</v>
      </c>
      <c r="D239" s="1">
        <f>IFERROR(__xludf.DUMMYFUNCTION("""COMPUTED_VALUE"""),24422.63)</f>
        <v>24422.63</v>
      </c>
      <c r="E239" s="1">
        <f>IFERROR(__xludf.DUMMYFUNCTION("""COMPUTED_VALUE"""),24650.52)</f>
        <v>24650.52</v>
      </c>
      <c r="F239" s="1">
        <f>IFERROR(__xludf.DUMMYFUNCTION("""COMPUTED_VALUE"""),217711.0)</f>
        <v>217711</v>
      </c>
    </row>
    <row r="240">
      <c r="A240" s="2">
        <f>IFERROR(__xludf.DUMMYFUNCTION("""COMPUTED_VALUE"""),44538.64583333333)</f>
        <v>44538.64583</v>
      </c>
      <c r="B240" s="1">
        <f>IFERROR(__xludf.DUMMYFUNCTION("""COMPUTED_VALUE"""),24954.38)</f>
        <v>24954.38</v>
      </c>
      <c r="C240" s="1">
        <f>IFERROR(__xludf.DUMMYFUNCTION("""COMPUTED_VALUE"""),25334.21)</f>
        <v>25334.21</v>
      </c>
      <c r="D240" s="1">
        <f>IFERROR(__xludf.DUMMYFUNCTION("""COMPUTED_VALUE"""),24460.61)</f>
        <v>24460.61</v>
      </c>
      <c r="E240" s="1">
        <f>IFERROR(__xludf.DUMMYFUNCTION("""COMPUTED_VALUE"""),24498.59)</f>
        <v>24498.59</v>
      </c>
      <c r="F240" s="1">
        <f>IFERROR(__xludf.DUMMYFUNCTION("""COMPUTED_VALUE"""),180885.0)</f>
        <v>180885</v>
      </c>
    </row>
    <row r="241">
      <c r="A241" s="2">
        <f>IFERROR(__xludf.DUMMYFUNCTION("""COMPUTED_VALUE"""),44539.64583333333)</f>
        <v>44539.64583</v>
      </c>
      <c r="B241" s="1">
        <f>IFERROR(__xludf.DUMMYFUNCTION("""COMPUTED_VALUE"""),24992.36)</f>
        <v>24992.36</v>
      </c>
      <c r="C241" s="1">
        <f>IFERROR(__xludf.DUMMYFUNCTION("""COMPUTED_VALUE"""),25638.06)</f>
        <v>25638.06</v>
      </c>
      <c r="D241" s="1">
        <f>IFERROR(__xludf.DUMMYFUNCTION("""COMPUTED_VALUE"""),24650.52)</f>
        <v>24650.52</v>
      </c>
      <c r="E241" s="1">
        <f>IFERROR(__xludf.DUMMYFUNCTION("""COMPUTED_VALUE"""),24840.44)</f>
        <v>24840.44</v>
      </c>
      <c r="F241" s="1">
        <f>IFERROR(__xludf.DUMMYFUNCTION("""COMPUTED_VALUE"""),252687.0)</f>
        <v>252687</v>
      </c>
    </row>
    <row r="242">
      <c r="A242" s="2">
        <f>IFERROR(__xludf.DUMMYFUNCTION("""COMPUTED_VALUE"""),44540.64583333333)</f>
        <v>44540.64583</v>
      </c>
      <c r="B242" s="1">
        <f>IFERROR(__xludf.DUMMYFUNCTION("""COMPUTED_VALUE"""),24992.36)</f>
        <v>24992.36</v>
      </c>
      <c r="C242" s="1">
        <f>IFERROR(__xludf.DUMMYFUNCTION("""COMPUTED_VALUE"""),24992.36)</f>
        <v>24992.36</v>
      </c>
      <c r="D242" s="1">
        <f>IFERROR(__xludf.DUMMYFUNCTION("""COMPUTED_VALUE"""),24308.68)</f>
        <v>24308.68</v>
      </c>
      <c r="E242" s="1">
        <f>IFERROR(__xludf.DUMMYFUNCTION("""COMPUTED_VALUE"""),24460.61)</f>
        <v>24460.61</v>
      </c>
      <c r="F242" s="1">
        <f>IFERROR(__xludf.DUMMYFUNCTION("""COMPUTED_VALUE"""),186028.0)</f>
        <v>186028</v>
      </c>
    </row>
    <row r="243">
      <c r="A243" s="2">
        <f>IFERROR(__xludf.DUMMYFUNCTION("""COMPUTED_VALUE"""),44543.64583333333)</f>
        <v>44543.64583</v>
      </c>
      <c r="B243" s="1">
        <f>IFERROR(__xludf.DUMMYFUNCTION("""COMPUTED_VALUE"""),24878.42)</f>
        <v>24878.42</v>
      </c>
      <c r="C243" s="1">
        <f>IFERROR(__xludf.DUMMYFUNCTION("""COMPUTED_VALUE"""),26093.85)</f>
        <v>26093.85</v>
      </c>
      <c r="D243" s="1">
        <f>IFERROR(__xludf.DUMMYFUNCTION("""COMPUTED_VALUE"""),24232.72)</f>
        <v>24232.72</v>
      </c>
      <c r="E243" s="1">
        <f>IFERROR(__xludf.DUMMYFUNCTION("""COMPUTED_VALUE"""),25714.03)</f>
        <v>25714.03</v>
      </c>
      <c r="F243" s="1">
        <f>IFERROR(__xludf.DUMMYFUNCTION("""COMPUTED_VALUE"""),473162.0)</f>
        <v>473162</v>
      </c>
    </row>
    <row r="244">
      <c r="A244" s="2">
        <f>IFERROR(__xludf.DUMMYFUNCTION("""COMPUTED_VALUE"""),44544.64583333333)</f>
        <v>44544.64583</v>
      </c>
      <c r="B244" s="1">
        <f>IFERROR(__xludf.DUMMYFUNCTION("""COMPUTED_VALUE"""),26093.85)</f>
        <v>26093.85</v>
      </c>
      <c r="C244" s="1">
        <f>IFERROR(__xludf.DUMMYFUNCTION("""COMPUTED_VALUE"""),26359.73)</f>
        <v>26359.73</v>
      </c>
      <c r="D244" s="1">
        <f>IFERROR(__xludf.DUMMYFUNCTION("""COMPUTED_VALUE"""),25182.28)</f>
        <v>25182.28</v>
      </c>
      <c r="E244" s="1">
        <f>IFERROR(__xludf.DUMMYFUNCTION("""COMPUTED_VALUE"""),25296.22)</f>
        <v>25296.22</v>
      </c>
      <c r="F244" s="1">
        <f>IFERROR(__xludf.DUMMYFUNCTION("""COMPUTED_VALUE"""),293408.0)</f>
        <v>293408</v>
      </c>
    </row>
    <row r="245">
      <c r="A245" s="2">
        <f>IFERROR(__xludf.DUMMYFUNCTION("""COMPUTED_VALUE"""),44545.64583333333)</f>
        <v>44545.64583</v>
      </c>
      <c r="B245" s="1">
        <f>IFERROR(__xludf.DUMMYFUNCTION("""COMPUTED_VALUE"""),25258.24)</f>
        <v>25258.24</v>
      </c>
      <c r="C245" s="1">
        <f>IFERROR(__xludf.DUMMYFUNCTION("""COMPUTED_VALUE"""),25600.08)</f>
        <v>25600.08</v>
      </c>
      <c r="D245" s="1">
        <f>IFERROR(__xludf.DUMMYFUNCTION("""COMPUTED_VALUE"""),24650.52)</f>
        <v>24650.52</v>
      </c>
      <c r="E245" s="1">
        <f>IFERROR(__xludf.DUMMYFUNCTION("""COMPUTED_VALUE"""),24650.52)</f>
        <v>24650.52</v>
      </c>
      <c r="F245" s="1">
        <f>IFERROR(__xludf.DUMMYFUNCTION("""COMPUTED_VALUE"""),136858.0)</f>
        <v>136858</v>
      </c>
    </row>
    <row r="246">
      <c r="A246" s="2">
        <f>IFERROR(__xludf.DUMMYFUNCTION("""COMPUTED_VALUE"""),44546.64583333333)</f>
        <v>44546.64583</v>
      </c>
      <c r="B246" s="1">
        <f>IFERROR(__xludf.DUMMYFUNCTION("""COMPUTED_VALUE"""),24992.36)</f>
        <v>24992.36</v>
      </c>
      <c r="C246" s="1">
        <f>IFERROR(__xludf.DUMMYFUNCTION("""COMPUTED_VALUE"""),25524.12)</f>
        <v>25524.12</v>
      </c>
      <c r="D246" s="1">
        <f>IFERROR(__xludf.DUMMYFUNCTION("""COMPUTED_VALUE"""),24650.52)</f>
        <v>24650.52</v>
      </c>
      <c r="E246" s="1">
        <f>IFERROR(__xludf.DUMMYFUNCTION("""COMPUTED_VALUE"""),24650.52)</f>
        <v>24650.52</v>
      </c>
      <c r="F246" s="1">
        <f>IFERROR(__xludf.DUMMYFUNCTION("""COMPUTED_VALUE"""),152483.0)</f>
        <v>152483</v>
      </c>
    </row>
    <row r="247">
      <c r="A247" s="2">
        <f>IFERROR(__xludf.DUMMYFUNCTION("""COMPUTED_VALUE"""),44547.64583333333)</f>
        <v>44547.64583</v>
      </c>
      <c r="B247" s="1">
        <f>IFERROR(__xludf.DUMMYFUNCTION("""COMPUTED_VALUE"""),24650.52)</f>
        <v>24650.52</v>
      </c>
      <c r="C247" s="1">
        <f>IFERROR(__xludf.DUMMYFUNCTION("""COMPUTED_VALUE"""),24916.4)</f>
        <v>24916.4</v>
      </c>
      <c r="D247" s="1">
        <f>IFERROR(__xludf.DUMMYFUNCTION("""COMPUTED_VALUE"""),24460.61)</f>
        <v>24460.61</v>
      </c>
      <c r="E247" s="1">
        <f>IFERROR(__xludf.DUMMYFUNCTION("""COMPUTED_VALUE"""),24536.58)</f>
        <v>24536.58</v>
      </c>
      <c r="F247" s="1">
        <f>IFERROR(__xludf.DUMMYFUNCTION("""COMPUTED_VALUE"""),81289.0)</f>
        <v>81289</v>
      </c>
    </row>
    <row r="248">
      <c r="A248" s="2">
        <f>IFERROR(__xludf.DUMMYFUNCTION("""COMPUTED_VALUE"""),44550.64583333333)</f>
        <v>44550.64583</v>
      </c>
      <c r="B248" s="1">
        <f>IFERROR(__xludf.DUMMYFUNCTION("""COMPUTED_VALUE"""),24536.58)</f>
        <v>24536.58</v>
      </c>
      <c r="C248" s="1">
        <f>IFERROR(__xludf.DUMMYFUNCTION("""COMPUTED_VALUE"""),25068.33)</f>
        <v>25068.33</v>
      </c>
      <c r="D248" s="1">
        <f>IFERROR(__xludf.DUMMYFUNCTION("""COMPUTED_VALUE"""),24080.79)</f>
        <v>24080.79</v>
      </c>
      <c r="E248" s="1">
        <f>IFERROR(__xludf.DUMMYFUNCTION("""COMPUTED_VALUE"""),24080.79)</f>
        <v>24080.79</v>
      </c>
      <c r="F248" s="1">
        <f>IFERROR(__xludf.DUMMYFUNCTION("""COMPUTED_VALUE"""),128818.0)</f>
        <v>128818</v>
      </c>
    </row>
    <row r="249">
      <c r="A249" s="2">
        <f>IFERROR(__xludf.DUMMYFUNCTION("""COMPUTED_VALUE"""),44551.64583333333)</f>
        <v>44551.64583</v>
      </c>
      <c r="B249" s="1">
        <f>IFERROR(__xludf.DUMMYFUNCTION("""COMPUTED_VALUE"""),24042.81)</f>
        <v>24042.81</v>
      </c>
      <c r="C249" s="1">
        <f>IFERROR(__xludf.DUMMYFUNCTION("""COMPUTED_VALUE"""),24308.68)</f>
        <v>24308.68</v>
      </c>
      <c r="D249" s="1">
        <f>IFERROR(__xludf.DUMMYFUNCTION("""COMPUTED_VALUE"""),23207.2)</f>
        <v>23207.2</v>
      </c>
      <c r="E249" s="1">
        <f>IFERROR(__xludf.DUMMYFUNCTION("""COMPUTED_VALUE"""),23587.02)</f>
        <v>23587.02</v>
      </c>
      <c r="F249" s="1">
        <f>IFERROR(__xludf.DUMMYFUNCTION("""COMPUTED_VALUE"""),178829.0)</f>
        <v>178829</v>
      </c>
    </row>
    <row r="250">
      <c r="A250" s="2">
        <f>IFERROR(__xludf.DUMMYFUNCTION("""COMPUTED_VALUE"""),44552.64583333333)</f>
        <v>44552.64583</v>
      </c>
      <c r="B250" s="1">
        <f>IFERROR(__xludf.DUMMYFUNCTION("""COMPUTED_VALUE"""),23814.91)</f>
        <v>23814.91</v>
      </c>
      <c r="C250" s="1">
        <f>IFERROR(__xludf.DUMMYFUNCTION("""COMPUTED_VALUE"""),24194.74)</f>
        <v>24194.74</v>
      </c>
      <c r="D250" s="1">
        <f>IFERROR(__xludf.DUMMYFUNCTION("""COMPUTED_VALUE"""),23587.02)</f>
        <v>23587.02</v>
      </c>
      <c r="E250" s="1">
        <f>IFERROR(__xludf.DUMMYFUNCTION("""COMPUTED_VALUE"""),23890.88)</f>
        <v>23890.88</v>
      </c>
      <c r="F250" s="1">
        <f>IFERROR(__xludf.DUMMYFUNCTION("""COMPUTED_VALUE"""),146459.0)</f>
        <v>146459</v>
      </c>
    </row>
    <row r="251">
      <c r="A251" s="2">
        <f>IFERROR(__xludf.DUMMYFUNCTION("""COMPUTED_VALUE"""),44553.64583333333)</f>
        <v>44553.64583</v>
      </c>
      <c r="B251" s="1">
        <f>IFERROR(__xludf.DUMMYFUNCTION("""COMPUTED_VALUE"""),24156.75)</f>
        <v>24156.75</v>
      </c>
      <c r="C251" s="1">
        <f>IFERROR(__xludf.DUMMYFUNCTION("""COMPUTED_VALUE"""),25410.17)</f>
        <v>25410.17</v>
      </c>
      <c r="D251" s="1">
        <f>IFERROR(__xludf.DUMMYFUNCTION("""COMPUTED_VALUE"""),24042.81)</f>
        <v>24042.81</v>
      </c>
      <c r="E251" s="1">
        <f>IFERROR(__xludf.DUMMYFUNCTION("""COMPUTED_VALUE"""),24764.47)</f>
        <v>24764.47</v>
      </c>
      <c r="F251" s="1">
        <f>IFERROR(__xludf.DUMMYFUNCTION("""COMPUTED_VALUE"""),363624.0)</f>
        <v>363624</v>
      </c>
    </row>
    <row r="252">
      <c r="A252" s="2">
        <f>IFERROR(__xludf.DUMMYFUNCTION("""COMPUTED_VALUE"""),44554.64583333333)</f>
        <v>44554.64583</v>
      </c>
      <c r="B252" s="1">
        <f>IFERROR(__xludf.DUMMYFUNCTION("""COMPUTED_VALUE"""),25220.26)</f>
        <v>25220.26</v>
      </c>
      <c r="C252" s="1">
        <f>IFERROR(__xludf.DUMMYFUNCTION("""COMPUTED_VALUE"""),25220.26)</f>
        <v>25220.26</v>
      </c>
      <c r="D252" s="1">
        <f>IFERROR(__xludf.DUMMYFUNCTION("""COMPUTED_VALUE"""),24726.49)</f>
        <v>24726.49</v>
      </c>
      <c r="E252" s="1">
        <f>IFERROR(__xludf.DUMMYFUNCTION("""COMPUTED_VALUE"""),24992.36)</f>
        <v>24992.36</v>
      </c>
      <c r="F252" s="1">
        <f>IFERROR(__xludf.DUMMYFUNCTION("""COMPUTED_VALUE"""),137923.0)</f>
        <v>137923</v>
      </c>
    </row>
    <row r="253">
      <c r="A253" s="2">
        <f>IFERROR(__xludf.DUMMYFUNCTION("""COMPUTED_VALUE"""),44557.64583333333)</f>
        <v>44557.64583</v>
      </c>
      <c r="B253" s="1">
        <f>IFERROR(__xludf.DUMMYFUNCTION("""COMPUTED_VALUE"""),24878.42)</f>
        <v>24878.42</v>
      </c>
      <c r="C253" s="1">
        <f>IFERROR(__xludf.DUMMYFUNCTION("""COMPUTED_VALUE"""),24992.36)</f>
        <v>24992.36</v>
      </c>
      <c r="D253" s="1">
        <f>IFERROR(__xludf.DUMMYFUNCTION("""COMPUTED_VALUE"""),24422.63)</f>
        <v>24422.63</v>
      </c>
      <c r="E253" s="1">
        <f>IFERROR(__xludf.DUMMYFUNCTION("""COMPUTED_VALUE"""),24650.52)</f>
        <v>24650.52</v>
      </c>
      <c r="F253" s="1">
        <f>IFERROR(__xludf.DUMMYFUNCTION("""COMPUTED_VALUE"""),107870.0)</f>
        <v>107870</v>
      </c>
    </row>
    <row r="254">
      <c r="A254" s="2">
        <f>IFERROR(__xludf.DUMMYFUNCTION("""COMPUTED_VALUE"""),44558.64583333333)</f>
        <v>44558.64583</v>
      </c>
      <c r="B254" s="1">
        <f>IFERROR(__xludf.DUMMYFUNCTION("""COMPUTED_VALUE"""),24650.52)</f>
        <v>24650.52</v>
      </c>
      <c r="C254" s="1">
        <f>IFERROR(__xludf.DUMMYFUNCTION("""COMPUTED_VALUE"""),24688.51)</f>
        <v>24688.51</v>
      </c>
      <c r="D254" s="1">
        <f>IFERROR(__xludf.DUMMYFUNCTION("""COMPUTED_VALUE"""),24080.79)</f>
        <v>24080.79</v>
      </c>
      <c r="E254" s="1">
        <f>IFERROR(__xludf.DUMMYFUNCTION("""COMPUTED_VALUE"""),24384.65)</f>
        <v>24384.65</v>
      </c>
      <c r="F254" s="1">
        <f>IFERROR(__xludf.DUMMYFUNCTION("""COMPUTED_VALUE"""),191767.0)</f>
        <v>191767</v>
      </c>
    </row>
    <row r="255">
      <c r="A255" s="2">
        <f>IFERROR(__xludf.DUMMYFUNCTION("""COMPUTED_VALUE"""),44559.64583333333)</f>
        <v>44559.64583</v>
      </c>
      <c r="B255" s="1">
        <f>IFERROR(__xludf.DUMMYFUNCTION("""COMPUTED_VALUE"""),24650.52)</f>
        <v>24650.52</v>
      </c>
      <c r="C255" s="1">
        <f>IFERROR(__xludf.DUMMYFUNCTION("""COMPUTED_VALUE"""),26131.83)</f>
        <v>26131.83</v>
      </c>
      <c r="D255" s="1">
        <f>IFERROR(__xludf.DUMMYFUNCTION("""COMPUTED_VALUE"""),24460.61)</f>
        <v>24460.61</v>
      </c>
      <c r="E255" s="1">
        <f>IFERROR(__xludf.DUMMYFUNCTION("""COMPUTED_VALUE"""),25334.21)</f>
        <v>25334.21</v>
      </c>
      <c r="F255" s="1">
        <f>IFERROR(__xludf.DUMMYFUNCTION("""COMPUTED_VALUE"""),625481.0)</f>
        <v>625481</v>
      </c>
    </row>
    <row r="256">
      <c r="A256" s="2">
        <f>IFERROR(__xludf.DUMMYFUNCTION("""COMPUTED_VALUE"""),44560.64583333333)</f>
        <v>44560.64583</v>
      </c>
      <c r="B256" s="1">
        <f>IFERROR(__xludf.DUMMYFUNCTION("""COMPUTED_VALUE"""),25410.17)</f>
        <v>25410.17</v>
      </c>
      <c r="C256" s="1">
        <f>IFERROR(__xludf.DUMMYFUNCTION("""COMPUTED_VALUE"""),26245.78)</f>
        <v>26245.78</v>
      </c>
      <c r="D256" s="1">
        <f>IFERROR(__xludf.DUMMYFUNCTION("""COMPUTED_VALUE"""),25296.22)</f>
        <v>25296.22</v>
      </c>
      <c r="E256" s="1">
        <f>IFERROR(__xludf.DUMMYFUNCTION("""COMPUTED_VALUE"""),25941.92)</f>
        <v>25941.92</v>
      </c>
      <c r="F256" s="1">
        <f>IFERROR(__xludf.DUMMYFUNCTION("""COMPUTED_VALUE"""),279646.0)</f>
        <v>279646</v>
      </c>
    </row>
    <row r="257">
      <c r="A257" s="2">
        <f>IFERROR(__xludf.DUMMYFUNCTION("""COMPUTED_VALUE"""),44564.64583333333)</f>
        <v>44564.64583</v>
      </c>
      <c r="B257" s="1">
        <f>IFERROR(__xludf.DUMMYFUNCTION("""COMPUTED_VALUE"""),25979.9)</f>
        <v>25979.9</v>
      </c>
      <c r="C257" s="1">
        <f>IFERROR(__xludf.DUMMYFUNCTION("""COMPUTED_VALUE"""),26625.6)</f>
        <v>26625.6</v>
      </c>
      <c r="D257" s="1">
        <f>IFERROR(__xludf.DUMMYFUNCTION("""COMPUTED_VALUE"""),25941.92)</f>
        <v>25941.92</v>
      </c>
      <c r="E257" s="1">
        <f>IFERROR(__xludf.DUMMYFUNCTION("""COMPUTED_VALUE"""),26131.83)</f>
        <v>26131.83</v>
      </c>
      <c r="F257" s="1">
        <f>IFERROR(__xludf.DUMMYFUNCTION("""COMPUTED_VALUE"""),189048.0)</f>
        <v>189048</v>
      </c>
    </row>
    <row r="258">
      <c r="A258" s="2">
        <f>IFERROR(__xludf.DUMMYFUNCTION("""COMPUTED_VALUE"""),44565.64583333333)</f>
        <v>44565.64583</v>
      </c>
      <c r="B258" s="1">
        <f>IFERROR(__xludf.DUMMYFUNCTION("""COMPUTED_VALUE"""),26321.75)</f>
        <v>26321.75</v>
      </c>
      <c r="C258" s="1">
        <f>IFERROR(__xludf.DUMMYFUNCTION("""COMPUTED_VALUE"""),27347.27)</f>
        <v>27347.27</v>
      </c>
      <c r="D258" s="1">
        <f>IFERROR(__xludf.DUMMYFUNCTION("""COMPUTED_VALUE"""),26321.75)</f>
        <v>26321.75</v>
      </c>
      <c r="E258" s="1">
        <f>IFERROR(__xludf.DUMMYFUNCTION("""COMPUTED_VALUE"""),26663.59)</f>
        <v>26663.59</v>
      </c>
      <c r="F258" s="1">
        <f>IFERROR(__xludf.DUMMYFUNCTION("""COMPUTED_VALUE"""),343795.0)</f>
        <v>343795</v>
      </c>
    </row>
    <row r="259">
      <c r="A259" s="2">
        <f>IFERROR(__xludf.DUMMYFUNCTION("""COMPUTED_VALUE"""),44566.64583333333)</f>
        <v>44566.64583</v>
      </c>
      <c r="B259" s="1">
        <f>IFERROR(__xludf.DUMMYFUNCTION("""COMPUTED_VALUE"""),26777.53)</f>
        <v>26777.53</v>
      </c>
      <c r="C259" s="1">
        <f>IFERROR(__xludf.DUMMYFUNCTION("""COMPUTED_VALUE"""),27157.36)</f>
        <v>27157.36</v>
      </c>
      <c r="D259" s="1">
        <f>IFERROR(__xludf.DUMMYFUNCTION("""COMPUTED_VALUE"""),25714.03)</f>
        <v>25714.03</v>
      </c>
      <c r="E259" s="1">
        <f>IFERROR(__xludf.DUMMYFUNCTION("""COMPUTED_VALUE"""),25941.92)</f>
        <v>25941.92</v>
      </c>
      <c r="F259" s="1">
        <f>IFERROR(__xludf.DUMMYFUNCTION("""COMPUTED_VALUE"""),270655.0)</f>
        <v>270655</v>
      </c>
    </row>
    <row r="260">
      <c r="A260" s="2">
        <f>IFERROR(__xludf.DUMMYFUNCTION("""COMPUTED_VALUE"""),44567.64583333333)</f>
        <v>44567.64583</v>
      </c>
      <c r="B260" s="1">
        <f>IFERROR(__xludf.DUMMYFUNCTION("""COMPUTED_VALUE"""),25144.29)</f>
        <v>25144.29</v>
      </c>
      <c r="C260" s="1">
        <f>IFERROR(__xludf.DUMMYFUNCTION("""COMPUTED_VALUE"""),25789.99)</f>
        <v>25789.99</v>
      </c>
      <c r="D260" s="1">
        <f>IFERROR(__xludf.DUMMYFUNCTION("""COMPUTED_VALUE"""),24308.68)</f>
        <v>24308.68</v>
      </c>
      <c r="E260" s="1">
        <f>IFERROR(__xludf.DUMMYFUNCTION("""COMPUTED_VALUE"""),24536.58)</f>
        <v>24536.58</v>
      </c>
      <c r="F260" s="1">
        <f>IFERROR(__xludf.DUMMYFUNCTION("""COMPUTED_VALUE"""),272266.0)</f>
        <v>272266</v>
      </c>
    </row>
    <row r="261">
      <c r="A261" s="2">
        <f>IFERROR(__xludf.DUMMYFUNCTION("""COMPUTED_VALUE"""),44568.64583333333)</f>
        <v>44568.64583</v>
      </c>
      <c r="B261" s="1">
        <f>IFERROR(__xludf.DUMMYFUNCTION("""COMPUTED_VALUE"""),24802.45)</f>
        <v>24802.45</v>
      </c>
      <c r="C261" s="1">
        <f>IFERROR(__xludf.DUMMYFUNCTION("""COMPUTED_VALUE"""),25182.28)</f>
        <v>25182.28</v>
      </c>
      <c r="D261" s="1">
        <f>IFERROR(__xludf.DUMMYFUNCTION("""COMPUTED_VALUE"""),24536.58)</f>
        <v>24536.58</v>
      </c>
      <c r="E261" s="1">
        <f>IFERROR(__xludf.DUMMYFUNCTION("""COMPUTED_VALUE"""),25106.31)</f>
        <v>25106.31</v>
      </c>
      <c r="F261" s="1">
        <f>IFERROR(__xludf.DUMMYFUNCTION("""COMPUTED_VALUE"""),99187.0)</f>
        <v>99187</v>
      </c>
    </row>
    <row r="262">
      <c r="A262" s="2">
        <f>IFERROR(__xludf.DUMMYFUNCTION("""COMPUTED_VALUE"""),44571.64583333333)</f>
        <v>44571.64583</v>
      </c>
      <c r="B262" s="1">
        <f>IFERROR(__xludf.DUMMYFUNCTION("""COMPUTED_VALUE"""),26283.76)</f>
        <v>26283.76</v>
      </c>
      <c r="C262" s="1">
        <f>IFERROR(__xludf.DUMMYFUNCTION("""COMPUTED_VALUE"""),26359.73)</f>
        <v>26359.73</v>
      </c>
      <c r="D262" s="1">
        <f>IFERROR(__xludf.DUMMYFUNCTION("""COMPUTED_VALUE"""),24954.38)</f>
        <v>24954.38</v>
      </c>
      <c r="E262" s="1">
        <f>IFERROR(__xludf.DUMMYFUNCTION("""COMPUTED_VALUE"""),25600.08)</f>
        <v>25600.08</v>
      </c>
      <c r="F262" s="1">
        <f>IFERROR(__xludf.DUMMYFUNCTION("""COMPUTED_VALUE"""),246602.0)</f>
        <v>246602</v>
      </c>
    </row>
    <row r="263">
      <c r="A263" s="2">
        <f>IFERROR(__xludf.DUMMYFUNCTION("""COMPUTED_VALUE"""),44572.64583333333)</f>
        <v>44572.64583</v>
      </c>
      <c r="B263" s="1">
        <f>IFERROR(__xludf.DUMMYFUNCTION("""COMPUTED_VALUE"""),25752.01)</f>
        <v>25752.01</v>
      </c>
      <c r="C263" s="1">
        <f>IFERROR(__xludf.DUMMYFUNCTION("""COMPUTED_VALUE"""),25827.98)</f>
        <v>25827.98</v>
      </c>
      <c r="D263" s="1">
        <f>IFERROR(__xludf.DUMMYFUNCTION("""COMPUTED_VALUE"""),24536.58)</f>
        <v>24536.58</v>
      </c>
      <c r="E263" s="1">
        <f>IFERROR(__xludf.DUMMYFUNCTION("""COMPUTED_VALUE"""),24688.51)</f>
        <v>24688.51</v>
      </c>
      <c r="F263" s="1">
        <f>IFERROR(__xludf.DUMMYFUNCTION("""COMPUTED_VALUE"""),200127.0)</f>
        <v>200127</v>
      </c>
    </row>
    <row r="264">
      <c r="A264" s="2">
        <f>IFERROR(__xludf.DUMMYFUNCTION("""COMPUTED_VALUE"""),44573.64583333333)</f>
        <v>44573.64583</v>
      </c>
      <c r="B264" s="1">
        <f>IFERROR(__xludf.DUMMYFUNCTION("""COMPUTED_VALUE"""),24802.45)</f>
        <v>24802.45</v>
      </c>
      <c r="C264" s="1">
        <f>IFERROR(__xludf.DUMMYFUNCTION("""COMPUTED_VALUE"""),25068.33)</f>
        <v>25068.33</v>
      </c>
      <c r="D264" s="1">
        <f>IFERROR(__xludf.DUMMYFUNCTION("""COMPUTED_VALUE"""),24650.52)</f>
        <v>24650.52</v>
      </c>
      <c r="E264" s="1">
        <f>IFERROR(__xludf.DUMMYFUNCTION("""COMPUTED_VALUE"""),24840.44)</f>
        <v>24840.44</v>
      </c>
      <c r="F264" s="1">
        <f>IFERROR(__xludf.DUMMYFUNCTION("""COMPUTED_VALUE"""),58198.0)</f>
        <v>58198</v>
      </c>
    </row>
    <row r="265">
      <c r="A265" s="2">
        <f>IFERROR(__xludf.DUMMYFUNCTION("""COMPUTED_VALUE"""),44574.64583333333)</f>
        <v>44574.64583</v>
      </c>
      <c r="B265" s="1">
        <f>IFERROR(__xludf.DUMMYFUNCTION("""COMPUTED_VALUE"""),24802.45)</f>
        <v>24802.45</v>
      </c>
      <c r="C265" s="1">
        <f>IFERROR(__xludf.DUMMYFUNCTION("""COMPUTED_VALUE"""),25448.15)</f>
        <v>25448.15</v>
      </c>
      <c r="D265" s="1">
        <f>IFERROR(__xludf.DUMMYFUNCTION("""COMPUTED_VALUE"""),24232.72)</f>
        <v>24232.72</v>
      </c>
      <c r="E265" s="1">
        <f>IFERROR(__xludf.DUMMYFUNCTION("""COMPUTED_VALUE"""),24688.51)</f>
        <v>24688.51</v>
      </c>
      <c r="F265" s="1">
        <f>IFERROR(__xludf.DUMMYFUNCTION("""COMPUTED_VALUE"""),175177.0)</f>
        <v>175177</v>
      </c>
    </row>
    <row r="266">
      <c r="A266" s="2">
        <f>IFERROR(__xludf.DUMMYFUNCTION("""COMPUTED_VALUE"""),44575.64583333333)</f>
        <v>44575.64583</v>
      </c>
      <c r="B266" s="1">
        <f>IFERROR(__xludf.DUMMYFUNCTION("""COMPUTED_VALUE"""),24460.61)</f>
        <v>24460.61</v>
      </c>
      <c r="C266" s="1">
        <f>IFERROR(__xludf.DUMMYFUNCTION("""COMPUTED_VALUE"""),24612.54)</f>
        <v>24612.54</v>
      </c>
      <c r="D266" s="1">
        <f>IFERROR(__xludf.DUMMYFUNCTION("""COMPUTED_VALUE"""),23776.93)</f>
        <v>23776.93</v>
      </c>
      <c r="E266" s="1">
        <f>IFERROR(__xludf.DUMMYFUNCTION("""COMPUTED_VALUE"""),23890.88)</f>
        <v>23890.88</v>
      </c>
      <c r="F266" s="1">
        <f>IFERROR(__xludf.DUMMYFUNCTION("""COMPUTED_VALUE"""),153927.0)</f>
        <v>153927</v>
      </c>
    </row>
    <row r="267">
      <c r="A267" s="2">
        <f>IFERROR(__xludf.DUMMYFUNCTION("""COMPUTED_VALUE"""),44578.64583333333)</f>
        <v>44578.64583</v>
      </c>
      <c r="B267" s="1">
        <f>IFERROR(__xludf.DUMMYFUNCTION("""COMPUTED_VALUE"""),23738.95)</f>
        <v>23738.95</v>
      </c>
      <c r="C267" s="1">
        <f>IFERROR(__xludf.DUMMYFUNCTION("""COMPUTED_VALUE"""),23814.91)</f>
        <v>23814.91</v>
      </c>
      <c r="D267" s="1">
        <f>IFERROR(__xludf.DUMMYFUNCTION("""COMPUTED_VALUE"""),22865.35)</f>
        <v>22865.35</v>
      </c>
      <c r="E267" s="1">
        <f>IFERROR(__xludf.DUMMYFUNCTION("""COMPUTED_VALUE"""),22979.3)</f>
        <v>22979.3</v>
      </c>
      <c r="F267" s="1">
        <f>IFERROR(__xludf.DUMMYFUNCTION("""COMPUTED_VALUE"""),165463.0)</f>
        <v>165463</v>
      </c>
    </row>
    <row r="268">
      <c r="A268" s="2">
        <f>IFERROR(__xludf.DUMMYFUNCTION("""COMPUTED_VALUE"""),44579.64583333333)</f>
        <v>44579.64583</v>
      </c>
      <c r="B268" s="1">
        <f>IFERROR(__xludf.DUMMYFUNCTION("""COMPUTED_VALUE"""),22941.32)</f>
        <v>22941.32</v>
      </c>
      <c r="C268" s="1">
        <f>IFERROR(__xludf.DUMMYFUNCTION("""COMPUTED_VALUE"""),23169.21)</f>
        <v>23169.21</v>
      </c>
      <c r="D268" s="1">
        <f>IFERROR(__xludf.DUMMYFUNCTION("""COMPUTED_VALUE"""),21839.83)</f>
        <v>21839.83</v>
      </c>
      <c r="E268" s="1">
        <f>IFERROR(__xludf.DUMMYFUNCTION("""COMPUTED_VALUE"""),21839.83)</f>
        <v>21839.83</v>
      </c>
      <c r="F268" s="1">
        <f>IFERROR(__xludf.DUMMYFUNCTION("""COMPUTED_VALUE"""),362160.0)</f>
        <v>362160</v>
      </c>
    </row>
    <row r="269">
      <c r="A269" s="2">
        <f>IFERROR(__xludf.DUMMYFUNCTION("""COMPUTED_VALUE"""),44580.64583333333)</f>
        <v>44580.64583</v>
      </c>
      <c r="B269" s="1">
        <f>IFERROR(__xludf.DUMMYFUNCTION("""COMPUTED_VALUE"""),21649.92)</f>
        <v>21649.92</v>
      </c>
      <c r="C269" s="1">
        <f>IFERROR(__xludf.DUMMYFUNCTION("""COMPUTED_VALUE"""),22219.66)</f>
        <v>22219.66</v>
      </c>
      <c r="D269" s="1">
        <f>IFERROR(__xludf.DUMMYFUNCTION("""COMPUTED_VALUE"""),21497.99)</f>
        <v>21497.99</v>
      </c>
      <c r="E269" s="1">
        <f>IFERROR(__xludf.DUMMYFUNCTION("""COMPUTED_VALUE"""),21953.78)</f>
        <v>21953.78</v>
      </c>
      <c r="F269" s="1">
        <f>IFERROR(__xludf.DUMMYFUNCTION("""COMPUTED_VALUE"""),144087.0)</f>
        <v>144087</v>
      </c>
    </row>
    <row r="270">
      <c r="A270" s="2">
        <f>IFERROR(__xludf.DUMMYFUNCTION("""COMPUTED_VALUE"""),44581.64583333333)</f>
        <v>44581.64583</v>
      </c>
      <c r="B270" s="1">
        <f>IFERROR(__xludf.DUMMYFUNCTION("""COMPUTED_VALUE"""),22029.74)</f>
        <v>22029.74</v>
      </c>
      <c r="C270" s="1">
        <f>IFERROR(__xludf.DUMMYFUNCTION("""COMPUTED_VALUE"""),22523.51)</f>
        <v>22523.51</v>
      </c>
      <c r="D270" s="1">
        <f>IFERROR(__xludf.DUMMYFUNCTION("""COMPUTED_VALUE"""),21953.78)</f>
        <v>21953.78</v>
      </c>
      <c r="E270" s="1">
        <f>IFERROR(__xludf.DUMMYFUNCTION("""COMPUTED_VALUE"""),22523.51)</f>
        <v>22523.51</v>
      </c>
      <c r="F270" s="1">
        <f>IFERROR(__xludf.DUMMYFUNCTION("""COMPUTED_VALUE"""),106606.0)</f>
        <v>106606</v>
      </c>
    </row>
    <row r="271">
      <c r="A271" s="2">
        <f>IFERROR(__xludf.DUMMYFUNCTION("""COMPUTED_VALUE"""),44582.64583333333)</f>
        <v>44582.64583</v>
      </c>
      <c r="B271" s="1">
        <f>IFERROR(__xludf.DUMMYFUNCTION("""COMPUTED_VALUE"""),22371.58)</f>
        <v>22371.58</v>
      </c>
      <c r="C271" s="1">
        <f>IFERROR(__xludf.DUMMYFUNCTION("""COMPUTED_VALUE"""),23017.28)</f>
        <v>23017.28</v>
      </c>
      <c r="D271" s="1">
        <f>IFERROR(__xludf.DUMMYFUNCTION("""COMPUTED_VALUE"""),22181.67)</f>
        <v>22181.67</v>
      </c>
      <c r="E271" s="1">
        <f>IFERROR(__xludf.DUMMYFUNCTION("""COMPUTED_VALUE"""),22713.43)</f>
        <v>22713.43</v>
      </c>
      <c r="F271" s="1">
        <f>IFERROR(__xludf.DUMMYFUNCTION("""COMPUTED_VALUE"""),113344.0)</f>
        <v>113344</v>
      </c>
    </row>
    <row r="272">
      <c r="A272" s="2">
        <f>IFERROR(__xludf.DUMMYFUNCTION("""COMPUTED_VALUE"""),44585.64583333333)</f>
        <v>44585.64583</v>
      </c>
      <c r="B272" s="1">
        <f>IFERROR(__xludf.DUMMYFUNCTION("""COMPUTED_VALUE"""),22713.43)</f>
        <v>22713.43</v>
      </c>
      <c r="C272" s="1">
        <f>IFERROR(__xludf.DUMMYFUNCTION("""COMPUTED_VALUE"""),22713.43)</f>
        <v>22713.43</v>
      </c>
      <c r="D272" s="1">
        <f>IFERROR(__xludf.DUMMYFUNCTION("""COMPUTED_VALUE"""),21384.04)</f>
        <v>21384.04</v>
      </c>
      <c r="E272" s="1">
        <f>IFERROR(__xludf.DUMMYFUNCTION("""COMPUTED_VALUE"""),21611.94)</f>
        <v>21611.94</v>
      </c>
      <c r="F272" s="1">
        <f>IFERROR(__xludf.DUMMYFUNCTION("""COMPUTED_VALUE"""),125876.0)</f>
        <v>125876</v>
      </c>
    </row>
    <row r="273">
      <c r="A273" s="2">
        <f>IFERROR(__xludf.DUMMYFUNCTION("""COMPUTED_VALUE"""),44586.64583333333)</f>
        <v>44586.64583</v>
      </c>
      <c r="B273" s="1">
        <f>IFERROR(__xludf.DUMMYFUNCTION("""COMPUTED_VALUE"""),21611.94)</f>
        <v>21611.94</v>
      </c>
      <c r="C273" s="1">
        <f>IFERROR(__xludf.DUMMYFUNCTION("""COMPUTED_VALUE"""),21839.83)</f>
        <v>21839.83</v>
      </c>
      <c r="D273" s="1">
        <f>IFERROR(__xludf.DUMMYFUNCTION("""COMPUTED_VALUE"""),20472.47)</f>
        <v>20472.47</v>
      </c>
      <c r="E273" s="1">
        <f>IFERROR(__xludf.DUMMYFUNCTION("""COMPUTED_VALUE"""),20662.38)</f>
        <v>20662.38</v>
      </c>
      <c r="F273" s="1">
        <f>IFERROR(__xludf.DUMMYFUNCTION("""COMPUTED_VALUE"""),148467.0)</f>
        <v>148467</v>
      </c>
    </row>
    <row r="274">
      <c r="A274" s="2">
        <f>IFERROR(__xludf.DUMMYFUNCTION("""COMPUTED_VALUE"""),44587.64583333333)</f>
        <v>44587.64583</v>
      </c>
      <c r="B274" s="1">
        <f>IFERROR(__xludf.DUMMYFUNCTION("""COMPUTED_VALUE"""),20472.47)</f>
        <v>20472.47</v>
      </c>
      <c r="C274" s="1">
        <f>IFERROR(__xludf.DUMMYFUNCTION("""COMPUTED_VALUE"""),21042.2)</f>
        <v>21042.2</v>
      </c>
      <c r="D274" s="1">
        <f>IFERROR(__xludf.DUMMYFUNCTION("""COMPUTED_VALUE"""),20358.52)</f>
        <v>20358.52</v>
      </c>
      <c r="E274" s="1">
        <f>IFERROR(__xludf.DUMMYFUNCTION("""COMPUTED_VALUE"""),20776.33)</f>
        <v>20776.33</v>
      </c>
      <c r="F274" s="1">
        <f>IFERROR(__xludf.DUMMYFUNCTION("""COMPUTED_VALUE"""),86874.0)</f>
        <v>86874</v>
      </c>
    </row>
    <row r="275">
      <c r="A275" s="2">
        <f>IFERROR(__xludf.DUMMYFUNCTION("""COMPUTED_VALUE"""),44588.64583333333)</f>
        <v>44588.64583</v>
      </c>
      <c r="B275" s="1">
        <f>IFERROR(__xludf.DUMMYFUNCTION("""COMPUTED_VALUE"""),20776.33)</f>
        <v>20776.33</v>
      </c>
      <c r="C275" s="1">
        <f>IFERROR(__xludf.DUMMYFUNCTION("""COMPUTED_VALUE"""),20890.27)</f>
        <v>20890.27</v>
      </c>
      <c r="D275" s="1">
        <f>IFERROR(__xludf.DUMMYFUNCTION("""COMPUTED_VALUE"""),19257.03)</f>
        <v>19257.03</v>
      </c>
      <c r="E275" s="1">
        <f>IFERROR(__xludf.DUMMYFUNCTION("""COMPUTED_VALUE"""),19522.91)</f>
        <v>19522.91</v>
      </c>
      <c r="F275" s="1">
        <f>IFERROR(__xludf.DUMMYFUNCTION("""COMPUTED_VALUE"""),215327.0)</f>
        <v>215327</v>
      </c>
    </row>
    <row r="276">
      <c r="A276" s="2">
        <f>IFERROR(__xludf.DUMMYFUNCTION("""COMPUTED_VALUE"""),44589.64583333333)</f>
        <v>44589.64583</v>
      </c>
      <c r="B276" s="1">
        <f>IFERROR(__xludf.DUMMYFUNCTION("""COMPUTED_VALUE"""),19560.89)</f>
        <v>19560.89</v>
      </c>
      <c r="C276" s="1">
        <f>IFERROR(__xludf.DUMMYFUNCTION("""COMPUTED_VALUE"""),20282.56)</f>
        <v>20282.56</v>
      </c>
      <c r="D276" s="1">
        <f>IFERROR(__xludf.DUMMYFUNCTION("""COMPUTED_VALUE"""),19333.0)</f>
        <v>19333</v>
      </c>
      <c r="E276" s="1">
        <f>IFERROR(__xludf.DUMMYFUNCTION("""COMPUTED_VALUE"""),20092.65)</f>
        <v>20092.65</v>
      </c>
      <c r="F276" s="1">
        <f>IFERROR(__xludf.DUMMYFUNCTION("""COMPUTED_VALUE"""),106950.0)</f>
        <v>106950</v>
      </c>
    </row>
    <row r="277">
      <c r="A277" s="2">
        <f>IFERROR(__xludf.DUMMYFUNCTION("""COMPUTED_VALUE"""),44595.64583333333)</f>
        <v>44595.64583</v>
      </c>
      <c r="B277" s="1">
        <f>IFERROR(__xludf.DUMMYFUNCTION("""COMPUTED_VALUE"""),20738.34)</f>
        <v>20738.34</v>
      </c>
      <c r="C277" s="1">
        <f>IFERROR(__xludf.DUMMYFUNCTION("""COMPUTED_VALUE"""),20928.26)</f>
        <v>20928.26</v>
      </c>
      <c r="D277" s="1">
        <f>IFERROR(__xludf.DUMMYFUNCTION("""COMPUTED_VALUE"""),20396.5)</f>
        <v>20396.5</v>
      </c>
      <c r="E277" s="1">
        <f>IFERROR(__xludf.DUMMYFUNCTION("""COMPUTED_VALUE"""),20510.45)</f>
        <v>20510.45</v>
      </c>
      <c r="F277" s="1">
        <f>IFERROR(__xludf.DUMMYFUNCTION("""COMPUTED_VALUE"""),105035.0)</f>
        <v>105035</v>
      </c>
    </row>
    <row r="278">
      <c r="A278" s="2">
        <f>IFERROR(__xludf.DUMMYFUNCTION("""COMPUTED_VALUE"""),44596.64583333333)</f>
        <v>44596.64583</v>
      </c>
      <c r="B278" s="1">
        <f>IFERROR(__xludf.DUMMYFUNCTION("""COMPUTED_VALUE"""),20396.5)</f>
        <v>20396.5</v>
      </c>
      <c r="C278" s="1">
        <f>IFERROR(__xludf.DUMMYFUNCTION("""COMPUTED_VALUE"""),21308.08)</f>
        <v>21308.08</v>
      </c>
      <c r="D278" s="1">
        <f>IFERROR(__xludf.DUMMYFUNCTION("""COMPUTED_VALUE"""),20130.63)</f>
        <v>20130.63</v>
      </c>
      <c r="E278" s="1">
        <f>IFERROR(__xludf.DUMMYFUNCTION("""COMPUTED_VALUE"""),21308.08)</f>
        <v>21308.08</v>
      </c>
      <c r="F278" s="1">
        <f>IFERROR(__xludf.DUMMYFUNCTION("""COMPUTED_VALUE"""),77942.0)</f>
        <v>77942</v>
      </c>
    </row>
    <row r="279">
      <c r="A279" s="2">
        <f>IFERROR(__xludf.DUMMYFUNCTION("""COMPUTED_VALUE"""),44599.64583333333)</f>
        <v>44599.64583</v>
      </c>
      <c r="B279" s="1">
        <f>IFERROR(__xludf.DUMMYFUNCTION("""COMPUTED_VALUE"""),21308.08)</f>
        <v>21308.08</v>
      </c>
      <c r="C279" s="1">
        <f>IFERROR(__xludf.DUMMYFUNCTION("""COMPUTED_VALUE"""),21535.97)</f>
        <v>21535.97</v>
      </c>
      <c r="D279" s="1">
        <f>IFERROR(__xludf.DUMMYFUNCTION("""COMPUTED_VALUE"""),20890.27)</f>
        <v>20890.27</v>
      </c>
      <c r="E279" s="1">
        <f>IFERROR(__xludf.DUMMYFUNCTION("""COMPUTED_VALUE"""),21384.04)</f>
        <v>21384.04</v>
      </c>
      <c r="F279" s="1">
        <f>IFERROR(__xludf.DUMMYFUNCTION("""COMPUTED_VALUE"""),58843.0)</f>
        <v>58843</v>
      </c>
    </row>
    <row r="280">
      <c r="A280" s="2">
        <f>IFERROR(__xludf.DUMMYFUNCTION("""COMPUTED_VALUE"""),44600.64583333333)</f>
        <v>44600.64583</v>
      </c>
      <c r="B280" s="1">
        <f>IFERROR(__xludf.DUMMYFUNCTION("""COMPUTED_VALUE"""),21384.04)</f>
        <v>21384.04</v>
      </c>
      <c r="C280" s="1">
        <f>IFERROR(__xludf.DUMMYFUNCTION("""COMPUTED_VALUE"""),21535.97)</f>
        <v>21535.97</v>
      </c>
      <c r="D280" s="1">
        <f>IFERROR(__xludf.DUMMYFUNCTION("""COMPUTED_VALUE"""),20890.27)</f>
        <v>20890.27</v>
      </c>
      <c r="E280" s="1">
        <f>IFERROR(__xludf.DUMMYFUNCTION("""COMPUTED_VALUE"""),21004.22)</f>
        <v>21004.22</v>
      </c>
      <c r="F280" s="1">
        <f>IFERROR(__xludf.DUMMYFUNCTION("""COMPUTED_VALUE"""),82343.0)</f>
        <v>82343</v>
      </c>
    </row>
    <row r="281">
      <c r="A281" s="2">
        <f>IFERROR(__xludf.DUMMYFUNCTION("""COMPUTED_VALUE"""),44601.64583333333)</f>
        <v>44601.64583</v>
      </c>
      <c r="B281" s="1">
        <f>IFERROR(__xludf.DUMMYFUNCTION("""COMPUTED_VALUE"""),21270.1)</f>
        <v>21270.1</v>
      </c>
      <c r="C281" s="1">
        <f>IFERROR(__xludf.DUMMYFUNCTION("""COMPUTED_VALUE"""),21535.97)</f>
        <v>21535.97</v>
      </c>
      <c r="D281" s="1">
        <f>IFERROR(__xludf.DUMMYFUNCTION("""COMPUTED_VALUE"""),21042.2)</f>
        <v>21042.2</v>
      </c>
      <c r="E281" s="1">
        <f>IFERROR(__xludf.DUMMYFUNCTION("""COMPUTED_VALUE"""),21308.08)</f>
        <v>21308.08</v>
      </c>
      <c r="F281" s="1">
        <f>IFERROR(__xludf.DUMMYFUNCTION("""COMPUTED_VALUE"""),49032.0)</f>
        <v>49032</v>
      </c>
    </row>
    <row r="282">
      <c r="A282" s="2">
        <f>IFERROR(__xludf.DUMMYFUNCTION("""COMPUTED_VALUE"""),44602.64583333333)</f>
        <v>44602.64583</v>
      </c>
      <c r="B282" s="1">
        <f>IFERROR(__xludf.DUMMYFUNCTION("""COMPUTED_VALUE"""),21573.96)</f>
        <v>21573.96</v>
      </c>
      <c r="C282" s="1">
        <f>IFERROR(__xludf.DUMMYFUNCTION("""COMPUTED_VALUE"""),22295.62)</f>
        <v>22295.62</v>
      </c>
      <c r="D282" s="1">
        <f>IFERROR(__xludf.DUMMYFUNCTION("""COMPUTED_VALUE"""),21118.17)</f>
        <v>21118.17</v>
      </c>
      <c r="E282" s="1">
        <f>IFERROR(__xludf.DUMMYFUNCTION("""COMPUTED_VALUE"""),21118.17)</f>
        <v>21118.17</v>
      </c>
      <c r="F282" s="1">
        <f>IFERROR(__xludf.DUMMYFUNCTION("""COMPUTED_VALUE"""),135864.0)</f>
        <v>135864</v>
      </c>
    </row>
    <row r="283">
      <c r="A283" s="2">
        <f>IFERROR(__xludf.DUMMYFUNCTION("""COMPUTED_VALUE"""),44603.64583333333)</f>
        <v>44603.64583</v>
      </c>
      <c r="B283" s="1">
        <f>IFERROR(__xludf.DUMMYFUNCTION("""COMPUTED_VALUE"""),20624.4)</f>
        <v>20624.4</v>
      </c>
      <c r="C283" s="1">
        <f>IFERROR(__xludf.DUMMYFUNCTION("""COMPUTED_VALUE"""),21004.22)</f>
        <v>21004.22</v>
      </c>
      <c r="D283" s="1">
        <f>IFERROR(__xludf.DUMMYFUNCTION("""COMPUTED_VALUE"""),20510.45)</f>
        <v>20510.45</v>
      </c>
      <c r="E283" s="1">
        <f>IFERROR(__xludf.DUMMYFUNCTION("""COMPUTED_VALUE"""),20586.42)</f>
        <v>20586.42</v>
      </c>
      <c r="F283" s="1">
        <f>IFERROR(__xludf.DUMMYFUNCTION("""COMPUTED_VALUE"""),76411.0)</f>
        <v>76411</v>
      </c>
    </row>
    <row r="284">
      <c r="A284" s="2">
        <f>IFERROR(__xludf.DUMMYFUNCTION("""COMPUTED_VALUE"""),44606.64583333333)</f>
        <v>44606.64583</v>
      </c>
      <c r="B284" s="1">
        <f>IFERROR(__xludf.DUMMYFUNCTION("""COMPUTED_VALUE"""),19788.79)</f>
        <v>19788.79</v>
      </c>
      <c r="C284" s="1">
        <f>IFERROR(__xludf.DUMMYFUNCTION("""COMPUTED_VALUE"""),20092.65)</f>
        <v>20092.65</v>
      </c>
      <c r="D284" s="1">
        <f>IFERROR(__xludf.DUMMYFUNCTION("""COMPUTED_VALUE"""),19484.93)</f>
        <v>19484.93</v>
      </c>
      <c r="E284" s="1">
        <f>IFERROR(__xludf.DUMMYFUNCTION("""COMPUTED_VALUE"""),19712.82)</f>
        <v>19712.82</v>
      </c>
      <c r="F284" s="1">
        <f>IFERROR(__xludf.DUMMYFUNCTION("""COMPUTED_VALUE"""),90640.0)</f>
        <v>90640</v>
      </c>
    </row>
    <row r="285">
      <c r="A285" s="2">
        <f>IFERROR(__xludf.DUMMYFUNCTION("""COMPUTED_VALUE"""),44607.64583333333)</f>
        <v>44607.64583</v>
      </c>
      <c r="B285" s="1">
        <f>IFERROR(__xludf.DUMMYFUNCTION("""COMPUTED_VALUE"""),19484.93)</f>
        <v>19484.93</v>
      </c>
      <c r="C285" s="1">
        <f>IFERROR(__xludf.DUMMYFUNCTION("""COMPUTED_VALUE"""),19978.7)</f>
        <v>19978.7</v>
      </c>
      <c r="D285" s="1">
        <f>IFERROR(__xludf.DUMMYFUNCTION("""COMPUTED_VALUE"""),19143.09)</f>
        <v>19143.09</v>
      </c>
      <c r="E285" s="1">
        <f>IFERROR(__xludf.DUMMYFUNCTION("""COMPUTED_VALUE"""),19333.0)</f>
        <v>19333</v>
      </c>
      <c r="F285" s="1">
        <f>IFERROR(__xludf.DUMMYFUNCTION("""COMPUTED_VALUE"""),85575.0)</f>
        <v>85575</v>
      </c>
    </row>
    <row r="286">
      <c r="A286" s="2">
        <f>IFERROR(__xludf.DUMMYFUNCTION("""COMPUTED_VALUE"""),44608.64583333333)</f>
        <v>44608.64583</v>
      </c>
      <c r="B286" s="1">
        <f>IFERROR(__xludf.DUMMYFUNCTION("""COMPUTED_VALUE"""),19598.88)</f>
        <v>19598.88</v>
      </c>
      <c r="C286" s="1">
        <f>IFERROR(__xludf.DUMMYFUNCTION("""COMPUTED_VALUE"""),19940.72)</f>
        <v>19940.72</v>
      </c>
      <c r="D286" s="1">
        <f>IFERROR(__xludf.DUMMYFUNCTION("""COMPUTED_VALUE"""),19143.09)</f>
        <v>19143.09</v>
      </c>
      <c r="E286" s="1">
        <f>IFERROR(__xludf.DUMMYFUNCTION("""COMPUTED_VALUE"""),19674.84)</f>
        <v>19674.84</v>
      </c>
      <c r="F286" s="1">
        <f>IFERROR(__xludf.DUMMYFUNCTION("""COMPUTED_VALUE"""),133470.0)</f>
        <v>133470</v>
      </c>
    </row>
    <row r="287">
      <c r="A287" s="2">
        <f>IFERROR(__xludf.DUMMYFUNCTION("""COMPUTED_VALUE"""),44609.64583333333)</f>
        <v>44609.64583</v>
      </c>
      <c r="B287" s="1">
        <f>IFERROR(__xludf.DUMMYFUNCTION("""COMPUTED_VALUE"""),19712.82)</f>
        <v>19712.82</v>
      </c>
      <c r="C287" s="1">
        <f>IFERROR(__xludf.DUMMYFUNCTION("""COMPUTED_VALUE"""),20130.63)</f>
        <v>20130.63</v>
      </c>
      <c r="D287" s="1">
        <f>IFERROR(__xludf.DUMMYFUNCTION("""COMPUTED_VALUE"""),19333.0)</f>
        <v>19333</v>
      </c>
      <c r="E287" s="1">
        <f>IFERROR(__xludf.DUMMYFUNCTION("""COMPUTED_VALUE"""),19446.95)</f>
        <v>19446.95</v>
      </c>
      <c r="F287" s="1">
        <f>IFERROR(__xludf.DUMMYFUNCTION("""COMPUTED_VALUE"""),134521.0)</f>
        <v>134521</v>
      </c>
    </row>
    <row r="288">
      <c r="A288" s="2">
        <f>IFERROR(__xludf.DUMMYFUNCTION("""COMPUTED_VALUE"""),44610.64583333333)</f>
        <v>44610.64583</v>
      </c>
      <c r="B288" s="1">
        <f>IFERROR(__xludf.DUMMYFUNCTION("""COMPUTED_VALUE"""),19143.09)</f>
        <v>19143.09</v>
      </c>
      <c r="C288" s="1">
        <f>IFERROR(__xludf.DUMMYFUNCTION("""COMPUTED_VALUE"""),19560.89)</f>
        <v>19560.89</v>
      </c>
      <c r="D288" s="1">
        <f>IFERROR(__xludf.DUMMYFUNCTION("""COMPUTED_VALUE"""),19029.14)</f>
        <v>19029.14</v>
      </c>
      <c r="E288" s="1">
        <f>IFERROR(__xludf.DUMMYFUNCTION("""COMPUTED_VALUE"""),19484.93)</f>
        <v>19484.93</v>
      </c>
      <c r="F288" s="1">
        <f>IFERROR(__xludf.DUMMYFUNCTION("""COMPUTED_VALUE"""),53682.0)</f>
        <v>53682</v>
      </c>
    </row>
    <row r="289">
      <c r="A289" s="2">
        <f>IFERROR(__xludf.DUMMYFUNCTION("""COMPUTED_VALUE"""),44613.64583333333)</f>
        <v>44613.64583</v>
      </c>
      <c r="B289" s="1">
        <f>IFERROR(__xludf.DUMMYFUNCTION("""COMPUTED_VALUE"""),19181.07)</f>
        <v>19181.07</v>
      </c>
      <c r="C289" s="1">
        <f>IFERROR(__xludf.DUMMYFUNCTION("""COMPUTED_VALUE"""),19712.82)</f>
        <v>19712.82</v>
      </c>
      <c r="D289" s="1">
        <f>IFERROR(__xludf.DUMMYFUNCTION("""COMPUTED_VALUE"""),18915.19)</f>
        <v>18915.19</v>
      </c>
      <c r="E289" s="1">
        <f>IFERROR(__xludf.DUMMYFUNCTION("""COMPUTED_VALUE"""),19674.84)</f>
        <v>19674.84</v>
      </c>
      <c r="F289" s="1">
        <f>IFERROR(__xludf.DUMMYFUNCTION("""COMPUTED_VALUE"""),64261.0)</f>
        <v>64261</v>
      </c>
    </row>
    <row r="290">
      <c r="A290" s="2">
        <f>IFERROR(__xludf.DUMMYFUNCTION("""COMPUTED_VALUE"""),44614.64583333333)</f>
        <v>44614.64583</v>
      </c>
      <c r="B290" s="1">
        <f>IFERROR(__xludf.DUMMYFUNCTION("""COMPUTED_VALUE"""),19219.05)</f>
        <v>19219.05</v>
      </c>
      <c r="C290" s="1">
        <f>IFERROR(__xludf.DUMMYFUNCTION("""COMPUTED_VALUE"""),19940.72)</f>
        <v>19940.72</v>
      </c>
      <c r="D290" s="1">
        <f>IFERROR(__xludf.DUMMYFUNCTION("""COMPUTED_VALUE"""),19105.11)</f>
        <v>19105.11</v>
      </c>
      <c r="E290" s="1">
        <f>IFERROR(__xludf.DUMMYFUNCTION("""COMPUTED_VALUE"""),19181.07)</f>
        <v>19181.07</v>
      </c>
      <c r="F290" s="1">
        <f>IFERROR(__xludf.DUMMYFUNCTION("""COMPUTED_VALUE"""),74581.0)</f>
        <v>74581</v>
      </c>
    </row>
    <row r="291">
      <c r="A291" s="2">
        <f>IFERROR(__xludf.DUMMYFUNCTION("""COMPUTED_VALUE"""),44615.64583333333)</f>
        <v>44615.64583</v>
      </c>
      <c r="B291" s="1">
        <f>IFERROR(__xludf.DUMMYFUNCTION("""COMPUTED_VALUE"""),19067.12)</f>
        <v>19067.12</v>
      </c>
      <c r="C291" s="1">
        <f>IFERROR(__xludf.DUMMYFUNCTION("""COMPUTED_VALUE"""),19408.96)</f>
        <v>19408.96</v>
      </c>
      <c r="D291" s="1">
        <f>IFERROR(__xludf.DUMMYFUNCTION("""COMPUTED_VALUE"""),18991.16)</f>
        <v>18991.16</v>
      </c>
      <c r="E291" s="1">
        <f>IFERROR(__xludf.DUMMYFUNCTION("""COMPUTED_VALUE"""),19181.07)</f>
        <v>19181.07</v>
      </c>
      <c r="F291" s="1">
        <f>IFERROR(__xludf.DUMMYFUNCTION("""COMPUTED_VALUE"""),65758.0)</f>
        <v>65758</v>
      </c>
    </row>
    <row r="292">
      <c r="A292" s="2">
        <f>IFERROR(__xludf.DUMMYFUNCTION("""COMPUTED_VALUE"""),44616.64583333333)</f>
        <v>44616.64583</v>
      </c>
      <c r="B292" s="1">
        <f>IFERROR(__xludf.DUMMYFUNCTION("""COMPUTED_VALUE"""),18915.19)</f>
        <v>18915.19</v>
      </c>
      <c r="C292" s="1">
        <f>IFERROR(__xludf.DUMMYFUNCTION("""COMPUTED_VALUE"""),19295.02)</f>
        <v>19295.02</v>
      </c>
      <c r="D292" s="1">
        <f>IFERROR(__xludf.DUMMYFUNCTION("""COMPUTED_VALUE"""),17965.64)</f>
        <v>17965.64</v>
      </c>
      <c r="E292" s="1">
        <f>IFERROR(__xludf.DUMMYFUNCTION("""COMPUTED_VALUE"""),18079.58)</f>
        <v>18079.58</v>
      </c>
      <c r="F292" s="1">
        <f>IFERROR(__xludf.DUMMYFUNCTION("""COMPUTED_VALUE"""),129173.0)</f>
        <v>129173</v>
      </c>
    </row>
    <row r="293">
      <c r="A293" s="2">
        <f>IFERROR(__xludf.DUMMYFUNCTION("""COMPUTED_VALUE"""),44617.64583333333)</f>
        <v>44617.64583</v>
      </c>
      <c r="B293" s="1">
        <f>IFERROR(__xludf.DUMMYFUNCTION("""COMPUTED_VALUE"""),18307.48)</f>
        <v>18307.48</v>
      </c>
      <c r="C293" s="1">
        <f>IFERROR(__xludf.DUMMYFUNCTION("""COMPUTED_VALUE"""),18649.32)</f>
        <v>18649.32</v>
      </c>
      <c r="D293" s="1">
        <f>IFERROR(__xludf.DUMMYFUNCTION("""COMPUTED_VALUE"""),18193.53)</f>
        <v>18193.53</v>
      </c>
      <c r="E293" s="1">
        <f>IFERROR(__xludf.DUMMYFUNCTION("""COMPUTED_VALUE"""),18421.42)</f>
        <v>18421.42</v>
      </c>
      <c r="F293" s="1">
        <f>IFERROR(__xludf.DUMMYFUNCTION("""COMPUTED_VALUE"""),70081.0)</f>
        <v>70081</v>
      </c>
    </row>
    <row r="294">
      <c r="A294" s="2">
        <f>IFERROR(__xludf.DUMMYFUNCTION("""COMPUTED_VALUE"""),44620.64583333333)</f>
        <v>44620.64583</v>
      </c>
      <c r="B294" s="1">
        <f>IFERROR(__xludf.DUMMYFUNCTION("""COMPUTED_VALUE"""),18421.42)</f>
        <v>18421.42</v>
      </c>
      <c r="C294" s="1">
        <f>IFERROR(__xludf.DUMMYFUNCTION("""COMPUTED_VALUE"""),18953.18)</f>
        <v>18953.18</v>
      </c>
      <c r="D294" s="1">
        <f>IFERROR(__xludf.DUMMYFUNCTION("""COMPUTED_VALUE"""),18383.44)</f>
        <v>18383.44</v>
      </c>
      <c r="E294" s="1">
        <f>IFERROR(__xludf.DUMMYFUNCTION("""COMPUTED_VALUE"""),18915.19)</f>
        <v>18915.19</v>
      </c>
      <c r="F294" s="1">
        <f>IFERROR(__xludf.DUMMYFUNCTION("""COMPUTED_VALUE"""),51840.0)</f>
        <v>51840</v>
      </c>
    </row>
    <row r="295">
      <c r="A295" s="2">
        <f>IFERROR(__xludf.DUMMYFUNCTION("""COMPUTED_VALUE"""),44622.64583333333)</f>
        <v>44622.64583</v>
      </c>
      <c r="B295" s="1">
        <f>IFERROR(__xludf.DUMMYFUNCTION("""COMPUTED_VALUE"""),18915.19)</f>
        <v>18915.19</v>
      </c>
      <c r="C295" s="1">
        <f>IFERROR(__xludf.DUMMYFUNCTION("""COMPUTED_VALUE"""),19408.96)</f>
        <v>19408.96</v>
      </c>
      <c r="D295" s="1">
        <f>IFERROR(__xludf.DUMMYFUNCTION("""COMPUTED_VALUE"""),18725.28)</f>
        <v>18725.28</v>
      </c>
      <c r="E295" s="1">
        <f>IFERROR(__xludf.DUMMYFUNCTION("""COMPUTED_VALUE"""),19333.0)</f>
        <v>19333</v>
      </c>
      <c r="F295" s="1">
        <f>IFERROR(__xludf.DUMMYFUNCTION("""COMPUTED_VALUE"""),66297.0)</f>
        <v>66297</v>
      </c>
    </row>
    <row r="296">
      <c r="A296" s="2">
        <f>IFERROR(__xludf.DUMMYFUNCTION("""COMPUTED_VALUE"""),44623.64583333333)</f>
        <v>44623.64583</v>
      </c>
      <c r="B296" s="1">
        <f>IFERROR(__xludf.DUMMYFUNCTION("""COMPUTED_VALUE"""),19333.0)</f>
        <v>19333</v>
      </c>
      <c r="C296" s="1">
        <f>IFERROR(__xludf.DUMMYFUNCTION("""COMPUTED_VALUE"""),19750.8)</f>
        <v>19750.8</v>
      </c>
      <c r="D296" s="1">
        <f>IFERROR(__xludf.DUMMYFUNCTION("""COMPUTED_VALUE"""),19333.0)</f>
        <v>19333</v>
      </c>
      <c r="E296" s="1">
        <f>IFERROR(__xludf.DUMMYFUNCTION("""COMPUTED_VALUE"""),19598.88)</f>
        <v>19598.88</v>
      </c>
      <c r="F296" s="1">
        <f>IFERROR(__xludf.DUMMYFUNCTION("""COMPUTED_VALUE"""),66459.0)</f>
        <v>66459</v>
      </c>
    </row>
    <row r="297">
      <c r="A297" s="2">
        <f>IFERROR(__xludf.DUMMYFUNCTION("""COMPUTED_VALUE"""),44624.64583333333)</f>
        <v>44624.64583</v>
      </c>
      <c r="B297" s="1">
        <f>IFERROR(__xludf.DUMMYFUNCTION("""COMPUTED_VALUE"""),19750.8)</f>
        <v>19750.8</v>
      </c>
      <c r="C297" s="1">
        <f>IFERROR(__xludf.DUMMYFUNCTION("""COMPUTED_VALUE"""),19750.8)</f>
        <v>19750.8</v>
      </c>
      <c r="D297" s="1">
        <f>IFERROR(__xludf.DUMMYFUNCTION("""COMPUTED_VALUE"""),19257.03)</f>
        <v>19257.03</v>
      </c>
      <c r="E297" s="1">
        <f>IFERROR(__xludf.DUMMYFUNCTION("""COMPUTED_VALUE"""),19484.93)</f>
        <v>19484.93</v>
      </c>
      <c r="F297" s="1">
        <f>IFERROR(__xludf.DUMMYFUNCTION("""COMPUTED_VALUE"""),52326.0)</f>
        <v>52326</v>
      </c>
    </row>
    <row r="298">
      <c r="A298" s="2">
        <f>IFERROR(__xludf.DUMMYFUNCTION("""COMPUTED_VALUE"""),44627.64583333333)</f>
        <v>44627.64583</v>
      </c>
      <c r="B298" s="1">
        <f>IFERROR(__xludf.DUMMYFUNCTION("""COMPUTED_VALUE"""),19484.93)</f>
        <v>19484.93</v>
      </c>
      <c r="C298" s="1">
        <f>IFERROR(__xludf.DUMMYFUNCTION("""COMPUTED_VALUE"""),19484.93)</f>
        <v>19484.93</v>
      </c>
      <c r="D298" s="1">
        <f>IFERROR(__xludf.DUMMYFUNCTION("""COMPUTED_VALUE"""),18459.41)</f>
        <v>18459.41</v>
      </c>
      <c r="E298" s="1">
        <f>IFERROR(__xludf.DUMMYFUNCTION("""COMPUTED_VALUE"""),18649.32)</f>
        <v>18649.32</v>
      </c>
      <c r="F298" s="1">
        <f>IFERROR(__xludf.DUMMYFUNCTION("""COMPUTED_VALUE"""),98067.0)</f>
        <v>98067</v>
      </c>
    </row>
    <row r="299">
      <c r="A299" s="2">
        <f>IFERROR(__xludf.DUMMYFUNCTION("""COMPUTED_VALUE"""),44628.64583333333)</f>
        <v>44628.64583</v>
      </c>
      <c r="B299" s="1">
        <f>IFERROR(__xludf.DUMMYFUNCTION("""COMPUTED_VALUE"""),18269.49)</f>
        <v>18269.49</v>
      </c>
      <c r="C299" s="1">
        <f>IFERROR(__xludf.DUMMYFUNCTION("""COMPUTED_VALUE"""),18763.26)</f>
        <v>18763.26</v>
      </c>
      <c r="D299" s="1">
        <f>IFERROR(__xludf.DUMMYFUNCTION("""COMPUTED_VALUE"""),18269.49)</f>
        <v>18269.49</v>
      </c>
      <c r="E299" s="1">
        <f>IFERROR(__xludf.DUMMYFUNCTION("""COMPUTED_VALUE"""),18345.46)</f>
        <v>18345.46</v>
      </c>
      <c r="F299" s="1">
        <f>IFERROR(__xludf.DUMMYFUNCTION("""COMPUTED_VALUE"""),47937.0)</f>
        <v>47937</v>
      </c>
    </row>
    <row r="300">
      <c r="A300" s="2">
        <f>IFERROR(__xludf.DUMMYFUNCTION("""COMPUTED_VALUE"""),44630.64583333333)</f>
        <v>44630.64583</v>
      </c>
      <c r="B300" s="1">
        <f>IFERROR(__xludf.DUMMYFUNCTION("""COMPUTED_VALUE"""),18839.23)</f>
        <v>18839.23</v>
      </c>
      <c r="C300" s="1">
        <f>IFERROR(__xludf.DUMMYFUNCTION("""COMPUTED_VALUE"""),19295.02)</f>
        <v>19295.02</v>
      </c>
      <c r="D300" s="1">
        <f>IFERROR(__xludf.DUMMYFUNCTION("""COMPUTED_VALUE"""),18763.26)</f>
        <v>18763.26</v>
      </c>
      <c r="E300" s="1">
        <f>IFERROR(__xludf.DUMMYFUNCTION("""COMPUTED_VALUE"""),18991.16)</f>
        <v>18991.16</v>
      </c>
      <c r="F300" s="1">
        <f>IFERROR(__xludf.DUMMYFUNCTION("""COMPUTED_VALUE"""),60340.0)</f>
        <v>60340</v>
      </c>
    </row>
    <row r="301">
      <c r="A301" s="2">
        <f>IFERROR(__xludf.DUMMYFUNCTION("""COMPUTED_VALUE"""),44631.64583333333)</f>
        <v>44631.64583</v>
      </c>
      <c r="B301" s="1">
        <f>IFERROR(__xludf.DUMMYFUNCTION("""COMPUTED_VALUE"""),18991.16)</f>
        <v>18991.16</v>
      </c>
      <c r="C301" s="1">
        <f>IFERROR(__xludf.DUMMYFUNCTION("""COMPUTED_VALUE"""),19484.93)</f>
        <v>19484.93</v>
      </c>
      <c r="D301" s="1">
        <f>IFERROR(__xludf.DUMMYFUNCTION("""COMPUTED_VALUE"""),18839.23)</f>
        <v>18839.23</v>
      </c>
      <c r="E301" s="1">
        <f>IFERROR(__xludf.DUMMYFUNCTION("""COMPUTED_VALUE"""),19333.0)</f>
        <v>19333</v>
      </c>
      <c r="F301" s="1">
        <f>IFERROR(__xludf.DUMMYFUNCTION("""COMPUTED_VALUE"""),50086.0)</f>
        <v>50086</v>
      </c>
    </row>
    <row r="302">
      <c r="A302" s="2">
        <f>IFERROR(__xludf.DUMMYFUNCTION("""COMPUTED_VALUE"""),44634.64583333333)</f>
        <v>44634.64583</v>
      </c>
      <c r="B302" s="1">
        <f>IFERROR(__xludf.DUMMYFUNCTION("""COMPUTED_VALUE"""),19484.93)</f>
        <v>19484.93</v>
      </c>
      <c r="C302" s="1">
        <f>IFERROR(__xludf.DUMMYFUNCTION("""COMPUTED_VALUE"""),19484.93)</f>
        <v>19484.93</v>
      </c>
      <c r="D302" s="1">
        <f>IFERROR(__xludf.DUMMYFUNCTION("""COMPUTED_VALUE"""),18763.26)</f>
        <v>18763.26</v>
      </c>
      <c r="E302" s="1">
        <f>IFERROR(__xludf.DUMMYFUNCTION("""COMPUTED_VALUE"""),18915.19)</f>
        <v>18915.19</v>
      </c>
      <c r="F302" s="1">
        <f>IFERROR(__xludf.DUMMYFUNCTION("""COMPUTED_VALUE"""),66567.0)</f>
        <v>66567</v>
      </c>
    </row>
    <row r="303">
      <c r="A303" s="2">
        <f>IFERROR(__xludf.DUMMYFUNCTION("""COMPUTED_VALUE"""),44635.64583333333)</f>
        <v>44635.64583</v>
      </c>
      <c r="B303" s="1">
        <f>IFERROR(__xludf.DUMMYFUNCTION("""COMPUTED_VALUE"""),18687.3)</f>
        <v>18687.3</v>
      </c>
      <c r="C303" s="1">
        <f>IFERROR(__xludf.DUMMYFUNCTION("""COMPUTED_VALUE"""),19826.77)</f>
        <v>19826.77</v>
      </c>
      <c r="D303" s="1">
        <f>IFERROR(__xludf.DUMMYFUNCTION("""COMPUTED_VALUE"""),18573.35)</f>
        <v>18573.35</v>
      </c>
      <c r="E303" s="1">
        <f>IFERROR(__xludf.DUMMYFUNCTION("""COMPUTED_VALUE"""),19333.0)</f>
        <v>19333</v>
      </c>
      <c r="F303" s="1">
        <f>IFERROR(__xludf.DUMMYFUNCTION("""COMPUTED_VALUE"""),99969.0)</f>
        <v>99969</v>
      </c>
    </row>
    <row r="304">
      <c r="A304" s="2">
        <f>IFERROR(__xludf.DUMMYFUNCTION("""COMPUTED_VALUE"""),44636.64583333333)</f>
        <v>44636.64583</v>
      </c>
      <c r="B304" s="1">
        <f>IFERROR(__xludf.DUMMYFUNCTION("""COMPUTED_VALUE"""),19750.8)</f>
        <v>19750.8</v>
      </c>
      <c r="C304" s="1">
        <f>IFERROR(__xludf.DUMMYFUNCTION("""COMPUTED_VALUE"""),19750.8)</f>
        <v>19750.8</v>
      </c>
      <c r="D304" s="1">
        <f>IFERROR(__xludf.DUMMYFUNCTION("""COMPUTED_VALUE"""),19219.05)</f>
        <v>19219.05</v>
      </c>
      <c r="E304" s="1">
        <f>IFERROR(__xludf.DUMMYFUNCTION("""COMPUTED_VALUE"""),19522.91)</f>
        <v>19522.91</v>
      </c>
      <c r="F304" s="1">
        <f>IFERROR(__xludf.DUMMYFUNCTION("""COMPUTED_VALUE"""),62630.0)</f>
        <v>62630</v>
      </c>
    </row>
    <row r="305">
      <c r="A305" s="2">
        <f>IFERROR(__xludf.DUMMYFUNCTION("""COMPUTED_VALUE"""),44637.64583333333)</f>
        <v>44637.64583</v>
      </c>
      <c r="B305" s="1">
        <f>IFERROR(__xludf.DUMMYFUNCTION("""COMPUTED_VALUE"""),19902.73)</f>
        <v>19902.73</v>
      </c>
      <c r="C305" s="1">
        <f>IFERROR(__xludf.DUMMYFUNCTION("""COMPUTED_VALUE"""),20966.24)</f>
        <v>20966.24</v>
      </c>
      <c r="D305" s="1">
        <f>IFERROR(__xludf.DUMMYFUNCTION("""COMPUTED_VALUE"""),19902.73)</f>
        <v>19902.73</v>
      </c>
      <c r="E305" s="1">
        <f>IFERROR(__xludf.DUMMYFUNCTION("""COMPUTED_VALUE"""),20282.56)</f>
        <v>20282.56</v>
      </c>
      <c r="F305" s="1">
        <f>IFERROR(__xludf.DUMMYFUNCTION("""COMPUTED_VALUE"""),261011.0)</f>
        <v>261011</v>
      </c>
    </row>
    <row r="306">
      <c r="A306" s="2">
        <f>IFERROR(__xludf.DUMMYFUNCTION("""COMPUTED_VALUE"""),44638.64583333333)</f>
        <v>44638.64583</v>
      </c>
      <c r="B306" s="1">
        <f>IFERROR(__xludf.DUMMYFUNCTION("""COMPUTED_VALUE"""),20548.43)</f>
        <v>20548.43</v>
      </c>
      <c r="C306" s="1">
        <f>IFERROR(__xludf.DUMMYFUNCTION("""COMPUTED_VALUE"""),20662.38)</f>
        <v>20662.38</v>
      </c>
      <c r="D306" s="1">
        <f>IFERROR(__xludf.DUMMYFUNCTION("""COMPUTED_VALUE"""),20168.61)</f>
        <v>20168.61</v>
      </c>
      <c r="E306" s="1">
        <f>IFERROR(__xludf.DUMMYFUNCTION("""COMPUTED_VALUE"""),20548.43)</f>
        <v>20548.43</v>
      </c>
      <c r="F306" s="1">
        <f>IFERROR(__xludf.DUMMYFUNCTION("""COMPUTED_VALUE"""),80052.0)</f>
        <v>80052</v>
      </c>
    </row>
    <row r="307">
      <c r="A307" s="2">
        <f>IFERROR(__xludf.DUMMYFUNCTION("""COMPUTED_VALUE"""),44641.64583333333)</f>
        <v>44641.64583</v>
      </c>
      <c r="B307" s="1">
        <f>IFERROR(__xludf.DUMMYFUNCTION("""COMPUTED_VALUE"""),20700.36)</f>
        <v>20700.36</v>
      </c>
      <c r="C307" s="1">
        <f>IFERROR(__xludf.DUMMYFUNCTION("""COMPUTED_VALUE"""),20852.29)</f>
        <v>20852.29</v>
      </c>
      <c r="D307" s="1">
        <f>IFERROR(__xludf.DUMMYFUNCTION("""COMPUTED_VALUE"""),20510.45)</f>
        <v>20510.45</v>
      </c>
      <c r="E307" s="1">
        <f>IFERROR(__xludf.DUMMYFUNCTION("""COMPUTED_VALUE"""),20586.42)</f>
        <v>20586.42</v>
      </c>
      <c r="F307" s="1">
        <f>IFERROR(__xludf.DUMMYFUNCTION("""COMPUTED_VALUE"""),76151.0)</f>
        <v>76151</v>
      </c>
    </row>
    <row r="308">
      <c r="A308" s="2">
        <f>IFERROR(__xludf.DUMMYFUNCTION("""COMPUTED_VALUE"""),44642.64583333333)</f>
        <v>44642.64583</v>
      </c>
      <c r="B308" s="1">
        <f>IFERROR(__xludf.DUMMYFUNCTION("""COMPUTED_VALUE"""),20586.42)</f>
        <v>20586.42</v>
      </c>
      <c r="C308" s="1">
        <f>IFERROR(__xludf.DUMMYFUNCTION("""COMPUTED_VALUE"""),20662.38)</f>
        <v>20662.38</v>
      </c>
      <c r="D308" s="1">
        <f>IFERROR(__xludf.DUMMYFUNCTION("""COMPUTED_VALUE"""),20244.57)</f>
        <v>20244.57</v>
      </c>
      <c r="E308" s="1">
        <f>IFERROR(__xludf.DUMMYFUNCTION("""COMPUTED_VALUE"""),20548.43)</f>
        <v>20548.43</v>
      </c>
      <c r="F308" s="1">
        <f>IFERROR(__xludf.DUMMYFUNCTION("""COMPUTED_VALUE"""),48432.0)</f>
        <v>48432</v>
      </c>
    </row>
    <row r="309">
      <c r="A309" s="2">
        <f>IFERROR(__xludf.DUMMYFUNCTION("""COMPUTED_VALUE"""),44643.64583333333)</f>
        <v>44643.64583</v>
      </c>
      <c r="B309" s="1">
        <f>IFERROR(__xludf.DUMMYFUNCTION("""COMPUTED_VALUE"""),20738.34)</f>
        <v>20738.34</v>
      </c>
      <c r="C309" s="1">
        <f>IFERROR(__xludf.DUMMYFUNCTION("""COMPUTED_VALUE"""),21384.04)</f>
        <v>21384.04</v>
      </c>
      <c r="D309" s="1">
        <f>IFERROR(__xludf.DUMMYFUNCTION("""COMPUTED_VALUE"""),20662.38)</f>
        <v>20662.38</v>
      </c>
      <c r="E309" s="1">
        <f>IFERROR(__xludf.DUMMYFUNCTION("""COMPUTED_VALUE"""),20966.24)</f>
        <v>20966.24</v>
      </c>
      <c r="F309" s="1">
        <f>IFERROR(__xludf.DUMMYFUNCTION("""COMPUTED_VALUE"""),116749.0)</f>
        <v>116749</v>
      </c>
    </row>
    <row r="310">
      <c r="A310" s="2">
        <f>IFERROR(__xludf.DUMMYFUNCTION("""COMPUTED_VALUE"""),44644.64583333333)</f>
        <v>44644.64583</v>
      </c>
      <c r="B310" s="1">
        <f>IFERROR(__xludf.DUMMYFUNCTION("""COMPUTED_VALUE"""),20966.24)</f>
        <v>20966.24</v>
      </c>
      <c r="C310" s="1">
        <f>IFERROR(__xludf.DUMMYFUNCTION("""COMPUTED_VALUE"""),21004.22)</f>
        <v>21004.22</v>
      </c>
      <c r="D310" s="1">
        <f>IFERROR(__xludf.DUMMYFUNCTION("""COMPUTED_VALUE"""),20510.45)</f>
        <v>20510.45</v>
      </c>
      <c r="E310" s="1">
        <f>IFERROR(__xludf.DUMMYFUNCTION("""COMPUTED_VALUE"""),20814.31)</f>
        <v>20814.31</v>
      </c>
      <c r="F310" s="1">
        <f>IFERROR(__xludf.DUMMYFUNCTION("""COMPUTED_VALUE"""),78082.0)</f>
        <v>78082</v>
      </c>
    </row>
    <row r="311">
      <c r="A311" s="2">
        <f>IFERROR(__xludf.DUMMYFUNCTION("""COMPUTED_VALUE"""),44645.64583333333)</f>
        <v>44645.64583</v>
      </c>
      <c r="B311" s="1">
        <f>IFERROR(__xludf.DUMMYFUNCTION("""COMPUTED_VALUE"""),20890.27)</f>
        <v>20890.27</v>
      </c>
      <c r="C311" s="1">
        <f>IFERROR(__xludf.DUMMYFUNCTION("""COMPUTED_VALUE"""),21346.06)</f>
        <v>21346.06</v>
      </c>
      <c r="D311" s="1">
        <f>IFERROR(__xludf.DUMMYFUNCTION("""COMPUTED_VALUE"""),20548.43)</f>
        <v>20548.43</v>
      </c>
      <c r="E311" s="1">
        <f>IFERROR(__xludf.DUMMYFUNCTION("""COMPUTED_VALUE"""),20662.38)</f>
        <v>20662.38</v>
      </c>
      <c r="F311" s="1">
        <f>IFERROR(__xludf.DUMMYFUNCTION("""COMPUTED_VALUE"""),78008.0)</f>
        <v>78008</v>
      </c>
    </row>
    <row r="312">
      <c r="A312" s="2">
        <f>IFERROR(__xludf.DUMMYFUNCTION("""COMPUTED_VALUE"""),44648.64583333333)</f>
        <v>44648.64583</v>
      </c>
      <c r="B312" s="1">
        <f>IFERROR(__xludf.DUMMYFUNCTION("""COMPUTED_VALUE"""),20662.38)</f>
        <v>20662.38</v>
      </c>
      <c r="C312" s="1">
        <f>IFERROR(__xludf.DUMMYFUNCTION("""COMPUTED_VALUE"""),20662.38)</f>
        <v>20662.38</v>
      </c>
      <c r="D312" s="1">
        <f>IFERROR(__xludf.DUMMYFUNCTION("""COMPUTED_VALUE"""),20130.63)</f>
        <v>20130.63</v>
      </c>
      <c r="E312" s="1">
        <f>IFERROR(__xludf.DUMMYFUNCTION("""COMPUTED_VALUE"""),20282.56)</f>
        <v>20282.56</v>
      </c>
      <c r="F312" s="1">
        <f>IFERROR(__xludf.DUMMYFUNCTION("""COMPUTED_VALUE"""),66980.0)</f>
        <v>66980</v>
      </c>
    </row>
    <row r="313">
      <c r="A313" s="2">
        <f>IFERROR(__xludf.DUMMYFUNCTION("""COMPUTED_VALUE"""),44649.64583333333)</f>
        <v>44649.64583</v>
      </c>
      <c r="B313" s="1">
        <f>IFERROR(__xludf.DUMMYFUNCTION("""COMPUTED_VALUE"""),20282.56)</f>
        <v>20282.56</v>
      </c>
      <c r="C313" s="1">
        <f>IFERROR(__xludf.DUMMYFUNCTION("""COMPUTED_VALUE"""),20700.36)</f>
        <v>20700.36</v>
      </c>
      <c r="D313" s="1">
        <f>IFERROR(__xludf.DUMMYFUNCTION("""COMPUTED_VALUE"""),20282.56)</f>
        <v>20282.56</v>
      </c>
      <c r="E313" s="1">
        <f>IFERROR(__xludf.DUMMYFUNCTION("""COMPUTED_VALUE"""),20434.49)</f>
        <v>20434.49</v>
      </c>
      <c r="F313" s="1">
        <f>IFERROR(__xludf.DUMMYFUNCTION("""COMPUTED_VALUE"""),51660.0)</f>
        <v>51660</v>
      </c>
    </row>
    <row r="314">
      <c r="A314" s="2">
        <f>IFERROR(__xludf.DUMMYFUNCTION("""COMPUTED_VALUE"""),44650.64583333333)</f>
        <v>44650.64583</v>
      </c>
      <c r="B314" s="1">
        <f>IFERROR(__xludf.DUMMYFUNCTION("""COMPUTED_VALUE"""),20548.43)</f>
        <v>20548.43</v>
      </c>
      <c r="C314" s="1">
        <f>IFERROR(__xludf.DUMMYFUNCTION("""COMPUTED_VALUE"""),20928.26)</f>
        <v>20928.26</v>
      </c>
      <c r="D314" s="1">
        <f>IFERROR(__xludf.DUMMYFUNCTION("""COMPUTED_VALUE"""),20434.49)</f>
        <v>20434.49</v>
      </c>
      <c r="E314" s="1">
        <f>IFERROR(__xludf.DUMMYFUNCTION("""COMPUTED_VALUE"""),20624.4)</f>
        <v>20624.4</v>
      </c>
      <c r="F314" s="1">
        <f>IFERROR(__xludf.DUMMYFUNCTION("""COMPUTED_VALUE"""),59161.0)</f>
        <v>59161</v>
      </c>
    </row>
    <row r="315">
      <c r="A315" s="2">
        <f>IFERROR(__xludf.DUMMYFUNCTION("""COMPUTED_VALUE"""),44651.64583333333)</f>
        <v>44651.64583</v>
      </c>
      <c r="B315" s="1">
        <f>IFERROR(__xludf.DUMMYFUNCTION("""COMPUTED_VALUE"""),20282.56)</f>
        <v>20282.56</v>
      </c>
      <c r="C315" s="1">
        <f>IFERROR(__xludf.DUMMYFUNCTION("""COMPUTED_VALUE"""),20776.33)</f>
        <v>20776.33</v>
      </c>
      <c r="D315" s="1">
        <f>IFERROR(__xludf.DUMMYFUNCTION("""COMPUTED_VALUE"""),20282.56)</f>
        <v>20282.56</v>
      </c>
      <c r="E315" s="1">
        <f>IFERROR(__xludf.DUMMYFUNCTION("""COMPUTED_VALUE"""),20472.47)</f>
        <v>20472.47</v>
      </c>
      <c r="F315" s="1">
        <f>IFERROR(__xludf.DUMMYFUNCTION("""COMPUTED_VALUE"""),44057.0)</f>
        <v>44057</v>
      </c>
    </row>
    <row r="316">
      <c r="A316" s="2">
        <f>IFERROR(__xludf.DUMMYFUNCTION("""COMPUTED_VALUE"""),44652.64583333333)</f>
        <v>44652.64583</v>
      </c>
      <c r="B316" s="1">
        <f>IFERROR(__xludf.DUMMYFUNCTION("""COMPUTED_VALUE"""),20472.47)</f>
        <v>20472.47</v>
      </c>
      <c r="C316" s="1">
        <f>IFERROR(__xludf.DUMMYFUNCTION("""COMPUTED_VALUE"""),20472.47)</f>
        <v>20472.47</v>
      </c>
      <c r="D316" s="1">
        <f>IFERROR(__xludf.DUMMYFUNCTION("""COMPUTED_VALUE"""),19978.7)</f>
        <v>19978.7</v>
      </c>
      <c r="E316" s="1">
        <f>IFERROR(__xludf.DUMMYFUNCTION("""COMPUTED_VALUE"""),20092.65)</f>
        <v>20092.65</v>
      </c>
      <c r="F316" s="1">
        <f>IFERROR(__xludf.DUMMYFUNCTION("""COMPUTED_VALUE"""),55817.0)</f>
        <v>55817</v>
      </c>
    </row>
    <row r="317">
      <c r="A317" s="2">
        <f>IFERROR(__xludf.DUMMYFUNCTION("""COMPUTED_VALUE"""),44655.64583333333)</f>
        <v>44655.64583</v>
      </c>
      <c r="B317" s="1">
        <f>IFERROR(__xludf.DUMMYFUNCTION("""COMPUTED_VALUE"""),20130.63)</f>
        <v>20130.63</v>
      </c>
      <c r="C317" s="1">
        <f>IFERROR(__xludf.DUMMYFUNCTION("""COMPUTED_VALUE"""),20130.63)</f>
        <v>20130.63</v>
      </c>
      <c r="D317" s="1">
        <f>IFERROR(__xludf.DUMMYFUNCTION("""COMPUTED_VALUE"""),19750.8)</f>
        <v>19750.8</v>
      </c>
      <c r="E317" s="1">
        <f>IFERROR(__xludf.DUMMYFUNCTION("""COMPUTED_VALUE"""),20054.66)</f>
        <v>20054.66</v>
      </c>
      <c r="F317" s="1">
        <f>IFERROR(__xludf.DUMMYFUNCTION("""COMPUTED_VALUE"""),45718.0)</f>
        <v>45718</v>
      </c>
    </row>
    <row r="318">
      <c r="A318" s="2">
        <f>IFERROR(__xludf.DUMMYFUNCTION("""COMPUTED_VALUE"""),44656.64583333333)</f>
        <v>44656.64583</v>
      </c>
      <c r="B318" s="1">
        <f>IFERROR(__xludf.DUMMYFUNCTION("""COMPUTED_VALUE"""),20092.65)</f>
        <v>20092.65</v>
      </c>
      <c r="C318" s="1">
        <f>IFERROR(__xludf.DUMMYFUNCTION("""COMPUTED_VALUE"""),20738.34)</f>
        <v>20738.34</v>
      </c>
      <c r="D318" s="1">
        <f>IFERROR(__xludf.DUMMYFUNCTION("""COMPUTED_VALUE"""),20092.65)</f>
        <v>20092.65</v>
      </c>
      <c r="E318" s="1">
        <f>IFERROR(__xludf.DUMMYFUNCTION("""COMPUTED_VALUE"""),20738.34)</f>
        <v>20738.34</v>
      </c>
      <c r="F318" s="1">
        <f>IFERROR(__xludf.DUMMYFUNCTION("""COMPUTED_VALUE"""),95294.0)</f>
        <v>95294</v>
      </c>
    </row>
    <row r="319">
      <c r="A319" s="2">
        <f>IFERROR(__xludf.DUMMYFUNCTION("""COMPUTED_VALUE"""),44657.64583333333)</f>
        <v>44657.64583</v>
      </c>
      <c r="B319" s="1">
        <f>IFERROR(__xludf.DUMMYFUNCTION("""COMPUTED_VALUE"""),20396.5)</f>
        <v>20396.5</v>
      </c>
      <c r="C319" s="1">
        <f>IFERROR(__xludf.DUMMYFUNCTION("""COMPUTED_VALUE"""),20624.4)</f>
        <v>20624.4</v>
      </c>
      <c r="D319" s="1">
        <f>IFERROR(__xludf.DUMMYFUNCTION("""COMPUTED_VALUE"""),20016.68)</f>
        <v>20016.68</v>
      </c>
      <c r="E319" s="1">
        <f>IFERROR(__xludf.DUMMYFUNCTION("""COMPUTED_VALUE"""),20244.57)</f>
        <v>20244.57</v>
      </c>
      <c r="F319" s="1">
        <f>IFERROR(__xludf.DUMMYFUNCTION("""COMPUTED_VALUE"""),63821.0)</f>
        <v>63821</v>
      </c>
    </row>
    <row r="320">
      <c r="A320" s="2">
        <f>IFERROR(__xludf.DUMMYFUNCTION("""COMPUTED_VALUE"""),44658.64583333333)</f>
        <v>44658.64583</v>
      </c>
      <c r="B320" s="1">
        <f>IFERROR(__xludf.DUMMYFUNCTION("""COMPUTED_VALUE"""),20054.66)</f>
        <v>20054.66</v>
      </c>
      <c r="C320" s="1">
        <f>IFERROR(__xludf.DUMMYFUNCTION("""COMPUTED_VALUE"""),20206.59)</f>
        <v>20206.59</v>
      </c>
      <c r="D320" s="1">
        <f>IFERROR(__xludf.DUMMYFUNCTION("""COMPUTED_VALUE"""),19370.98)</f>
        <v>19370.98</v>
      </c>
      <c r="E320" s="1">
        <f>IFERROR(__xludf.DUMMYFUNCTION("""COMPUTED_VALUE"""),19522.91)</f>
        <v>19522.91</v>
      </c>
      <c r="F320" s="1">
        <f>IFERROR(__xludf.DUMMYFUNCTION("""COMPUTED_VALUE"""),93254.0)</f>
        <v>93254</v>
      </c>
    </row>
    <row r="321">
      <c r="A321" s="2">
        <f>IFERROR(__xludf.DUMMYFUNCTION("""COMPUTED_VALUE"""),44659.64583333333)</f>
        <v>44659.64583</v>
      </c>
      <c r="B321" s="1">
        <f>IFERROR(__xludf.DUMMYFUNCTION("""COMPUTED_VALUE"""),19446.95)</f>
        <v>19446.95</v>
      </c>
      <c r="C321" s="1">
        <f>IFERROR(__xludf.DUMMYFUNCTION("""COMPUTED_VALUE"""),19712.82)</f>
        <v>19712.82</v>
      </c>
      <c r="D321" s="1">
        <f>IFERROR(__xludf.DUMMYFUNCTION("""COMPUTED_VALUE"""),19181.07)</f>
        <v>19181.07</v>
      </c>
      <c r="E321" s="1">
        <f>IFERROR(__xludf.DUMMYFUNCTION("""COMPUTED_VALUE"""),19333.0)</f>
        <v>19333</v>
      </c>
      <c r="F321" s="1">
        <f>IFERROR(__xludf.DUMMYFUNCTION("""COMPUTED_VALUE"""),40574.0)</f>
        <v>40574</v>
      </c>
    </row>
    <row r="322">
      <c r="A322" s="2">
        <f>IFERROR(__xludf.DUMMYFUNCTION("""COMPUTED_VALUE"""),44662.64583333333)</f>
        <v>44662.64583</v>
      </c>
      <c r="B322" s="1">
        <f>IFERROR(__xludf.DUMMYFUNCTION("""COMPUTED_VALUE"""),19143.09)</f>
        <v>19143.09</v>
      </c>
      <c r="C322" s="1">
        <f>IFERROR(__xludf.DUMMYFUNCTION("""COMPUTED_VALUE"""),19560.89)</f>
        <v>19560.89</v>
      </c>
      <c r="D322" s="1">
        <f>IFERROR(__xludf.DUMMYFUNCTION("""COMPUTED_VALUE"""),18991.16)</f>
        <v>18991.16</v>
      </c>
      <c r="E322" s="1">
        <f>IFERROR(__xludf.DUMMYFUNCTION("""COMPUTED_VALUE"""),18991.16)</f>
        <v>18991.16</v>
      </c>
      <c r="F322" s="1">
        <f>IFERROR(__xludf.DUMMYFUNCTION("""COMPUTED_VALUE"""),64315.0)</f>
        <v>64315</v>
      </c>
    </row>
    <row r="323">
      <c r="A323" s="2">
        <f>IFERROR(__xludf.DUMMYFUNCTION("""COMPUTED_VALUE"""),44663.64583333333)</f>
        <v>44663.64583</v>
      </c>
      <c r="B323" s="1">
        <f>IFERROR(__xludf.DUMMYFUNCTION("""COMPUTED_VALUE"""),18725.28)</f>
        <v>18725.28</v>
      </c>
      <c r="C323" s="1">
        <f>IFERROR(__xludf.DUMMYFUNCTION("""COMPUTED_VALUE"""),18953.18)</f>
        <v>18953.18</v>
      </c>
      <c r="D323" s="1">
        <f>IFERROR(__xludf.DUMMYFUNCTION("""COMPUTED_VALUE"""),18345.46)</f>
        <v>18345.46</v>
      </c>
      <c r="E323" s="1">
        <f>IFERROR(__xludf.DUMMYFUNCTION("""COMPUTED_VALUE"""),18535.37)</f>
        <v>18535.37</v>
      </c>
      <c r="F323" s="1">
        <f>IFERROR(__xludf.DUMMYFUNCTION("""COMPUTED_VALUE"""),73902.0)</f>
        <v>73902</v>
      </c>
    </row>
    <row r="324">
      <c r="A324" s="2">
        <f>IFERROR(__xludf.DUMMYFUNCTION("""COMPUTED_VALUE"""),44664.64583333333)</f>
        <v>44664.64583</v>
      </c>
      <c r="B324" s="1">
        <f>IFERROR(__xludf.DUMMYFUNCTION("""COMPUTED_VALUE"""),18459.41)</f>
        <v>18459.41</v>
      </c>
      <c r="C324" s="1">
        <f>IFERROR(__xludf.DUMMYFUNCTION("""COMPUTED_VALUE"""),18953.18)</f>
        <v>18953.18</v>
      </c>
      <c r="D324" s="1">
        <f>IFERROR(__xludf.DUMMYFUNCTION("""COMPUTED_VALUE"""),18459.41)</f>
        <v>18459.41</v>
      </c>
      <c r="E324" s="1">
        <f>IFERROR(__xludf.DUMMYFUNCTION("""COMPUTED_VALUE"""),18877.21)</f>
        <v>18877.21</v>
      </c>
      <c r="F324" s="1">
        <f>IFERROR(__xludf.DUMMYFUNCTION("""COMPUTED_VALUE"""),51598.0)</f>
        <v>51598</v>
      </c>
    </row>
    <row r="325">
      <c r="A325" s="2">
        <f>IFERROR(__xludf.DUMMYFUNCTION("""COMPUTED_VALUE"""),44665.64583333333)</f>
        <v>44665.64583</v>
      </c>
      <c r="B325" s="1">
        <f>IFERROR(__xludf.DUMMYFUNCTION("""COMPUTED_VALUE"""),18991.16)</f>
        <v>18991.16</v>
      </c>
      <c r="C325" s="1">
        <f>IFERROR(__xludf.DUMMYFUNCTION("""COMPUTED_VALUE"""),19978.7)</f>
        <v>19978.7</v>
      </c>
      <c r="D325" s="1">
        <f>IFERROR(__xludf.DUMMYFUNCTION("""COMPUTED_VALUE"""),18763.26)</f>
        <v>18763.26</v>
      </c>
      <c r="E325" s="1">
        <f>IFERROR(__xludf.DUMMYFUNCTION("""COMPUTED_VALUE"""),19143.09)</f>
        <v>19143.09</v>
      </c>
      <c r="F325" s="1">
        <f>IFERROR(__xludf.DUMMYFUNCTION("""COMPUTED_VALUE"""),114595.0)</f>
        <v>114595</v>
      </c>
    </row>
    <row r="326">
      <c r="A326" s="2">
        <f>IFERROR(__xludf.DUMMYFUNCTION("""COMPUTED_VALUE"""),44666.64583333333)</f>
        <v>44666.64583</v>
      </c>
      <c r="B326" s="1">
        <f>IFERROR(__xludf.DUMMYFUNCTION("""COMPUTED_VALUE"""),18991.16)</f>
        <v>18991.16</v>
      </c>
      <c r="C326" s="1">
        <f>IFERROR(__xludf.DUMMYFUNCTION("""COMPUTED_VALUE"""),18991.16)</f>
        <v>18991.16</v>
      </c>
      <c r="D326" s="1">
        <f>IFERROR(__xludf.DUMMYFUNCTION("""COMPUTED_VALUE"""),18649.32)</f>
        <v>18649.32</v>
      </c>
      <c r="E326" s="1">
        <f>IFERROR(__xludf.DUMMYFUNCTION("""COMPUTED_VALUE"""),18915.19)</f>
        <v>18915.19</v>
      </c>
      <c r="F326" s="1">
        <f>IFERROR(__xludf.DUMMYFUNCTION("""COMPUTED_VALUE"""),42808.0)</f>
        <v>42808</v>
      </c>
    </row>
    <row r="327">
      <c r="A327" s="2">
        <f>IFERROR(__xludf.DUMMYFUNCTION("""COMPUTED_VALUE"""),44669.64583333333)</f>
        <v>44669.64583</v>
      </c>
      <c r="B327" s="1">
        <f>IFERROR(__xludf.DUMMYFUNCTION("""COMPUTED_VALUE"""),18915.19)</f>
        <v>18915.19</v>
      </c>
      <c r="C327" s="1">
        <f>IFERROR(__xludf.DUMMYFUNCTION("""COMPUTED_VALUE"""),18915.19)</f>
        <v>18915.19</v>
      </c>
      <c r="D327" s="1">
        <f>IFERROR(__xludf.DUMMYFUNCTION("""COMPUTED_VALUE"""),18573.35)</f>
        <v>18573.35</v>
      </c>
      <c r="E327" s="1">
        <f>IFERROR(__xludf.DUMMYFUNCTION("""COMPUTED_VALUE"""),18611.34)</f>
        <v>18611.34</v>
      </c>
      <c r="F327" s="1">
        <f>IFERROR(__xludf.DUMMYFUNCTION("""COMPUTED_VALUE"""),46699.0)</f>
        <v>46699</v>
      </c>
    </row>
    <row r="328">
      <c r="A328" s="2">
        <f>IFERROR(__xludf.DUMMYFUNCTION("""COMPUTED_VALUE"""),44670.64583333333)</f>
        <v>44670.64583</v>
      </c>
      <c r="B328" s="1">
        <f>IFERROR(__xludf.DUMMYFUNCTION("""COMPUTED_VALUE"""),18611.34)</f>
        <v>18611.34</v>
      </c>
      <c r="C328" s="1">
        <f>IFERROR(__xludf.DUMMYFUNCTION("""COMPUTED_VALUE"""),18801.25)</f>
        <v>18801.25</v>
      </c>
      <c r="D328" s="1">
        <f>IFERROR(__xludf.DUMMYFUNCTION("""COMPUTED_VALUE"""),18535.37)</f>
        <v>18535.37</v>
      </c>
      <c r="E328" s="1">
        <f>IFERROR(__xludf.DUMMYFUNCTION("""COMPUTED_VALUE"""),18573.35)</f>
        <v>18573.35</v>
      </c>
      <c r="F328" s="1">
        <f>IFERROR(__xludf.DUMMYFUNCTION("""COMPUTED_VALUE"""),44560.0)</f>
        <v>44560</v>
      </c>
    </row>
    <row r="329">
      <c r="A329" s="2">
        <f>IFERROR(__xludf.DUMMYFUNCTION("""COMPUTED_VALUE"""),44671.64583333333)</f>
        <v>44671.64583</v>
      </c>
      <c r="B329" s="1">
        <f>IFERROR(__xludf.DUMMYFUNCTION("""COMPUTED_VALUE"""),18687.3)</f>
        <v>18687.3</v>
      </c>
      <c r="C329" s="1">
        <f>IFERROR(__xludf.DUMMYFUNCTION("""COMPUTED_VALUE"""),18687.3)</f>
        <v>18687.3</v>
      </c>
      <c r="D329" s="1">
        <f>IFERROR(__xludf.DUMMYFUNCTION("""COMPUTED_VALUE"""),18231.51)</f>
        <v>18231.51</v>
      </c>
      <c r="E329" s="1">
        <f>IFERROR(__xludf.DUMMYFUNCTION("""COMPUTED_VALUE"""),18345.46)</f>
        <v>18345.46</v>
      </c>
      <c r="F329" s="1">
        <f>IFERROR(__xludf.DUMMYFUNCTION("""COMPUTED_VALUE"""),73458.0)</f>
        <v>73458</v>
      </c>
    </row>
    <row r="330">
      <c r="A330" s="2">
        <f>IFERROR(__xludf.DUMMYFUNCTION("""COMPUTED_VALUE"""),44672.64583333333)</f>
        <v>44672.64583</v>
      </c>
      <c r="B330" s="1">
        <f>IFERROR(__xludf.DUMMYFUNCTION("""COMPUTED_VALUE"""),18307.48)</f>
        <v>18307.48</v>
      </c>
      <c r="C330" s="1">
        <f>IFERROR(__xludf.DUMMYFUNCTION("""COMPUTED_VALUE"""),18383.44)</f>
        <v>18383.44</v>
      </c>
      <c r="D330" s="1">
        <f>IFERROR(__xludf.DUMMYFUNCTION("""COMPUTED_VALUE"""),17965.64)</f>
        <v>17965.64</v>
      </c>
      <c r="E330" s="1">
        <f>IFERROR(__xludf.DUMMYFUNCTION("""COMPUTED_VALUE"""),18269.49)</f>
        <v>18269.49</v>
      </c>
      <c r="F330" s="1">
        <f>IFERROR(__xludf.DUMMYFUNCTION("""COMPUTED_VALUE"""),74295.0)</f>
        <v>74295</v>
      </c>
    </row>
    <row r="331">
      <c r="A331" s="2">
        <f>IFERROR(__xludf.DUMMYFUNCTION("""COMPUTED_VALUE"""),44673.64583333333)</f>
        <v>44673.64583</v>
      </c>
      <c r="B331" s="1">
        <f>IFERROR(__xludf.DUMMYFUNCTION("""COMPUTED_VALUE"""),18155.55)</f>
        <v>18155.55</v>
      </c>
      <c r="C331" s="1">
        <f>IFERROR(__xludf.DUMMYFUNCTION("""COMPUTED_VALUE"""),18193.53)</f>
        <v>18193.53</v>
      </c>
      <c r="D331" s="1">
        <f>IFERROR(__xludf.DUMMYFUNCTION("""COMPUTED_VALUE"""),17699.76)</f>
        <v>17699.76</v>
      </c>
      <c r="E331" s="1">
        <f>IFERROR(__xludf.DUMMYFUNCTION("""COMPUTED_VALUE"""),17813.71)</f>
        <v>17813.71</v>
      </c>
      <c r="F331" s="1">
        <f>IFERROR(__xludf.DUMMYFUNCTION("""COMPUTED_VALUE"""),101601.0)</f>
        <v>101601</v>
      </c>
    </row>
    <row r="332">
      <c r="A332" s="2">
        <f>IFERROR(__xludf.DUMMYFUNCTION("""COMPUTED_VALUE"""),44676.64583333333)</f>
        <v>44676.64583</v>
      </c>
      <c r="B332" s="1">
        <f>IFERROR(__xludf.DUMMYFUNCTION("""COMPUTED_VALUE"""),17509.85)</f>
        <v>17509.85</v>
      </c>
      <c r="C332" s="1">
        <f>IFERROR(__xludf.DUMMYFUNCTION("""COMPUTED_VALUE"""),17547.83)</f>
        <v>17547.83</v>
      </c>
      <c r="D332" s="1">
        <f>IFERROR(__xludf.DUMMYFUNCTION("""COMPUTED_VALUE"""),16978.1)</f>
        <v>16978.1</v>
      </c>
      <c r="E332" s="1">
        <f>IFERROR(__xludf.DUMMYFUNCTION("""COMPUTED_VALUE"""),17054.06)</f>
        <v>17054.06</v>
      </c>
      <c r="F332" s="1">
        <f>IFERROR(__xludf.DUMMYFUNCTION("""COMPUTED_VALUE"""),98706.0)</f>
        <v>98706</v>
      </c>
    </row>
    <row r="333">
      <c r="A333" s="2">
        <f>IFERROR(__xludf.DUMMYFUNCTION("""COMPUTED_VALUE"""),44677.64583333333)</f>
        <v>44677.64583</v>
      </c>
      <c r="B333" s="1">
        <f>IFERROR(__xludf.DUMMYFUNCTION("""COMPUTED_VALUE"""),16978.1)</f>
        <v>16978.1</v>
      </c>
      <c r="C333" s="1">
        <f>IFERROR(__xludf.DUMMYFUNCTION("""COMPUTED_VALUE"""),17281.95)</f>
        <v>17281.95</v>
      </c>
      <c r="D333" s="1">
        <f>IFERROR(__xludf.DUMMYFUNCTION("""COMPUTED_VALUE"""),16712.22)</f>
        <v>16712.22</v>
      </c>
      <c r="E333" s="1">
        <f>IFERROR(__xludf.DUMMYFUNCTION("""COMPUTED_VALUE"""),16940.11)</f>
        <v>16940.11</v>
      </c>
      <c r="F333" s="1">
        <f>IFERROR(__xludf.DUMMYFUNCTION("""COMPUTED_VALUE"""),57395.0)</f>
        <v>57395</v>
      </c>
    </row>
    <row r="334">
      <c r="A334" s="2">
        <f>IFERROR(__xludf.DUMMYFUNCTION("""COMPUTED_VALUE"""),44678.64583333333)</f>
        <v>44678.64583</v>
      </c>
      <c r="B334" s="1">
        <f>IFERROR(__xludf.DUMMYFUNCTION("""COMPUTED_VALUE"""),16446.34)</f>
        <v>16446.34</v>
      </c>
      <c r="C334" s="1">
        <f>IFERROR(__xludf.DUMMYFUNCTION("""COMPUTED_VALUE"""),16446.34)</f>
        <v>16446.34</v>
      </c>
      <c r="D334" s="1">
        <f>IFERROR(__xludf.DUMMYFUNCTION("""COMPUTED_VALUE"""),16180.47)</f>
        <v>16180.47</v>
      </c>
      <c r="E334" s="1">
        <f>IFERROR(__xludf.DUMMYFUNCTION("""COMPUTED_VALUE"""),16332.4)</f>
        <v>16332.4</v>
      </c>
      <c r="F334" s="1">
        <f>IFERROR(__xludf.DUMMYFUNCTION("""COMPUTED_VALUE"""),101757.0)</f>
        <v>101757</v>
      </c>
    </row>
    <row r="335">
      <c r="A335" s="2">
        <f>IFERROR(__xludf.DUMMYFUNCTION("""COMPUTED_VALUE"""),44679.64583333333)</f>
        <v>44679.64583</v>
      </c>
      <c r="B335" s="1">
        <f>IFERROR(__xludf.DUMMYFUNCTION("""COMPUTED_VALUE"""),16560.29)</f>
        <v>16560.29</v>
      </c>
      <c r="C335" s="1">
        <f>IFERROR(__xludf.DUMMYFUNCTION("""COMPUTED_VALUE"""),16712.22)</f>
        <v>16712.22</v>
      </c>
      <c r="D335" s="1">
        <f>IFERROR(__xludf.DUMMYFUNCTION("""COMPUTED_VALUE"""),16142.48)</f>
        <v>16142.48</v>
      </c>
      <c r="E335" s="1">
        <f>IFERROR(__xludf.DUMMYFUNCTION("""COMPUTED_VALUE"""),16370.38)</f>
        <v>16370.38</v>
      </c>
      <c r="F335" s="1">
        <f>IFERROR(__xludf.DUMMYFUNCTION("""COMPUTED_VALUE"""),45403.0)</f>
        <v>45403</v>
      </c>
    </row>
    <row r="336">
      <c r="A336" s="2">
        <f>IFERROR(__xludf.DUMMYFUNCTION("""COMPUTED_VALUE"""),44680.64583333333)</f>
        <v>44680.64583</v>
      </c>
      <c r="B336" s="1">
        <f>IFERROR(__xludf.DUMMYFUNCTION("""COMPUTED_VALUE"""),16560.29)</f>
        <v>16560.29</v>
      </c>
      <c r="C336" s="1">
        <f>IFERROR(__xludf.DUMMYFUNCTION("""COMPUTED_VALUE"""),16788.18)</f>
        <v>16788.18</v>
      </c>
      <c r="D336" s="1">
        <f>IFERROR(__xludf.DUMMYFUNCTION("""COMPUTED_VALUE"""),16256.43)</f>
        <v>16256.43</v>
      </c>
      <c r="E336" s="1">
        <f>IFERROR(__xludf.DUMMYFUNCTION("""COMPUTED_VALUE"""),16484.33)</f>
        <v>16484.33</v>
      </c>
      <c r="F336" s="1">
        <f>IFERROR(__xludf.DUMMYFUNCTION("""COMPUTED_VALUE"""),39753.0)</f>
        <v>39753</v>
      </c>
    </row>
    <row r="337">
      <c r="A337" s="2">
        <f>IFERROR(__xludf.DUMMYFUNCTION("""COMPUTED_VALUE"""),44683.64583333333)</f>
        <v>44683.64583</v>
      </c>
      <c r="B337" s="1">
        <f>IFERROR(__xludf.DUMMYFUNCTION("""COMPUTED_VALUE"""),16484.33)</f>
        <v>16484.33</v>
      </c>
      <c r="C337" s="1">
        <f>IFERROR(__xludf.DUMMYFUNCTION("""COMPUTED_VALUE"""),16484.33)</f>
        <v>16484.33</v>
      </c>
      <c r="D337" s="1">
        <f>IFERROR(__xludf.DUMMYFUNCTION("""COMPUTED_VALUE"""),15952.57)</f>
        <v>15952.57</v>
      </c>
      <c r="E337" s="1">
        <f>IFERROR(__xludf.DUMMYFUNCTION("""COMPUTED_VALUE"""),16180.47)</f>
        <v>16180.47</v>
      </c>
      <c r="F337" s="1">
        <f>IFERROR(__xludf.DUMMYFUNCTION("""COMPUTED_VALUE"""),52284.0)</f>
        <v>52284</v>
      </c>
    </row>
    <row r="338">
      <c r="A338" s="2">
        <f>IFERROR(__xludf.DUMMYFUNCTION("""COMPUTED_VALUE"""),44684.64583333333)</f>
        <v>44684.64583</v>
      </c>
      <c r="B338" s="1">
        <f>IFERROR(__xludf.DUMMYFUNCTION("""COMPUTED_VALUE"""),16294.41)</f>
        <v>16294.41</v>
      </c>
      <c r="C338" s="1">
        <f>IFERROR(__xludf.DUMMYFUNCTION("""COMPUTED_VALUE"""),16408.36)</f>
        <v>16408.36</v>
      </c>
      <c r="D338" s="1">
        <f>IFERROR(__xludf.DUMMYFUNCTION("""COMPUTED_VALUE"""),16142.48)</f>
        <v>16142.48</v>
      </c>
      <c r="E338" s="1">
        <f>IFERROR(__xludf.DUMMYFUNCTION("""COMPUTED_VALUE"""),16180.47)</f>
        <v>16180.47</v>
      </c>
      <c r="F338" s="1">
        <f>IFERROR(__xludf.DUMMYFUNCTION("""COMPUTED_VALUE"""),55638.0)</f>
        <v>55638</v>
      </c>
    </row>
    <row r="339">
      <c r="A339" s="2">
        <f>IFERROR(__xludf.DUMMYFUNCTION("""COMPUTED_VALUE"""),44685.64583333333)</f>
        <v>44685.64583</v>
      </c>
      <c r="B339" s="1">
        <f>IFERROR(__xludf.DUMMYFUNCTION("""COMPUTED_VALUE"""),16256.43)</f>
        <v>16256.43</v>
      </c>
      <c r="C339" s="1">
        <f>IFERROR(__xludf.DUMMYFUNCTION("""COMPUTED_VALUE"""),16294.41)</f>
        <v>16294.41</v>
      </c>
      <c r="D339" s="1">
        <f>IFERROR(__xludf.DUMMYFUNCTION("""COMPUTED_VALUE"""),15876.61)</f>
        <v>15876.61</v>
      </c>
      <c r="E339" s="1">
        <f>IFERROR(__xludf.DUMMYFUNCTION("""COMPUTED_VALUE"""),15952.57)</f>
        <v>15952.57</v>
      </c>
      <c r="F339" s="1">
        <f>IFERROR(__xludf.DUMMYFUNCTION("""COMPUTED_VALUE"""),54077.0)</f>
        <v>54077</v>
      </c>
    </row>
    <row r="340">
      <c r="A340" s="2">
        <f>IFERROR(__xludf.DUMMYFUNCTION("""COMPUTED_VALUE"""),44687.64583333333)</f>
        <v>44687.64583</v>
      </c>
      <c r="B340" s="1">
        <f>IFERROR(__xludf.DUMMYFUNCTION("""COMPUTED_VALUE"""),15610.73)</f>
        <v>15610.73</v>
      </c>
      <c r="C340" s="1">
        <f>IFERROR(__xludf.DUMMYFUNCTION("""COMPUTED_VALUE"""),15724.68)</f>
        <v>15724.68</v>
      </c>
      <c r="D340" s="1">
        <f>IFERROR(__xludf.DUMMYFUNCTION("""COMPUTED_VALUE"""),15382.84)</f>
        <v>15382.84</v>
      </c>
      <c r="E340" s="1">
        <f>IFERROR(__xludf.DUMMYFUNCTION("""COMPUTED_VALUE"""),15496.79)</f>
        <v>15496.79</v>
      </c>
      <c r="F340" s="1">
        <f>IFERROR(__xludf.DUMMYFUNCTION("""COMPUTED_VALUE"""),54651.0)</f>
        <v>54651</v>
      </c>
    </row>
    <row r="341">
      <c r="A341" s="2">
        <f>IFERROR(__xludf.DUMMYFUNCTION("""COMPUTED_VALUE"""),44690.64583333333)</f>
        <v>44690.64583</v>
      </c>
      <c r="B341" s="1">
        <f>IFERROR(__xludf.DUMMYFUNCTION("""COMPUTED_VALUE"""),15230.91)</f>
        <v>15230.91</v>
      </c>
      <c r="C341" s="1">
        <f>IFERROR(__xludf.DUMMYFUNCTION("""COMPUTED_VALUE"""),15382.84)</f>
        <v>15382.84</v>
      </c>
      <c r="D341" s="1">
        <f>IFERROR(__xludf.DUMMYFUNCTION("""COMPUTED_VALUE"""),14737.14)</f>
        <v>14737.14</v>
      </c>
      <c r="E341" s="1">
        <f>IFERROR(__xludf.DUMMYFUNCTION("""COMPUTED_VALUE"""),14813.1)</f>
        <v>14813.1</v>
      </c>
      <c r="F341" s="1">
        <f>IFERROR(__xludf.DUMMYFUNCTION("""COMPUTED_VALUE"""),136872.0)</f>
        <v>136872</v>
      </c>
    </row>
    <row r="342">
      <c r="A342" s="2">
        <f>IFERROR(__xludf.DUMMYFUNCTION("""COMPUTED_VALUE"""),44691.64583333333)</f>
        <v>44691.64583</v>
      </c>
      <c r="B342" s="1">
        <f>IFERROR(__xludf.DUMMYFUNCTION("""COMPUTED_VALUE"""),14433.28)</f>
        <v>14433.28</v>
      </c>
      <c r="C342" s="1">
        <f>IFERROR(__xludf.DUMMYFUNCTION("""COMPUTED_VALUE"""),14623.19)</f>
        <v>14623.19</v>
      </c>
      <c r="D342" s="1">
        <f>IFERROR(__xludf.DUMMYFUNCTION("""COMPUTED_VALUE"""),13901.53)</f>
        <v>13901.53</v>
      </c>
      <c r="E342" s="1">
        <f>IFERROR(__xludf.DUMMYFUNCTION("""COMPUTED_VALUE"""),14509.25)</f>
        <v>14509.25</v>
      </c>
      <c r="F342" s="1">
        <f>IFERROR(__xludf.DUMMYFUNCTION("""COMPUTED_VALUE"""),117108.0)</f>
        <v>117108</v>
      </c>
    </row>
    <row r="343">
      <c r="A343" s="2">
        <f>IFERROR(__xludf.DUMMYFUNCTION("""COMPUTED_VALUE"""),44692.64583333333)</f>
        <v>44692.64583</v>
      </c>
      <c r="B343" s="1">
        <f>IFERROR(__xludf.DUMMYFUNCTION("""COMPUTED_VALUE"""),14509.25)</f>
        <v>14509.25</v>
      </c>
      <c r="C343" s="1">
        <f>IFERROR(__xludf.DUMMYFUNCTION("""COMPUTED_VALUE"""),14851.09)</f>
        <v>14851.09</v>
      </c>
      <c r="D343" s="1">
        <f>IFERROR(__xludf.DUMMYFUNCTION("""COMPUTED_VALUE"""),14167.4)</f>
        <v>14167.4</v>
      </c>
      <c r="E343" s="1">
        <f>IFERROR(__xludf.DUMMYFUNCTION("""COMPUTED_VALUE"""),14281.35)</f>
        <v>14281.35</v>
      </c>
      <c r="F343" s="1">
        <f>IFERROR(__xludf.DUMMYFUNCTION("""COMPUTED_VALUE"""),57818.0)</f>
        <v>57818</v>
      </c>
    </row>
    <row r="344">
      <c r="A344" s="2">
        <f>IFERROR(__xludf.DUMMYFUNCTION("""COMPUTED_VALUE"""),44693.64583333333)</f>
        <v>44693.64583</v>
      </c>
      <c r="B344" s="1">
        <f>IFERROR(__xludf.DUMMYFUNCTION("""COMPUTED_VALUE"""),14015.47)</f>
        <v>14015.47</v>
      </c>
      <c r="C344" s="1">
        <f>IFERROR(__xludf.DUMMYFUNCTION("""COMPUTED_VALUE"""),14015.47)</f>
        <v>14015.47</v>
      </c>
      <c r="D344" s="1">
        <f>IFERROR(__xludf.DUMMYFUNCTION("""COMPUTED_VALUE"""),13141.88)</f>
        <v>13141.88</v>
      </c>
      <c r="E344" s="1">
        <f>IFERROR(__xludf.DUMMYFUNCTION("""COMPUTED_VALUE"""),13293.81)</f>
        <v>13293.81</v>
      </c>
      <c r="F344" s="1">
        <f>IFERROR(__xludf.DUMMYFUNCTION("""COMPUTED_VALUE"""),113336.0)</f>
        <v>113336</v>
      </c>
    </row>
    <row r="345">
      <c r="A345" s="2">
        <f>IFERROR(__xludf.DUMMYFUNCTION("""COMPUTED_VALUE"""),44694.64583333333)</f>
        <v>44694.64583</v>
      </c>
      <c r="B345" s="1">
        <f>IFERROR(__xludf.DUMMYFUNCTION("""COMPUTED_VALUE"""),13331.79)</f>
        <v>13331.79</v>
      </c>
      <c r="C345" s="1">
        <f>IFERROR(__xludf.DUMMYFUNCTION("""COMPUTED_VALUE"""),13711.62)</f>
        <v>13711.62</v>
      </c>
      <c r="D345" s="1">
        <f>IFERROR(__xludf.DUMMYFUNCTION("""COMPUTED_VALUE"""),13331.79)</f>
        <v>13331.79</v>
      </c>
      <c r="E345" s="1">
        <f>IFERROR(__xludf.DUMMYFUNCTION("""COMPUTED_VALUE"""),13597.67)</f>
        <v>13597.67</v>
      </c>
      <c r="F345" s="1">
        <f>IFERROR(__xludf.DUMMYFUNCTION("""COMPUTED_VALUE"""),73442.0)</f>
        <v>73442</v>
      </c>
    </row>
    <row r="346">
      <c r="A346" s="2">
        <f>IFERROR(__xludf.DUMMYFUNCTION("""COMPUTED_VALUE"""),44697.64583333333)</f>
        <v>44697.64583</v>
      </c>
      <c r="B346" s="1">
        <f>IFERROR(__xludf.DUMMYFUNCTION("""COMPUTED_VALUE"""),13863.55)</f>
        <v>13863.55</v>
      </c>
      <c r="C346" s="1">
        <f>IFERROR(__xludf.DUMMYFUNCTION("""COMPUTED_VALUE"""),14167.4)</f>
        <v>14167.4</v>
      </c>
      <c r="D346" s="1">
        <f>IFERROR(__xludf.DUMMYFUNCTION("""COMPUTED_VALUE"""),13597.67)</f>
        <v>13597.67</v>
      </c>
      <c r="E346" s="1">
        <f>IFERROR(__xludf.DUMMYFUNCTION("""COMPUTED_VALUE"""),13673.63)</f>
        <v>13673.63</v>
      </c>
      <c r="F346" s="1">
        <f>IFERROR(__xludf.DUMMYFUNCTION("""COMPUTED_VALUE"""),50870.0)</f>
        <v>50870</v>
      </c>
    </row>
    <row r="347">
      <c r="A347" s="2">
        <f>IFERROR(__xludf.DUMMYFUNCTION("""COMPUTED_VALUE"""),44698.64583333333)</f>
        <v>44698.64583</v>
      </c>
      <c r="B347" s="1">
        <f>IFERROR(__xludf.DUMMYFUNCTION("""COMPUTED_VALUE"""),13673.63)</f>
        <v>13673.63</v>
      </c>
      <c r="C347" s="1">
        <f>IFERROR(__xludf.DUMMYFUNCTION("""COMPUTED_VALUE"""),13787.58)</f>
        <v>13787.58</v>
      </c>
      <c r="D347" s="1">
        <f>IFERROR(__xludf.DUMMYFUNCTION("""COMPUTED_VALUE"""),13445.74)</f>
        <v>13445.74</v>
      </c>
      <c r="E347" s="1">
        <f>IFERROR(__xludf.DUMMYFUNCTION("""COMPUTED_VALUE"""),13749.6)</f>
        <v>13749.6</v>
      </c>
      <c r="F347" s="1">
        <f>IFERROR(__xludf.DUMMYFUNCTION("""COMPUTED_VALUE"""),41447.0)</f>
        <v>41447</v>
      </c>
    </row>
    <row r="348">
      <c r="A348" s="2">
        <f>IFERROR(__xludf.DUMMYFUNCTION("""COMPUTED_VALUE"""),44699.64583333333)</f>
        <v>44699.64583</v>
      </c>
      <c r="B348" s="1">
        <f>IFERROR(__xludf.DUMMYFUNCTION("""COMPUTED_VALUE"""),13901.53)</f>
        <v>13901.53</v>
      </c>
      <c r="C348" s="1">
        <f>IFERROR(__xludf.DUMMYFUNCTION("""COMPUTED_VALUE"""),14091.44)</f>
        <v>14091.44</v>
      </c>
      <c r="D348" s="1">
        <f>IFERROR(__xludf.DUMMYFUNCTION("""COMPUTED_VALUE"""),13749.6)</f>
        <v>13749.6</v>
      </c>
      <c r="E348" s="1">
        <f>IFERROR(__xludf.DUMMYFUNCTION("""COMPUTED_VALUE"""),13787.58)</f>
        <v>13787.58</v>
      </c>
      <c r="F348" s="1">
        <f>IFERROR(__xludf.DUMMYFUNCTION("""COMPUTED_VALUE"""),48435.0)</f>
        <v>48435</v>
      </c>
    </row>
    <row r="349">
      <c r="A349" s="2">
        <f>IFERROR(__xludf.DUMMYFUNCTION("""COMPUTED_VALUE"""),44700.64583333333)</f>
        <v>44700.64583</v>
      </c>
      <c r="B349" s="1">
        <f>IFERROR(__xludf.DUMMYFUNCTION("""COMPUTED_VALUE"""),13217.85)</f>
        <v>13217.85</v>
      </c>
      <c r="C349" s="1">
        <f>IFERROR(__xludf.DUMMYFUNCTION("""COMPUTED_VALUE"""),13825.56)</f>
        <v>13825.56</v>
      </c>
      <c r="D349" s="1">
        <f>IFERROR(__xludf.DUMMYFUNCTION("""COMPUTED_VALUE"""),13217.85)</f>
        <v>13217.85</v>
      </c>
      <c r="E349" s="1">
        <f>IFERROR(__xludf.DUMMYFUNCTION("""COMPUTED_VALUE"""),13369.78)</f>
        <v>13369.78</v>
      </c>
      <c r="F349" s="1">
        <f>IFERROR(__xludf.DUMMYFUNCTION("""COMPUTED_VALUE"""),71308.0)</f>
        <v>71308</v>
      </c>
    </row>
    <row r="350">
      <c r="A350" s="2">
        <f>IFERROR(__xludf.DUMMYFUNCTION("""COMPUTED_VALUE"""),44701.64583333333)</f>
        <v>44701.64583</v>
      </c>
      <c r="B350" s="1">
        <f>IFERROR(__xludf.DUMMYFUNCTION("""COMPUTED_VALUE"""),13407.76)</f>
        <v>13407.76</v>
      </c>
      <c r="C350" s="1">
        <f>IFERROR(__xludf.DUMMYFUNCTION("""COMPUTED_VALUE"""),15458.8)</f>
        <v>15458.8</v>
      </c>
      <c r="D350" s="1">
        <f>IFERROR(__xludf.DUMMYFUNCTION("""COMPUTED_VALUE"""),13407.76)</f>
        <v>13407.76</v>
      </c>
      <c r="E350" s="1">
        <f>IFERROR(__xludf.DUMMYFUNCTION("""COMPUTED_VALUE"""),14319.33)</f>
        <v>14319.33</v>
      </c>
      <c r="F350" s="1">
        <f>IFERROR(__xludf.DUMMYFUNCTION("""COMPUTED_VALUE"""),392869.0)</f>
        <v>392869</v>
      </c>
    </row>
    <row r="351">
      <c r="A351" s="2">
        <f>IFERROR(__xludf.DUMMYFUNCTION("""COMPUTED_VALUE"""),44704.64583333333)</f>
        <v>44704.64583</v>
      </c>
      <c r="B351" s="1">
        <f>IFERROR(__xludf.DUMMYFUNCTION("""COMPUTED_VALUE"""),14509.25)</f>
        <v>14509.25</v>
      </c>
      <c r="C351" s="1">
        <f>IFERROR(__xludf.DUMMYFUNCTION("""COMPUTED_VALUE"""),14509.25)</f>
        <v>14509.25</v>
      </c>
      <c r="D351" s="1">
        <f>IFERROR(__xludf.DUMMYFUNCTION("""COMPUTED_VALUE"""),14091.44)</f>
        <v>14091.44</v>
      </c>
      <c r="E351" s="1">
        <f>IFERROR(__xludf.DUMMYFUNCTION("""COMPUTED_VALUE"""),14167.4)</f>
        <v>14167.4</v>
      </c>
      <c r="F351" s="1">
        <f>IFERROR(__xludf.DUMMYFUNCTION("""COMPUTED_VALUE"""),70355.0)</f>
        <v>70355</v>
      </c>
    </row>
    <row r="352">
      <c r="A352" s="2">
        <f>IFERROR(__xludf.DUMMYFUNCTION("""COMPUTED_VALUE"""),44705.64583333333)</f>
        <v>44705.64583</v>
      </c>
      <c r="B352" s="1">
        <f>IFERROR(__xludf.DUMMYFUNCTION("""COMPUTED_VALUE"""),14167.4)</f>
        <v>14167.4</v>
      </c>
      <c r="C352" s="1">
        <f>IFERROR(__xludf.DUMMYFUNCTION("""COMPUTED_VALUE"""),14547.23)</f>
        <v>14547.23</v>
      </c>
      <c r="D352" s="1">
        <f>IFERROR(__xludf.DUMMYFUNCTION("""COMPUTED_VALUE"""),13977.49)</f>
        <v>13977.49</v>
      </c>
      <c r="E352" s="1">
        <f>IFERROR(__xludf.DUMMYFUNCTION("""COMPUTED_VALUE"""),13977.49)</f>
        <v>13977.49</v>
      </c>
      <c r="F352" s="1">
        <f>IFERROR(__xludf.DUMMYFUNCTION("""COMPUTED_VALUE"""),84442.0)</f>
        <v>84442</v>
      </c>
    </row>
    <row r="353">
      <c r="A353" s="2">
        <f>IFERROR(__xludf.DUMMYFUNCTION("""COMPUTED_VALUE"""),44706.64583333333)</f>
        <v>44706.64583</v>
      </c>
      <c r="B353" s="1">
        <f>IFERROR(__xludf.DUMMYFUNCTION("""COMPUTED_VALUE"""),13977.49)</f>
        <v>13977.49</v>
      </c>
      <c r="C353" s="1">
        <f>IFERROR(__xludf.DUMMYFUNCTION("""COMPUTED_VALUE"""),14357.32)</f>
        <v>14357.32</v>
      </c>
      <c r="D353" s="1">
        <f>IFERROR(__xludf.DUMMYFUNCTION("""COMPUTED_VALUE"""),13863.55)</f>
        <v>13863.55</v>
      </c>
      <c r="E353" s="1">
        <f>IFERROR(__xludf.DUMMYFUNCTION("""COMPUTED_VALUE"""),14205.39)</f>
        <v>14205.39</v>
      </c>
      <c r="F353" s="1">
        <f>IFERROR(__xludf.DUMMYFUNCTION("""COMPUTED_VALUE"""),39120.0)</f>
        <v>39120</v>
      </c>
    </row>
    <row r="354">
      <c r="A354" s="2">
        <f>IFERROR(__xludf.DUMMYFUNCTION("""COMPUTED_VALUE"""),44707.64583333333)</f>
        <v>44707.64583</v>
      </c>
      <c r="B354" s="1">
        <f>IFERROR(__xludf.DUMMYFUNCTION("""COMPUTED_VALUE"""),14243.37)</f>
        <v>14243.37</v>
      </c>
      <c r="C354" s="1">
        <f>IFERROR(__xludf.DUMMYFUNCTION("""COMPUTED_VALUE"""),14813.1)</f>
        <v>14813.1</v>
      </c>
      <c r="D354" s="1">
        <f>IFERROR(__xludf.DUMMYFUNCTION("""COMPUTED_VALUE"""),14091.44)</f>
        <v>14091.44</v>
      </c>
      <c r="E354" s="1">
        <f>IFERROR(__xludf.DUMMYFUNCTION("""COMPUTED_VALUE"""),14205.39)</f>
        <v>14205.39</v>
      </c>
      <c r="F354" s="1">
        <f>IFERROR(__xludf.DUMMYFUNCTION("""COMPUTED_VALUE"""),87588.0)</f>
        <v>87588</v>
      </c>
    </row>
    <row r="355">
      <c r="A355" s="2">
        <f>IFERROR(__xludf.DUMMYFUNCTION("""COMPUTED_VALUE"""),44708.64583333333)</f>
        <v>44708.64583</v>
      </c>
      <c r="B355" s="1">
        <f>IFERROR(__xludf.DUMMYFUNCTION("""COMPUTED_VALUE"""),14357.32)</f>
        <v>14357.32</v>
      </c>
      <c r="C355" s="1">
        <f>IFERROR(__xludf.DUMMYFUNCTION("""COMPUTED_VALUE"""),14509.25)</f>
        <v>14509.25</v>
      </c>
      <c r="D355" s="1">
        <f>IFERROR(__xludf.DUMMYFUNCTION("""COMPUTED_VALUE"""),14129.42)</f>
        <v>14129.42</v>
      </c>
      <c r="E355" s="1">
        <f>IFERROR(__xludf.DUMMYFUNCTION("""COMPUTED_VALUE"""),14205.39)</f>
        <v>14205.39</v>
      </c>
      <c r="F355" s="1">
        <f>IFERROR(__xludf.DUMMYFUNCTION("""COMPUTED_VALUE"""),42938.0)</f>
        <v>42938</v>
      </c>
    </row>
    <row r="356">
      <c r="A356" s="2">
        <f>IFERROR(__xludf.DUMMYFUNCTION("""COMPUTED_VALUE"""),44711.64583333333)</f>
        <v>44711.64583</v>
      </c>
      <c r="B356" s="1">
        <f>IFERROR(__xludf.DUMMYFUNCTION("""COMPUTED_VALUE"""),14357.32)</f>
        <v>14357.32</v>
      </c>
      <c r="C356" s="1">
        <f>IFERROR(__xludf.DUMMYFUNCTION("""COMPUTED_VALUE"""),14661.17)</f>
        <v>14661.17</v>
      </c>
      <c r="D356" s="1">
        <f>IFERROR(__xludf.DUMMYFUNCTION("""COMPUTED_VALUE"""),14281.35)</f>
        <v>14281.35</v>
      </c>
      <c r="E356" s="1">
        <f>IFERROR(__xludf.DUMMYFUNCTION("""COMPUTED_VALUE"""),14547.23)</f>
        <v>14547.23</v>
      </c>
      <c r="F356" s="1">
        <f>IFERROR(__xludf.DUMMYFUNCTION("""COMPUTED_VALUE"""),45084.0)</f>
        <v>45084</v>
      </c>
    </row>
    <row r="357">
      <c r="A357" s="2">
        <f>IFERROR(__xludf.DUMMYFUNCTION("""COMPUTED_VALUE"""),44712.64583333333)</f>
        <v>44712.64583</v>
      </c>
      <c r="B357" s="1">
        <f>IFERROR(__xludf.DUMMYFUNCTION("""COMPUTED_VALUE"""),14813.1)</f>
        <v>14813.1</v>
      </c>
      <c r="C357" s="1">
        <f>IFERROR(__xludf.DUMMYFUNCTION("""COMPUTED_VALUE"""),14813.1)</f>
        <v>14813.1</v>
      </c>
      <c r="D357" s="1">
        <f>IFERROR(__xludf.DUMMYFUNCTION("""COMPUTED_VALUE"""),14319.33)</f>
        <v>14319.33</v>
      </c>
      <c r="E357" s="1">
        <f>IFERROR(__xludf.DUMMYFUNCTION("""COMPUTED_VALUE"""),14661.17)</f>
        <v>14661.17</v>
      </c>
      <c r="F357" s="1">
        <f>IFERROR(__xludf.DUMMYFUNCTION("""COMPUTED_VALUE"""),34914.0)</f>
        <v>34914</v>
      </c>
    </row>
    <row r="358">
      <c r="A358" s="2">
        <f>IFERROR(__xludf.DUMMYFUNCTION("""COMPUTED_VALUE"""),44714.64583333333)</f>
        <v>44714.64583</v>
      </c>
      <c r="B358" s="1">
        <f>IFERROR(__xludf.DUMMYFUNCTION("""COMPUTED_VALUE"""),14623.19)</f>
        <v>14623.19</v>
      </c>
      <c r="C358" s="1">
        <f>IFERROR(__xludf.DUMMYFUNCTION("""COMPUTED_VALUE"""),14699.16)</f>
        <v>14699.16</v>
      </c>
      <c r="D358" s="1">
        <f>IFERROR(__xludf.DUMMYFUNCTION("""COMPUTED_VALUE"""),14357.32)</f>
        <v>14357.32</v>
      </c>
      <c r="E358" s="1">
        <f>IFERROR(__xludf.DUMMYFUNCTION("""COMPUTED_VALUE"""),14509.25)</f>
        <v>14509.25</v>
      </c>
      <c r="F358" s="1">
        <f>IFERROR(__xludf.DUMMYFUNCTION("""COMPUTED_VALUE"""),27262.0)</f>
        <v>27262</v>
      </c>
    </row>
    <row r="359">
      <c r="A359" s="2">
        <f>IFERROR(__xludf.DUMMYFUNCTION("""COMPUTED_VALUE"""),44715.64583333333)</f>
        <v>44715.64583</v>
      </c>
      <c r="B359" s="1">
        <f>IFERROR(__xludf.DUMMYFUNCTION("""COMPUTED_VALUE"""),14661.17)</f>
        <v>14661.17</v>
      </c>
      <c r="C359" s="1">
        <f>IFERROR(__xludf.DUMMYFUNCTION("""COMPUTED_VALUE"""),14889.07)</f>
        <v>14889.07</v>
      </c>
      <c r="D359" s="1">
        <f>IFERROR(__xludf.DUMMYFUNCTION("""COMPUTED_VALUE"""),14585.21)</f>
        <v>14585.21</v>
      </c>
      <c r="E359" s="1">
        <f>IFERROR(__xludf.DUMMYFUNCTION("""COMPUTED_VALUE"""),14623.19)</f>
        <v>14623.19</v>
      </c>
      <c r="F359" s="1">
        <f>IFERROR(__xludf.DUMMYFUNCTION("""COMPUTED_VALUE"""),39733.0)</f>
        <v>39733</v>
      </c>
    </row>
    <row r="360">
      <c r="A360" s="2">
        <f>IFERROR(__xludf.DUMMYFUNCTION("""COMPUTED_VALUE"""),44719.64583333333)</f>
        <v>44719.64583</v>
      </c>
      <c r="B360" s="1">
        <f>IFERROR(__xludf.DUMMYFUNCTION("""COMPUTED_VALUE"""),14623.19)</f>
        <v>14623.19</v>
      </c>
      <c r="C360" s="1">
        <f>IFERROR(__xludf.DUMMYFUNCTION("""COMPUTED_VALUE"""),14623.19)</f>
        <v>14623.19</v>
      </c>
      <c r="D360" s="1">
        <f>IFERROR(__xludf.DUMMYFUNCTION("""COMPUTED_VALUE"""),14053.46)</f>
        <v>14053.46</v>
      </c>
      <c r="E360" s="1">
        <f>IFERROR(__xludf.DUMMYFUNCTION("""COMPUTED_VALUE"""),14053.46)</f>
        <v>14053.46</v>
      </c>
      <c r="F360" s="1">
        <f>IFERROR(__xludf.DUMMYFUNCTION("""COMPUTED_VALUE"""),42161.0)</f>
        <v>42161</v>
      </c>
    </row>
    <row r="361">
      <c r="A361" s="2">
        <f>IFERROR(__xludf.DUMMYFUNCTION("""COMPUTED_VALUE"""),44720.64583333333)</f>
        <v>44720.64583</v>
      </c>
      <c r="B361" s="1">
        <f>IFERROR(__xludf.DUMMYFUNCTION("""COMPUTED_VALUE"""),14091.44)</f>
        <v>14091.44</v>
      </c>
      <c r="C361" s="1">
        <f>IFERROR(__xludf.DUMMYFUNCTION("""COMPUTED_VALUE"""),14167.4)</f>
        <v>14167.4</v>
      </c>
      <c r="D361" s="1">
        <f>IFERROR(__xludf.DUMMYFUNCTION("""COMPUTED_VALUE"""),13901.53)</f>
        <v>13901.53</v>
      </c>
      <c r="E361" s="1">
        <f>IFERROR(__xludf.DUMMYFUNCTION("""COMPUTED_VALUE"""),13939.51)</f>
        <v>13939.51</v>
      </c>
      <c r="F361" s="1">
        <f>IFERROR(__xludf.DUMMYFUNCTION("""COMPUTED_VALUE"""),22429.0)</f>
        <v>22429</v>
      </c>
    </row>
    <row r="362">
      <c r="A362" s="2">
        <f>IFERROR(__xludf.DUMMYFUNCTION("""COMPUTED_VALUE"""),44721.64583333333)</f>
        <v>44721.64583</v>
      </c>
      <c r="B362" s="1">
        <f>IFERROR(__xludf.DUMMYFUNCTION("""COMPUTED_VALUE"""),13863.55)</f>
        <v>13863.55</v>
      </c>
      <c r="C362" s="1">
        <f>IFERROR(__xludf.DUMMYFUNCTION("""COMPUTED_VALUE"""),13939.51)</f>
        <v>13939.51</v>
      </c>
      <c r="D362" s="1">
        <f>IFERROR(__xludf.DUMMYFUNCTION("""COMPUTED_VALUE"""),13673.63)</f>
        <v>13673.63</v>
      </c>
      <c r="E362" s="1">
        <f>IFERROR(__xludf.DUMMYFUNCTION("""COMPUTED_VALUE"""),13711.62)</f>
        <v>13711.62</v>
      </c>
      <c r="F362" s="1">
        <f>IFERROR(__xludf.DUMMYFUNCTION("""COMPUTED_VALUE"""),27850.0)</f>
        <v>27850</v>
      </c>
    </row>
    <row r="363">
      <c r="A363" s="2">
        <f>IFERROR(__xludf.DUMMYFUNCTION("""COMPUTED_VALUE"""),44722.64583333333)</f>
        <v>44722.64583</v>
      </c>
      <c r="B363" s="1">
        <f>IFERROR(__xludf.DUMMYFUNCTION("""COMPUTED_VALUE"""),13635.65)</f>
        <v>13635.65</v>
      </c>
      <c r="C363" s="1">
        <f>IFERROR(__xludf.DUMMYFUNCTION("""COMPUTED_VALUE"""),13825.56)</f>
        <v>13825.56</v>
      </c>
      <c r="D363" s="1">
        <f>IFERROR(__xludf.DUMMYFUNCTION("""COMPUTED_VALUE"""),13597.67)</f>
        <v>13597.67</v>
      </c>
      <c r="E363" s="1">
        <f>IFERROR(__xludf.DUMMYFUNCTION("""COMPUTED_VALUE"""),13787.58)</f>
        <v>13787.58</v>
      </c>
      <c r="F363" s="1">
        <f>IFERROR(__xludf.DUMMYFUNCTION("""COMPUTED_VALUE"""),24996.0)</f>
        <v>24996</v>
      </c>
    </row>
    <row r="364">
      <c r="A364" s="2">
        <f>IFERROR(__xludf.DUMMYFUNCTION("""COMPUTED_VALUE"""),44725.64583333333)</f>
        <v>44725.64583</v>
      </c>
      <c r="B364" s="1">
        <f>IFERROR(__xludf.DUMMYFUNCTION("""COMPUTED_VALUE"""),13331.79)</f>
        <v>13331.79</v>
      </c>
      <c r="C364" s="1">
        <f>IFERROR(__xludf.DUMMYFUNCTION("""COMPUTED_VALUE"""),13483.72)</f>
        <v>13483.72</v>
      </c>
      <c r="D364" s="1">
        <f>IFERROR(__xludf.DUMMYFUNCTION("""COMPUTED_VALUE"""),12724.08)</f>
        <v>12724.08</v>
      </c>
      <c r="E364" s="1">
        <f>IFERROR(__xludf.DUMMYFUNCTION("""COMPUTED_VALUE"""),12762.06)</f>
        <v>12762.06</v>
      </c>
      <c r="F364" s="1">
        <f>IFERROR(__xludf.DUMMYFUNCTION("""COMPUTED_VALUE"""),76862.0)</f>
        <v>76862</v>
      </c>
    </row>
    <row r="365">
      <c r="A365" s="2">
        <f>IFERROR(__xludf.DUMMYFUNCTION("""COMPUTED_VALUE"""),44726.64583333333)</f>
        <v>44726.64583</v>
      </c>
      <c r="B365" s="1">
        <f>IFERROR(__xludf.DUMMYFUNCTION("""COMPUTED_VALUE"""),12230.31)</f>
        <v>12230.31</v>
      </c>
      <c r="C365" s="1">
        <f>IFERROR(__xludf.DUMMYFUNCTION("""COMPUTED_VALUE"""),12534.16)</f>
        <v>12534.16</v>
      </c>
      <c r="D365" s="1">
        <f>IFERROR(__xludf.DUMMYFUNCTION("""COMPUTED_VALUE"""),11888.47)</f>
        <v>11888.47</v>
      </c>
      <c r="E365" s="1">
        <f>IFERROR(__xludf.DUMMYFUNCTION("""COMPUTED_VALUE"""),12230.31)</f>
        <v>12230.31</v>
      </c>
      <c r="F365" s="1">
        <f>IFERROR(__xludf.DUMMYFUNCTION("""COMPUTED_VALUE"""),86129.0)</f>
        <v>86129</v>
      </c>
    </row>
    <row r="366">
      <c r="A366" s="2">
        <f>IFERROR(__xludf.DUMMYFUNCTION("""COMPUTED_VALUE"""),44727.64583333333)</f>
        <v>44727.64583</v>
      </c>
      <c r="B366" s="1">
        <f>IFERROR(__xludf.DUMMYFUNCTION("""COMPUTED_VALUE"""),12002.41)</f>
        <v>12002.41</v>
      </c>
      <c r="C366" s="1">
        <f>IFERROR(__xludf.DUMMYFUNCTION("""COMPUTED_VALUE"""),12230.31)</f>
        <v>12230.31</v>
      </c>
      <c r="D366" s="1">
        <f>IFERROR(__xludf.DUMMYFUNCTION("""COMPUTED_VALUE"""),11166.8)</f>
        <v>11166.8</v>
      </c>
      <c r="E366" s="1">
        <f>IFERROR(__xludf.DUMMYFUNCTION("""COMPUTED_VALUE"""),11394.7)</f>
        <v>11394.7</v>
      </c>
      <c r="F366" s="1">
        <f>IFERROR(__xludf.DUMMYFUNCTION("""COMPUTED_VALUE"""),131667.0)</f>
        <v>131667</v>
      </c>
    </row>
    <row r="367">
      <c r="A367" s="2">
        <f>IFERROR(__xludf.DUMMYFUNCTION("""COMPUTED_VALUE"""),44729.64583333333)</f>
        <v>44729.64583</v>
      </c>
      <c r="B367" s="1">
        <f>IFERROR(__xludf.DUMMYFUNCTION("""COMPUTED_VALUE"""),11090.84)</f>
        <v>11090.84</v>
      </c>
      <c r="C367" s="1">
        <f>IFERROR(__xludf.DUMMYFUNCTION("""COMPUTED_VALUE"""),11850.48)</f>
        <v>11850.48</v>
      </c>
      <c r="D367" s="1">
        <f>IFERROR(__xludf.DUMMYFUNCTION("""COMPUTED_VALUE"""),10938.91)</f>
        <v>10938.91</v>
      </c>
      <c r="E367" s="1">
        <f>IFERROR(__xludf.DUMMYFUNCTION("""COMPUTED_VALUE"""),11660.57)</f>
        <v>11660.57</v>
      </c>
      <c r="F367" s="1">
        <f>IFERROR(__xludf.DUMMYFUNCTION("""COMPUTED_VALUE"""),52512.0)</f>
        <v>52512</v>
      </c>
    </row>
    <row r="368">
      <c r="A368" s="2">
        <f>IFERROR(__xludf.DUMMYFUNCTION("""COMPUTED_VALUE"""),44732.64583333333)</f>
        <v>44732.64583</v>
      </c>
      <c r="B368" s="1">
        <f>IFERROR(__xludf.DUMMYFUNCTION("""COMPUTED_VALUE"""),11660.57)</f>
        <v>11660.57</v>
      </c>
      <c r="C368" s="1">
        <f>IFERROR(__xludf.DUMMYFUNCTION("""COMPUTED_VALUE"""),11698.55)</f>
        <v>11698.55</v>
      </c>
      <c r="D368" s="1">
        <f>IFERROR(__xludf.DUMMYFUNCTION("""COMPUTED_VALUE"""),10711.01)</f>
        <v>10711.01</v>
      </c>
      <c r="E368" s="1">
        <f>IFERROR(__xludf.DUMMYFUNCTION("""COMPUTED_VALUE"""),10900.92)</f>
        <v>10900.92</v>
      </c>
      <c r="F368" s="1">
        <f>IFERROR(__xludf.DUMMYFUNCTION("""COMPUTED_VALUE"""),69507.0)</f>
        <v>69507</v>
      </c>
    </row>
    <row r="369">
      <c r="A369" s="2">
        <f>IFERROR(__xludf.DUMMYFUNCTION("""COMPUTED_VALUE"""),44733.64583333333)</f>
        <v>44733.64583</v>
      </c>
      <c r="B369" s="1">
        <f>IFERROR(__xludf.DUMMYFUNCTION("""COMPUTED_VALUE"""),10862.94)</f>
        <v>10862.94</v>
      </c>
      <c r="C369" s="1">
        <f>IFERROR(__xludf.DUMMYFUNCTION("""COMPUTED_VALUE"""),11166.8)</f>
        <v>11166.8</v>
      </c>
      <c r="D369" s="1">
        <f>IFERROR(__xludf.DUMMYFUNCTION("""COMPUTED_VALUE"""),10711.01)</f>
        <v>10711.01</v>
      </c>
      <c r="E369" s="1">
        <f>IFERROR(__xludf.DUMMYFUNCTION("""COMPUTED_VALUE"""),10938.91)</f>
        <v>10938.91</v>
      </c>
      <c r="F369" s="1">
        <f>IFERROR(__xludf.DUMMYFUNCTION("""COMPUTED_VALUE"""),58778.0)</f>
        <v>58778</v>
      </c>
    </row>
    <row r="370">
      <c r="A370" s="2">
        <f>IFERROR(__xludf.DUMMYFUNCTION("""COMPUTED_VALUE"""),44734.64583333333)</f>
        <v>44734.64583</v>
      </c>
      <c r="B370" s="1">
        <f>IFERROR(__xludf.DUMMYFUNCTION("""COMPUTED_VALUE"""),11014.87)</f>
        <v>11014.87</v>
      </c>
      <c r="C370" s="1">
        <f>IFERROR(__xludf.DUMMYFUNCTION("""COMPUTED_VALUE"""),11128.82)</f>
        <v>11128.82</v>
      </c>
      <c r="D370" s="1">
        <f>IFERROR(__xludf.DUMMYFUNCTION("""COMPUTED_VALUE"""),10103.3)</f>
        <v>10103.3</v>
      </c>
      <c r="E370" s="1">
        <f>IFERROR(__xludf.DUMMYFUNCTION("""COMPUTED_VALUE"""),10217.24)</f>
        <v>10217.24</v>
      </c>
      <c r="F370" s="1">
        <f>IFERROR(__xludf.DUMMYFUNCTION("""COMPUTED_VALUE"""),78426.0)</f>
        <v>78426</v>
      </c>
    </row>
    <row r="371">
      <c r="A371" s="2">
        <f>IFERROR(__xludf.DUMMYFUNCTION("""COMPUTED_VALUE"""),44735.64583333333)</f>
        <v>44735.64583</v>
      </c>
      <c r="B371" s="1">
        <f>IFERROR(__xludf.DUMMYFUNCTION("""COMPUTED_VALUE"""),9951.37)</f>
        <v>9951.37</v>
      </c>
      <c r="C371" s="1">
        <f>IFERROR(__xludf.DUMMYFUNCTION("""COMPUTED_VALUE"""),10217.24)</f>
        <v>10217.24</v>
      </c>
      <c r="D371" s="1">
        <f>IFERROR(__xludf.DUMMYFUNCTION("""COMPUTED_VALUE"""),9495.58)</f>
        <v>9495.58</v>
      </c>
      <c r="E371" s="1">
        <f>IFERROR(__xludf.DUMMYFUNCTION("""COMPUTED_VALUE"""),9495.58)</f>
        <v>9495.58</v>
      </c>
      <c r="F371" s="1">
        <f>IFERROR(__xludf.DUMMYFUNCTION("""COMPUTED_VALUE"""),94186.0)</f>
        <v>94186</v>
      </c>
    </row>
    <row r="372">
      <c r="A372" s="2">
        <f>IFERROR(__xludf.DUMMYFUNCTION("""COMPUTED_VALUE"""),44736.64583333333)</f>
        <v>44736.64583</v>
      </c>
      <c r="B372" s="1">
        <f>IFERROR(__xludf.DUMMYFUNCTION("""COMPUTED_VALUE"""),9229.7)</f>
        <v>9229.7</v>
      </c>
      <c r="C372" s="1">
        <f>IFERROR(__xludf.DUMMYFUNCTION("""COMPUTED_VALUE"""),10331.19)</f>
        <v>10331.19</v>
      </c>
      <c r="D372" s="1">
        <f>IFERROR(__xludf.DUMMYFUNCTION("""COMPUTED_VALUE"""),9229.7)</f>
        <v>9229.7</v>
      </c>
      <c r="E372" s="1">
        <f>IFERROR(__xludf.DUMMYFUNCTION("""COMPUTED_VALUE"""),10331.19)</f>
        <v>10331.19</v>
      </c>
      <c r="F372" s="1">
        <f>IFERROR(__xludf.DUMMYFUNCTION("""COMPUTED_VALUE"""),124317.0)</f>
        <v>124317</v>
      </c>
    </row>
    <row r="373">
      <c r="A373" s="2">
        <f>IFERROR(__xludf.DUMMYFUNCTION("""COMPUTED_VALUE"""),44739.64583333333)</f>
        <v>44739.64583</v>
      </c>
      <c r="B373" s="1">
        <f>IFERROR(__xludf.DUMMYFUNCTION("""COMPUTED_VALUE"""),10331.19)</f>
        <v>10331.19</v>
      </c>
      <c r="C373" s="1">
        <f>IFERROR(__xludf.DUMMYFUNCTION("""COMPUTED_VALUE"""),10673.03)</f>
        <v>10673.03</v>
      </c>
      <c r="D373" s="1">
        <f>IFERROR(__xludf.DUMMYFUNCTION("""COMPUTED_VALUE"""),10179.26)</f>
        <v>10179.26</v>
      </c>
      <c r="E373" s="1">
        <f>IFERROR(__xludf.DUMMYFUNCTION("""COMPUTED_VALUE"""),10597.07)</f>
        <v>10597.07</v>
      </c>
      <c r="F373" s="1">
        <f>IFERROR(__xludf.DUMMYFUNCTION("""COMPUTED_VALUE"""),46370.0)</f>
        <v>46370</v>
      </c>
    </row>
    <row r="374">
      <c r="A374" s="2">
        <f>IFERROR(__xludf.DUMMYFUNCTION("""COMPUTED_VALUE"""),44740.64583333333)</f>
        <v>44740.64583</v>
      </c>
      <c r="B374" s="1">
        <f>IFERROR(__xludf.DUMMYFUNCTION("""COMPUTED_VALUE"""),10369.17)</f>
        <v>10369.17</v>
      </c>
      <c r="C374" s="1">
        <f>IFERROR(__xludf.DUMMYFUNCTION("""COMPUTED_VALUE"""),10673.03)</f>
        <v>10673.03</v>
      </c>
      <c r="D374" s="1">
        <f>IFERROR(__xludf.DUMMYFUNCTION("""COMPUTED_VALUE"""),10331.19)</f>
        <v>10331.19</v>
      </c>
      <c r="E374" s="1">
        <f>IFERROR(__xludf.DUMMYFUNCTION("""COMPUTED_VALUE"""),10559.08)</f>
        <v>10559.08</v>
      </c>
      <c r="F374" s="1">
        <f>IFERROR(__xludf.DUMMYFUNCTION("""COMPUTED_VALUE"""),25397.0)</f>
        <v>25397</v>
      </c>
    </row>
    <row r="375">
      <c r="A375" s="2">
        <f>IFERROR(__xludf.DUMMYFUNCTION("""COMPUTED_VALUE"""),44741.64583333333)</f>
        <v>44741.64583</v>
      </c>
      <c r="B375" s="1">
        <f>IFERROR(__xludf.DUMMYFUNCTION("""COMPUTED_VALUE"""),10293.21)</f>
        <v>10293.21</v>
      </c>
      <c r="C375" s="1">
        <f>IFERROR(__xludf.DUMMYFUNCTION("""COMPUTED_VALUE"""),10521.1)</f>
        <v>10521.1</v>
      </c>
      <c r="D375" s="1">
        <f>IFERROR(__xludf.DUMMYFUNCTION("""COMPUTED_VALUE"""),10103.3)</f>
        <v>10103.3</v>
      </c>
      <c r="E375" s="1">
        <f>IFERROR(__xludf.DUMMYFUNCTION("""COMPUTED_VALUE"""),10331.19)</f>
        <v>10331.19</v>
      </c>
      <c r="F375" s="1">
        <f>IFERROR(__xludf.DUMMYFUNCTION("""COMPUTED_VALUE"""),29800.0)</f>
        <v>29800</v>
      </c>
    </row>
    <row r="376">
      <c r="A376" s="2">
        <f>IFERROR(__xludf.DUMMYFUNCTION("""COMPUTED_VALUE"""),44742.64583333333)</f>
        <v>44742.64583</v>
      </c>
      <c r="B376" s="1">
        <f>IFERROR(__xludf.DUMMYFUNCTION("""COMPUTED_VALUE"""),10331.19)</f>
        <v>10331.19</v>
      </c>
      <c r="C376" s="1">
        <f>IFERROR(__xludf.DUMMYFUNCTION("""COMPUTED_VALUE"""),10331.19)</f>
        <v>10331.19</v>
      </c>
      <c r="D376" s="1">
        <f>IFERROR(__xludf.DUMMYFUNCTION("""COMPUTED_VALUE"""),9799.44)</f>
        <v>9799.44</v>
      </c>
      <c r="E376" s="1">
        <f>IFERROR(__xludf.DUMMYFUNCTION("""COMPUTED_VALUE"""),9913.38)</f>
        <v>9913.38</v>
      </c>
      <c r="F376" s="1">
        <f>IFERROR(__xludf.DUMMYFUNCTION("""COMPUTED_VALUE"""),42139.0)</f>
        <v>42139</v>
      </c>
    </row>
    <row r="377">
      <c r="A377" s="2">
        <f>IFERROR(__xludf.DUMMYFUNCTION("""COMPUTED_VALUE"""),44743.64583333333)</f>
        <v>44743.64583</v>
      </c>
      <c r="B377" s="1">
        <f>IFERROR(__xludf.DUMMYFUNCTION("""COMPUTED_VALUE"""),9799.44)</f>
        <v>9799.44</v>
      </c>
      <c r="C377" s="1">
        <f>IFERROR(__xludf.DUMMYFUNCTION("""COMPUTED_VALUE"""),10065.31)</f>
        <v>10065.31</v>
      </c>
      <c r="D377" s="1">
        <f>IFERROR(__xludf.DUMMYFUNCTION("""COMPUTED_VALUE"""),9495.58)</f>
        <v>9495.58</v>
      </c>
      <c r="E377" s="1">
        <f>IFERROR(__xludf.DUMMYFUNCTION("""COMPUTED_VALUE"""),9647.51)</f>
        <v>9647.51</v>
      </c>
      <c r="F377" s="1">
        <f>IFERROR(__xludf.DUMMYFUNCTION("""COMPUTED_VALUE"""),33984.0)</f>
        <v>33984</v>
      </c>
    </row>
    <row r="378">
      <c r="A378" s="2">
        <f>IFERROR(__xludf.DUMMYFUNCTION("""COMPUTED_VALUE"""),44746.64583333333)</f>
        <v>44746.64583</v>
      </c>
      <c r="B378" s="1">
        <f>IFERROR(__xludf.DUMMYFUNCTION("""COMPUTED_VALUE"""),9571.54)</f>
        <v>9571.54</v>
      </c>
      <c r="C378" s="1">
        <f>IFERROR(__xludf.DUMMYFUNCTION("""COMPUTED_VALUE"""),9761.46)</f>
        <v>9761.46</v>
      </c>
      <c r="D378" s="1">
        <f>IFERROR(__xludf.DUMMYFUNCTION("""COMPUTED_VALUE"""),9153.74)</f>
        <v>9153.74</v>
      </c>
      <c r="E378" s="1">
        <f>IFERROR(__xludf.DUMMYFUNCTION("""COMPUTED_VALUE"""),9457.6)</f>
        <v>9457.6</v>
      </c>
      <c r="F378" s="1">
        <f>IFERROR(__xludf.DUMMYFUNCTION("""COMPUTED_VALUE"""),57449.0)</f>
        <v>57449</v>
      </c>
    </row>
    <row r="379">
      <c r="A379" s="2">
        <f>IFERROR(__xludf.DUMMYFUNCTION("""COMPUTED_VALUE"""),44747.64583333333)</f>
        <v>44747.64583</v>
      </c>
      <c r="B379" s="1">
        <f>IFERROR(__xludf.DUMMYFUNCTION("""COMPUTED_VALUE"""),9533.56)</f>
        <v>9533.56</v>
      </c>
      <c r="C379" s="1">
        <f>IFERROR(__xludf.DUMMYFUNCTION("""COMPUTED_VALUE"""),10103.3)</f>
        <v>10103.3</v>
      </c>
      <c r="D379" s="1">
        <f>IFERROR(__xludf.DUMMYFUNCTION("""COMPUTED_VALUE"""),9533.56)</f>
        <v>9533.56</v>
      </c>
      <c r="E379" s="1">
        <f>IFERROR(__xludf.DUMMYFUNCTION("""COMPUTED_VALUE"""),10027.33)</f>
        <v>10027.33</v>
      </c>
      <c r="F379" s="1">
        <f>IFERROR(__xludf.DUMMYFUNCTION("""COMPUTED_VALUE"""),59980.0)</f>
        <v>59980</v>
      </c>
    </row>
    <row r="380">
      <c r="A380" s="2">
        <f>IFERROR(__xludf.DUMMYFUNCTION("""COMPUTED_VALUE"""),44748.64583333333)</f>
        <v>44748.64583</v>
      </c>
      <c r="B380" s="1">
        <f>IFERROR(__xludf.DUMMYFUNCTION("""COMPUTED_VALUE"""),10141.28)</f>
        <v>10141.28</v>
      </c>
      <c r="C380" s="1">
        <f>IFERROR(__xludf.DUMMYFUNCTION("""COMPUTED_VALUE"""),10711.01)</f>
        <v>10711.01</v>
      </c>
      <c r="D380" s="1">
        <f>IFERROR(__xludf.DUMMYFUNCTION("""COMPUTED_VALUE"""),9951.37)</f>
        <v>9951.37</v>
      </c>
      <c r="E380" s="1">
        <f>IFERROR(__xludf.DUMMYFUNCTION("""COMPUTED_VALUE"""),10331.19)</f>
        <v>10331.19</v>
      </c>
      <c r="F380" s="1">
        <f>IFERROR(__xludf.DUMMYFUNCTION("""COMPUTED_VALUE"""),56838.0)</f>
        <v>56838</v>
      </c>
    </row>
    <row r="381">
      <c r="A381" s="2">
        <f>IFERROR(__xludf.DUMMYFUNCTION("""COMPUTED_VALUE"""),44749.64583333333)</f>
        <v>44749.64583</v>
      </c>
      <c r="B381" s="1">
        <f>IFERROR(__xludf.DUMMYFUNCTION("""COMPUTED_VALUE"""),10331.19)</f>
        <v>10331.19</v>
      </c>
      <c r="C381" s="1">
        <f>IFERROR(__xludf.DUMMYFUNCTION("""COMPUTED_VALUE"""),10597.07)</f>
        <v>10597.07</v>
      </c>
      <c r="D381" s="1">
        <f>IFERROR(__xludf.DUMMYFUNCTION("""COMPUTED_VALUE"""),10141.28)</f>
        <v>10141.28</v>
      </c>
      <c r="E381" s="1">
        <f>IFERROR(__xludf.DUMMYFUNCTION("""COMPUTED_VALUE"""),10483.12)</f>
        <v>10483.12</v>
      </c>
      <c r="F381" s="1">
        <f>IFERROR(__xludf.DUMMYFUNCTION("""COMPUTED_VALUE"""),35361.0)</f>
        <v>35361</v>
      </c>
    </row>
    <row r="382">
      <c r="A382" s="2">
        <f>IFERROR(__xludf.DUMMYFUNCTION("""COMPUTED_VALUE"""),44750.64583333333)</f>
        <v>44750.64583</v>
      </c>
      <c r="B382" s="1">
        <f>IFERROR(__xludf.DUMMYFUNCTION("""COMPUTED_VALUE"""),10786.98)</f>
        <v>10786.98</v>
      </c>
      <c r="C382" s="1">
        <f>IFERROR(__xludf.DUMMYFUNCTION("""COMPUTED_VALUE"""),10786.98)</f>
        <v>10786.98</v>
      </c>
      <c r="D382" s="1">
        <f>IFERROR(__xludf.DUMMYFUNCTION("""COMPUTED_VALUE"""),10331.19)</f>
        <v>10331.19</v>
      </c>
      <c r="E382" s="1">
        <f>IFERROR(__xludf.DUMMYFUNCTION("""COMPUTED_VALUE"""),10407.15)</f>
        <v>10407.15</v>
      </c>
      <c r="F382" s="1">
        <f>IFERROR(__xludf.DUMMYFUNCTION("""COMPUTED_VALUE"""),44232.0)</f>
        <v>44232</v>
      </c>
    </row>
    <row r="383">
      <c r="A383" s="2">
        <f>IFERROR(__xludf.DUMMYFUNCTION("""COMPUTED_VALUE"""),44753.64583333333)</f>
        <v>44753.64583</v>
      </c>
      <c r="B383" s="1">
        <f>IFERROR(__xludf.DUMMYFUNCTION("""COMPUTED_VALUE"""),10445.14)</f>
        <v>10445.14</v>
      </c>
      <c r="C383" s="1">
        <f>IFERROR(__xludf.DUMMYFUNCTION("""COMPUTED_VALUE"""),10635.05)</f>
        <v>10635.05</v>
      </c>
      <c r="D383" s="1">
        <f>IFERROR(__xludf.DUMMYFUNCTION("""COMPUTED_VALUE"""),10141.28)</f>
        <v>10141.28</v>
      </c>
      <c r="E383" s="1">
        <f>IFERROR(__xludf.DUMMYFUNCTION("""COMPUTED_VALUE"""),10369.17)</f>
        <v>10369.17</v>
      </c>
      <c r="F383" s="1">
        <f>IFERROR(__xludf.DUMMYFUNCTION("""COMPUTED_VALUE"""),35764.0)</f>
        <v>35764</v>
      </c>
    </row>
    <row r="384">
      <c r="A384" s="2">
        <f>IFERROR(__xludf.DUMMYFUNCTION("""COMPUTED_VALUE"""),44754.64583333333)</f>
        <v>44754.64583</v>
      </c>
      <c r="B384" s="1">
        <f>IFERROR(__xludf.DUMMYFUNCTION("""COMPUTED_VALUE"""),10179.26)</f>
        <v>10179.26</v>
      </c>
      <c r="C384" s="1">
        <f>IFERROR(__xludf.DUMMYFUNCTION("""COMPUTED_VALUE"""),10331.19)</f>
        <v>10331.19</v>
      </c>
      <c r="D384" s="1">
        <f>IFERROR(__xludf.DUMMYFUNCTION("""COMPUTED_VALUE"""),9875.4)</f>
        <v>9875.4</v>
      </c>
      <c r="E384" s="1">
        <f>IFERROR(__xludf.DUMMYFUNCTION("""COMPUTED_VALUE"""),9875.4)</f>
        <v>9875.4</v>
      </c>
      <c r="F384" s="1">
        <f>IFERROR(__xludf.DUMMYFUNCTION("""COMPUTED_VALUE"""),30892.0)</f>
        <v>30892</v>
      </c>
    </row>
    <row r="385">
      <c r="A385" s="2">
        <f>IFERROR(__xludf.DUMMYFUNCTION("""COMPUTED_VALUE"""),44755.64583333333)</f>
        <v>44755.64583</v>
      </c>
      <c r="B385" s="1">
        <f>IFERROR(__xludf.DUMMYFUNCTION("""COMPUTED_VALUE"""),9913.38)</f>
        <v>9913.38</v>
      </c>
      <c r="C385" s="1">
        <f>IFERROR(__xludf.DUMMYFUNCTION("""COMPUTED_VALUE"""),10445.14)</f>
        <v>10445.14</v>
      </c>
      <c r="D385" s="1">
        <f>IFERROR(__xludf.DUMMYFUNCTION("""COMPUTED_VALUE"""),9799.44)</f>
        <v>9799.44</v>
      </c>
      <c r="E385" s="1">
        <f>IFERROR(__xludf.DUMMYFUNCTION("""COMPUTED_VALUE"""),10217.24)</f>
        <v>10217.24</v>
      </c>
      <c r="F385" s="1">
        <f>IFERROR(__xludf.DUMMYFUNCTION("""COMPUTED_VALUE"""),31642.0)</f>
        <v>31642</v>
      </c>
    </row>
    <row r="386">
      <c r="A386" s="2">
        <f>IFERROR(__xludf.DUMMYFUNCTION("""COMPUTED_VALUE"""),44756.64583333333)</f>
        <v>44756.64583</v>
      </c>
      <c r="B386" s="1">
        <f>IFERROR(__xludf.DUMMYFUNCTION("""COMPUTED_VALUE"""),10521.1)</f>
        <v>10521.1</v>
      </c>
      <c r="C386" s="1">
        <f>IFERROR(__xludf.DUMMYFUNCTION("""COMPUTED_VALUE"""),11280.75)</f>
        <v>11280.75</v>
      </c>
      <c r="D386" s="1">
        <f>IFERROR(__xludf.DUMMYFUNCTION("""COMPUTED_VALUE"""),10483.12)</f>
        <v>10483.12</v>
      </c>
      <c r="E386" s="1">
        <f>IFERROR(__xludf.DUMMYFUNCTION("""COMPUTED_VALUE"""),10673.03)</f>
        <v>10673.03</v>
      </c>
      <c r="F386" s="1">
        <f>IFERROR(__xludf.DUMMYFUNCTION("""COMPUTED_VALUE"""),122728.0)</f>
        <v>122728</v>
      </c>
    </row>
    <row r="387">
      <c r="A387" s="2">
        <f>IFERROR(__xludf.DUMMYFUNCTION("""COMPUTED_VALUE"""),44757.64583333333)</f>
        <v>44757.64583</v>
      </c>
      <c r="B387" s="1">
        <f>IFERROR(__xludf.DUMMYFUNCTION("""COMPUTED_VALUE"""),10521.1)</f>
        <v>10521.1</v>
      </c>
      <c r="C387" s="1">
        <f>IFERROR(__xludf.DUMMYFUNCTION("""COMPUTED_VALUE"""),10711.01)</f>
        <v>10711.01</v>
      </c>
      <c r="D387" s="1">
        <f>IFERROR(__xludf.DUMMYFUNCTION("""COMPUTED_VALUE"""),9951.37)</f>
        <v>9951.37</v>
      </c>
      <c r="E387" s="1">
        <f>IFERROR(__xludf.DUMMYFUNCTION("""COMPUTED_VALUE"""),10293.21)</f>
        <v>10293.21</v>
      </c>
      <c r="F387" s="1">
        <f>IFERROR(__xludf.DUMMYFUNCTION("""COMPUTED_VALUE"""),48039.0)</f>
        <v>48039</v>
      </c>
    </row>
    <row r="388">
      <c r="A388" s="2">
        <f>IFERROR(__xludf.DUMMYFUNCTION("""COMPUTED_VALUE"""),44760.64583333333)</f>
        <v>44760.64583</v>
      </c>
      <c r="B388" s="1">
        <f>IFERROR(__xludf.DUMMYFUNCTION("""COMPUTED_VALUE"""),10293.21)</f>
        <v>10293.21</v>
      </c>
      <c r="C388" s="1">
        <f>IFERROR(__xludf.DUMMYFUNCTION("""COMPUTED_VALUE"""),10673.03)</f>
        <v>10673.03</v>
      </c>
      <c r="D388" s="1">
        <f>IFERROR(__xludf.DUMMYFUNCTION("""COMPUTED_VALUE"""),10293.21)</f>
        <v>10293.21</v>
      </c>
      <c r="E388" s="1">
        <f>IFERROR(__xludf.DUMMYFUNCTION("""COMPUTED_VALUE"""),10559.08)</f>
        <v>10559.08</v>
      </c>
      <c r="F388" s="1">
        <f>IFERROR(__xludf.DUMMYFUNCTION("""COMPUTED_VALUE"""),31576.0)</f>
        <v>31576</v>
      </c>
    </row>
    <row r="389">
      <c r="A389" s="2">
        <f>IFERROR(__xludf.DUMMYFUNCTION("""COMPUTED_VALUE"""),44762.64583333333)</f>
        <v>44762.64583</v>
      </c>
      <c r="B389" s="1">
        <f>IFERROR(__xludf.DUMMYFUNCTION("""COMPUTED_VALUE"""),10862.94)</f>
        <v>10862.94</v>
      </c>
      <c r="C389" s="1">
        <f>IFERROR(__xludf.DUMMYFUNCTION("""COMPUTED_VALUE"""),11052.85)</f>
        <v>11052.85</v>
      </c>
      <c r="D389" s="1">
        <f>IFERROR(__xludf.DUMMYFUNCTION("""COMPUTED_VALUE"""),10673.03)</f>
        <v>10673.03</v>
      </c>
      <c r="E389" s="1">
        <f>IFERROR(__xludf.DUMMYFUNCTION("""COMPUTED_VALUE"""),10786.98)</f>
        <v>10786.98</v>
      </c>
      <c r="F389" s="1">
        <f>IFERROR(__xludf.DUMMYFUNCTION("""COMPUTED_VALUE"""),45210.0)</f>
        <v>45210</v>
      </c>
    </row>
    <row r="390">
      <c r="A390" s="2">
        <f>IFERROR(__xludf.DUMMYFUNCTION("""COMPUTED_VALUE"""),44763.64583333333)</f>
        <v>44763.64583</v>
      </c>
      <c r="B390" s="1">
        <f>IFERROR(__xludf.DUMMYFUNCTION("""COMPUTED_VALUE"""),10824.96)</f>
        <v>10824.96</v>
      </c>
      <c r="C390" s="1">
        <f>IFERROR(__xludf.DUMMYFUNCTION("""COMPUTED_VALUE"""),11812.5)</f>
        <v>11812.5</v>
      </c>
      <c r="D390" s="1">
        <f>IFERROR(__xludf.DUMMYFUNCTION("""COMPUTED_VALUE"""),10749.0)</f>
        <v>10749</v>
      </c>
      <c r="E390" s="1">
        <f>IFERROR(__xludf.DUMMYFUNCTION("""COMPUTED_VALUE"""),11204.78)</f>
        <v>11204.78</v>
      </c>
      <c r="F390" s="1">
        <f>IFERROR(__xludf.DUMMYFUNCTION("""COMPUTED_VALUE"""),185480.0)</f>
        <v>185480</v>
      </c>
    </row>
    <row r="391">
      <c r="A391" s="2">
        <f>IFERROR(__xludf.DUMMYFUNCTION("""COMPUTED_VALUE"""),44764.64583333333)</f>
        <v>44764.64583</v>
      </c>
      <c r="B391" s="1">
        <f>IFERROR(__xludf.DUMMYFUNCTION("""COMPUTED_VALUE"""),11698.55)</f>
        <v>11698.55</v>
      </c>
      <c r="C391" s="1">
        <f>IFERROR(__xludf.DUMMYFUNCTION("""COMPUTED_VALUE"""),11736.54)</f>
        <v>11736.54</v>
      </c>
      <c r="D391" s="1">
        <f>IFERROR(__xludf.DUMMYFUNCTION("""COMPUTED_VALUE"""),11204.78)</f>
        <v>11204.78</v>
      </c>
      <c r="E391" s="1">
        <f>IFERROR(__xludf.DUMMYFUNCTION("""COMPUTED_VALUE"""),11318.73)</f>
        <v>11318.73</v>
      </c>
      <c r="F391" s="1">
        <f>IFERROR(__xludf.DUMMYFUNCTION("""COMPUTED_VALUE"""),117439.0)</f>
        <v>117439</v>
      </c>
    </row>
    <row r="392">
      <c r="A392" s="2">
        <f>IFERROR(__xludf.DUMMYFUNCTION("""COMPUTED_VALUE"""),44767.64583333333)</f>
        <v>44767.64583</v>
      </c>
      <c r="B392" s="1">
        <f>IFERROR(__xludf.DUMMYFUNCTION("""COMPUTED_VALUE"""),11242.77)</f>
        <v>11242.77</v>
      </c>
      <c r="C392" s="1">
        <f>IFERROR(__xludf.DUMMYFUNCTION("""COMPUTED_VALUE"""),11242.77)</f>
        <v>11242.77</v>
      </c>
      <c r="D392" s="1">
        <f>IFERROR(__xludf.DUMMYFUNCTION("""COMPUTED_VALUE"""),10976.89)</f>
        <v>10976.89</v>
      </c>
      <c r="E392" s="1">
        <f>IFERROR(__xludf.DUMMYFUNCTION("""COMPUTED_VALUE"""),11090.84)</f>
        <v>11090.84</v>
      </c>
      <c r="F392" s="1">
        <f>IFERROR(__xludf.DUMMYFUNCTION("""COMPUTED_VALUE"""),42802.0)</f>
        <v>42802</v>
      </c>
    </row>
    <row r="393">
      <c r="A393" s="2">
        <f>IFERROR(__xludf.DUMMYFUNCTION("""COMPUTED_VALUE"""),44768.64583333333)</f>
        <v>44768.64583</v>
      </c>
      <c r="B393" s="1">
        <f>IFERROR(__xludf.DUMMYFUNCTION("""COMPUTED_VALUE"""),10824.96)</f>
        <v>10824.96</v>
      </c>
      <c r="C393" s="1">
        <f>IFERROR(__xludf.DUMMYFUNCTION("""COMPUTED_VALUE"""),11090.84)</f>
        <v>11090.84</v>
      </c>
      <c r="D393" s="1">
        <f>IFERROR(__xludf.DUMMYFUNCTION("""COMPUTED_VALUE"""),10824.96)</f>
        <v>10824.96</v>
      </c>
      <c r="E393" s="1">
        <f>IFERROR(__xludf.DUMMYFUNCTION("""COMPUTED_VALUE"""),10900.92)</f>
        <v>10900.92</v>
      </c>
      <c r="F393" s="1">
        <f>IFERROR(__xludf.DUMMYFUNCTION("""COMPUTED_VALUE"""),35522.0)</f>
        <v>35522</v>
      </c>
    </row>
    <row r="394">
      <c r="A394" s="2">
        <f>IFERROR(__xludf.DUMMYFUNCTION("""COMPUTED_VALUE"""),44769.64583333333)</f>
        <v>44769.64583</v>
      </c>
      <c r="B394" s="1">
        <f>IFERROR(__xludf.DUMMYFUNCTION("""COMPUTED_VALUE"""),10862.94)</f>
        <v>10862.94</v>
      </c>
      <c r="C394" s="1">
        <f>IFERROR(__xludf.DUMMYFUNCTION("""COMPUTED_VALUE"""),10976.89)</f>
        <v>10976.89</v>
      </c>
      <c r="D394" s="1">
        <f>IFERROR(__xludf.DUMMYFUNCTION("""COMPUTED_VALUE"""),10749.0)</f>
        <v>10749</v>
      </c>
      <c r="E394" s="1">
        <f>IFERROR(__xludf.DUMMYFUNCTION("""COMPUTED_VALUE"""),10824.96)</f>
        <v>10824.96</v>
      </c>
      <c r="F394" s="1">
        <f>IFERROR(__xludf.DUMMYFUNCTION("""COMPUTED_VALUE"""),24048.0)</f>
        <v>24048</v>
      </c>
    </row>
    <row r="395">
      <c r="A395" s="2">
        <f>IFERROR(__xludf.DUMMYFUNCTION("""COMPUTED_VALUE"""),44770.64583333333)</f>
        <v>44770.64583</v>
      </c>
      <c r="B395" s="1">
        <f>IFERROR(__xludf.DUMMYFUNCTION("""COMPUTED_VALUE"""),11090.84)</f>
        <v>11090.84</v>
      </c>
      <c r="C395" s="1">
        <f>IFERROR(__xludf.DUMMYFUNCTION("""COMPUTED_VALUE"""),11128.82)</f>
        <v>11128.82</v>
      </c>
      <c r="D395" s="1">
        <f>IFERROR(__xludf.DUMMYFUNCTION("""COMPUTED_VALUE"""),10786.98)</f>
        <v>10786.98</v>
      </c>
      <c r="E395" s="1">
        <f>IFERROR(__xludf.DUMMYFUNCTION("""COMPUTED_VALUE"""),10824.96)</f>
        <v>10824.96</v>
      </c>
      <c r="F395" s="1">
        <f>IFERROR(__xludf.DUMMYFUNCTION("""COMPUTED_VALUE"""),30137.0)</f>
        <v>30137</v>
      </c>
    </row>
    <row r="396">
      <c r="A396" s="2">
        <f>IFERROR(__xludf.DUMMYFUNCTION("""COMPUTED_VALUE"""),44771.64583333333)</f>
        <v>44771.64583</v>
      </c>
      <c r="B396" s="1">
        <f>IFERROR(__xludf.DUMMYFUNCTION("""COMPUTED_VALUE"""),11204.78)</f>
        <v>11204.78</v>
      </c>
      <c r="C396" s="1">
        <f>IFERROR(__xludf.DUMMYFUNCTION("""COMPUTED_VALUE"""),11204.78)</f>
        <v>11204.78</v>
      </c>
      <c r="D396" s="1">
        <f>IFERROR(__xludf.DUMMYFUNCTION("""COMPUTED_VALUE"""),10938.91)</f>
        <v>10938.91</v>
      </c>
      <c r="E396" s="1">
        <f>IFERROR(__xludf.DUMMYFUNCTION("""COMPUTED_VALUE"""),10976.89)</f>
        <v>10976.89</v>
      </c>
      <c r="F396" s="1">
        <f>IFERROR(__xludf.DUMMYFUNCTION("""COMPUTED_VALUE"""),25930.0)</f>
        <v>25930</v>
      </c>
    </row>
    <row r="397">
      <c r="A397" s="2">
        <f>IFERROR(__xludf.DUMMYFUNCTION("""COMPUTED_VALUE"""),44774.64583333333)</f>
        <v>44774.64583</v>
      </c>
      <c r="B397" s="1">
        <f>IFERROR(__xludf.DUMMYFUNCTION("""COMPUTED_VALUE"""),11166.8)</f>
        <v>11166.8</v>
      </c>
      <c r="C397" s="1">
        <f>IFERROR(__xludf.DUMMYFUNCTION("""COMPUTED_VALUE"""),11280.75)</f>
        <v>11280.75</v>
      </c>
      <c r="D397" s="1">
        <f>IFERROR(__xludf.DUMMYFUNCTION("""COMPUTED_VALUE"""),10900.92)</f>
        <v>10900.92</v>
      </c>
      <c r="E397" s="1">
        <f>IFERROR(__xludf.DUMMYFUNCTION("""COMPUTED_VALUE"""),11090.84)</f>
        <v>11090.84</v>
      </c>
      <c r="F397" s="1">
        <f>IFERROR(__xludf.DUMMYFUNCTION("""COMPUTED_VALUE"""),34753.0)</f>
        <v>34753</v>
      </c>
    </row>
    <row r="398">
      <c r="A398" s="2">
        <f>IFERROR(__xludf.DUMMYFUNCTION("""COMPUTED_VALUE"""),44775.64583333333)</f>
        <v>44775.64583</v>
      </c>
      <c r="B398" s="1">
        <f>IFERROR(__xludf.DUMMYFUNCTION("""COMPUTED_VALUE"""),11090.84)</f>
        <v>11090.84</v>
      </c>
      <c r="C398" s="1">
        <f>IFERROR(__xludf.DUMMYFUNCTION("""COMPUTED_VALUE"""),11090.84)</f>
        <v>11090.84</v>
      </c>
      <c r="D398" s="1">
        <f>IFERROR(__xludf.DUMMYFUNCTION("""COMPUTED_VALUE"""),10786.98)</f>
        <v>10786.98</v>
      </c>
      <c r="E398" s="1">
        <f>IFERROR(__xludf.DUMMYFUNCTION("""COMPUTED_VALUE"""),10862.94)</f>
        <v>10862.94</v>
      </c>
      <c r="F398" s="1">
        <f>IFERROR(__xludf.DUMMYFUNCTION("""COMPUTED_VALUE"""),26029.0)</f>
        <v>26029</v>
      </c>
    </row>
    <row r="399">
      <c r="A399" s="2">
        <f>IFERROR(__xludf.DUMMYFUNCTION("""COMPUTED_VALUE"""),44776.64583333333)</f>
        <v>44776.64583</v>
      </c>
      <c r="B399" s="1">
        <f>IFERROR(__xludf.DUMMYFUNCTION("""COMPUTED_VALUE"""),10862.94)</f>
        <v>10862.94</v>
      </c>
      <c r="C399" s="1">
        <f>IFERROR(__xludf.DUMMYFUNCTION("""COMPUTED_VALUE"""),11280.75)</f>
        <v>11280.75</v>
      </c>
      <c r="D399" s="1">
        <f>IFERROR(__xludf.DUMMYFUNCTION("""COMPUTED_VALUE"""),10786.98)</f>
        <v>10786.98</v>
      </c>
      <c r="E399" s="1">
        <f>IFERROR(__xludf.DUMMYFUNCTION("""COMPUTED_VALUE"""),11166.8)</f>
        <v>11166.8</v>
      </c>
      <c r="F399" s="1">
        <f>IFERROR(__xludf.DUMMYFUNCTION("""COMPUTED_VALUE"""),31147.0)</f>
        <v>31147</v>
      </c>
    </row>
    <row r="400">
      <c r="A400" s="2">
        <f>IFERROR(__xludf.DUMMYFUNCTION("""COMPUTED_VALUE"""),44777.64583333333)</f>
        <v>44777.64583</v>
      </c>
      <c r="B400" s="1">
        <f>IFERROR(__xludf.DUMMYFUNCTION("""COMPUTED_VALUE"""),11242.77)</f>
        <v>11242.77</v>
      </c>
      <c r="C400" s="1">
        <f>IFERROR(__xludf.DUMMYFUNCTION("""COMPUTED_VALUE"""),11888.47)</f>
        <v>11888.47</v>
      </c>
      <c r="D400" s="1">
        <f>IFERROR(__xludf.DUMMYFUNCTION("""COMPUTED_VALUE"""),11242.77)</f>
        <v>11242.77</v>
      </c>
      <c r="E400" s="1">
        <f>IFERROR(__xludf.DUMMYFUNCTION("""COMPUTED_VALUE"""),11584.61)</f>
        <v>11584.61</v>
      </c>
      <c r="F400" s="1">
        <f>IFERROR(__xludf.DUMMYFUNCTION("""COMPUTED_VALUE"""),106113.0)</f>
        <v>106113</v>
      </c>
    </row>
    <row r="401">
      <c r="A401" s="2">
        <f>IFERROR(__xludf.DUMMYFUNCTION("""COMPUTED_VALUE"""),44778.64583333333)</f>
        <v>44778.64583</v>
      </c>
      <c r="B401" s="1">
        <f>IFERROR(__xludf.DUMMYFUNCTION("""COMPUTED_VALUE"""),11622.59)</f>
        <v>11622.59</v>
      </c>
      <c r="C401" s="1">
        <f>IFERROR(__xludf.DUMMYFUNCTION("""COMPUTED_VALUE"""),11774.52)</f>
        <v>11774.52</v>
      </c>
      <c r="D401" s="1">
        <f>IFERROR(__xludf.DUMMYFUNCTION("""COMPUTED_VALUE"""),11470.66)</f>
        <v>11470.66</v>
      </c>
      <c r="E401" s="1">
        <f>IFERROR(__xludf.DUMMYFUNCTION("""COMPUTED_VALUE"""),11698.55)</f>
        <v>11698.55</v>
      </c>
      <c r="F401" s="1">
        <f>IFERROR(__xludf.DUMMYFUNCTION("""COMPUTED_VALUE"""),55448.0)</f>
        <v>55448</v>
      </c>
    </row>
    <row r="402">
      <c r="A402" s="2">
        <f>IFERROR(__xludf.DUMMYFUNCTION("""COMPUTED_VALUE"""),44781.64583333333)</f>
        <v>44781.64583</v>
      </c>
      <c r="B402" s="1">
        <f>IFERROR(__xludf.DUMMYFUNCTION("""COMPUTED_VALUE"""),11812.5)</f>
        <v>11812.5</v>
      </c>
      <c r="C402" s="1">
        <f>IFERROR(__xludf.DUMMYFUNCTION("""COMPUTED_VALUE"""),12762.06)</f>
        <v>12762.06</v>
      </c>
      <c r="D402" s="1">
        <f>IFERROR(__xludf.DUMMYFUNCTION("""COMPUTED_VALUE"""),11736.54)</f>
        <v>11736.54</v>
      </c>
      <c r="E402" s="1">
        <f>IFERROR(__xludf.DUMMYFUNCTION("""COMPUTED_VALUE"""),12496.18)</f>
        <v>12496.18</v>
      </c>
      <c r="F402" s="1">
        <f>IFERROR(__xludf.DUMMYFUNCTION("""COMPUTED_VALUE"""),185199.0)</f>
        <v>185199</v>
      </c>
    </row>
    <row r="403">
      <c r="A403" s="2">
        <f>IFERROR(__xludf.DUMMYFUNCTION("""COMPUTED_VALUE"""),44782.64583333333)</f>
        <v>44782.64583</v>
      </c>
      <c r="B403" s="1">
        <f>IFERROR(__xludf.DUMMYFUNCTION("""COMPUTED_VALUE"""),12610.13)</f>
        <v>12610.13</v>
      </c>
      <c r="C403" s="1">
        <f>IFERROR(__xludf.DUMMYFUNCTION("""COMPUTED_VALUE"""),12951.97)</f>
        <v>12951.97</v>
      </c>
      <c r="D403" s="1">
        <f>IFERROR(__xludf.DUMMYFUNCTION("""COMPUTED_VALUE"""),12192.32)</f>
        <v>12192.32</v>
      </c>
      <c r="E403" s="1">
        <f>IFERROR(__xludf.DUMMYFUNCTION("""COMPUTED_VALUE"""),12420.22)</f>
        <v>12420.22</v>
      </c>
      <c r="F403" s="1">
        <f>IFERROR(__xludf.DUMMYFUNCTION("""COMPUTED_VALUE"""),103465.0)</f>
        <v>103465</v>
      </c>
    </row>
    <row r="404">
      <c r="A404" s="2">
        <f>IFERROR(__xludf.DUMMYFUNCTION("""COMPUTED_VALUE"""),44783.64583333333)</f>
        <v>44783.64583</v>
      </c>
      <c r="B404" s="1">
        <f>IFERROR(__xludf.DUMMYFUNCTION("""COMPUTED_VALUE"""),12344.25)</f>
        <v>12344.25</v>
      </c>
      <c r="C404" s="1">
        <f>IFERROR(__xludf.DUMMYFUNCTION("""COMPUTED_VALUE"""),12344.25)</f>
        <v>12344.25</v>
      </c>
      <c r="D404" s="1">
        <f>IFERROR(__xludf.DUMMYFUNCTION("""COMPUTED_VALUE"""),11736.54)</f>
        <v>11736.54</v>
      </c>
      <c r="E404" s="1">
        <f>IFERROR(__xludf.DUMMYFUNCTION("""COMPUTED_VALUE"""),11926.45)</f>
        <v>11926.45</v>
      </c>
      <c r="F404" s="1">
        <f>IFERROR(__xludf.DUMMYFUNCTION("""COMPUTED_VALUE"""),76991.0)</f>
        <v>76991</v>
      </c>
    </row>
    <row r="405">
      <c r="A405" s="2">
        <f>IFERROR(__xludf.DUMMYFUNCTION("""COMPUTED_VALUE"""),44784.64583333333)</f>
        <v>44784.64583</v>
      </c>
      <c r="B405" s="1">
        <f>IFERROR(__xludf.DUMMYFUNCTION("""COMPUTED_VALUE"""),12344.25)</f>
        <v>12344.25</v>
      </c>
      <c r="C405" s="1">
        <f>IFERROR(__xludf.DUMMYFUNCTION("""COMPUTED_VALUE"""),12344.25)</f>
        <v>12344.25</v>
      </c>
      <c r="D405" s="1">
        <f>IFERROR(__xludf.DUMMYFUNCTION("""COMPUTED_VALUE"""),12002.41)</f>
        <v>12002.41</v>
      </c>
      <c r="E405" s="1">
        <f>IFERROR(__xludf.DUMMYFUNCTION("""COMPUTED_VALUE"""),12192.32)</f>
        <v>12192.32</v>
      </c>
      <c r="F405" s="1">
        <f>IFERROR(__xludf.DUMMYFUNCTION("""COMPUTED_VALUE"""),50760.0)</f>
        <v>50760</v>
      </c>
    </row>
    <row r="406">
      <c r="A406" s="2">
        <f>IFERROR(__xludf.DUMMYFUNCTION("""COMPUTED_VALUE"""),44785.64583333333)</f>
        <v>44785.64583</v>
      </c>
      <c r="B406" s="1">
        <f>IFERROR(__xludf.DUMMYFUNCTION("""COMPUTED_VALUE"""),12078.38)</f>
        <v>12078.38</v>
      </c>
      <c r="C406" s="1">
        <f>IFERROR(__xludf.DUMMYFUNCTION("""COMPUTED_VALUE"""),12230.31)</f>
        <v>12230.31</v>
      </c>
      <c r="D406" s="1">
        <f>IFERROR(__xludf.DUMMYFUNCTION("""COMPUTED_VALUE"""),11850.48)</f>
        <v>11850.48</v>
      </c>
      <c r="E406" s="1">
        <f>IFERROR(__xludf.DUMMYFUNCTION("""COMPUTED_VALUE"""),12116.36)</f>
        <v>12116.36</v>
      </c>
      <c r="F406" s="1">
        <f>IFERROR(__xludf.DUMMYFUNCTION("""COMPUTED_VALUE"""),39679.0)</f>
        <v>39679</v>
      </c>
    </row>
    <row r="407">
      <c r="A407" s="2">
        <f>IFERROR(__xludf.DUMMYFUNCTION("""COMPUTED_VALUE"""),44789.64583333333)</f>
        <v>44789.64583</v>
      </c>
      <c r="B407" s="1">
        <f>IFERROR(__xludf.DUMMYFUNCTION("""COMPUTED_VALUE"""),12382.24)</f>
        <v>12382.24</v>
      </c>
      <c r="C407" s="1">
        <f>IFERROR(__xludf.DUMMYFUNCTION("""COMPUTED_VALUE"""),12382.24)</f>
        <v>12382.24</v>
      </c>
      <c r="D407" s="1">
        <f>IFERROR(__xludf.DUMMYFUNCTION("""COMPUTED_VALUE"""),11926.45)</f>
        <v>11926.45</v>
      </c>
      <c r="E407" s="1">
        <f>IFERROR(__xludf.DUMMYFUNCTION("""COMPUTED_VALUE"""),12040.39)</f>
        <v>12040.39</v>
      </c>
      <c r="F407" s="1">
        <f>IFERROR(__xludf.DUMMYFUNCTION("""COMPUTED_VALUE"""),33161.0)</f>
        <v>33161</v>
      </c>
    </row>
    <row r="408">
      <c r="A408" s="2">
        <f>IFERROR(__xludf.DUMMYFUNCTION("""COMPUTED_VALUE"""),44790.64583333333)</f>
        <v>44790.64583</v>
      </c>
      <c r="B408" s="1">
        <f>IFERROR(__xludf.DUMMYFUNCTION("""COMPUTED_VALUE"""),11926.45)</f>
        <v>11926.45</v>
      </c>
      <c r="C408" s="1">
        <f>IFERROR(__xludf.DUMMYFUNCTION("""COMPUTED_VALUE"""),12040.39)</f>
        <v>12040.39</v>
      </c>
      <c r="D408" s="1">
        <f>IFERROR(__xludf.DUMMYFUNCTION("""COMPUTED_VALUE"""),11508.64)</f>
        <v>11508.64</v>
      </c>
      <c r="E408" s="1">
        <f>IFERROR(__xludf.DUMMYFUNCTION("""COMPUTED_VALUE"""),11622.59)</f>
        <v>11622.59</v>
      </c>
      <c r="F408" s="1">
        <f>IFERROR(__xludf.DUMMYFUNCTION("""COMPUTED_VALUE"""),54544.0)</f>
        <v>54544</v>
      </c>
    </row>
    <row r="409">
      <c r="A409" s="2">
        <f>IFERROR(__xludf.DUMMYFUNCTION("""COMPUTED_VALUE"""),44791.64583333333)</f>
        <v>44791.64583</v>
      </c>
      <c r="B409" s="1">
        <f>IFERROR(__xludf.DUMMYFUNCTION("""COMPUTED_VALUE"""),11508.64)</f>
        <v>11508.64</v>
      </c>
      <c r="C409" s="1">
        <f>IFERROR(__xludf.DUMMYFUNCTION("""COMPUTED_VALUE"""),11736.54)</f>
        <v>11736.54</v>
      </c>
      <c r="D409" s="1">
        <f>IFERROR(__xludf.DUMMYFUNCTION("""COMPUTED_VALUE"""),11166.8)</f>
        <v>11166.8</v>
      </c>
      <c r="E409" s="1">
        <f>IFERROR(__xludf.DUMMYFUNCTION("""COMPUTED_VALUE"""),11736.54)</f>
        <v>11736.54</v>
      </c>
      <c r="F409" s="1">
        <f>IFERROR(__xludf.DUMMYFUNCTION("""COMPUTED_VALUE"""),41510.0)</f>
        <v>41510</v>
      </c>
    </row>
    <row r="410">
      <c r="A410" s="2">
        <f>IFERROR(__xludf.DUMMYFUNCTION("""COMPUTED_VALUE"""),44792.64583333333)</f>
        <v>44792.64583</v>
      </c>
      <c r="B410" s="1">
        <f>IFERROR(__xludf.DUMMYFUNCTION("""COMPUTED_VALUE"""),11850.48)</f>
        <v>11850.48</v>
      </c>
      <c r="C410" s="1">
        <f>IFERROR(__xludf.DUMMYFUNCTION("""COMPUTED_VALUE"""),11888.47)</f>
        <v>11888.47</v>
      </c>
      <c r="D410" s="1">
        <f>IFERROR(__xludf.DUMMYFUNCTION("""COMPUTED_VALUE"""),11470.66)</f>
        <v>11470.66</v>
      </c>
      <c r="E410" s="1">
        <f>IFERROR(__xludf.DUMMYFUNCTION("""COMPUTED_VALUE"""),11546.62)</f>
        <v>11546.62</v>
      </c>
      <c r="F410" s="1">
        <f>IFERROR(__xludf.DUMMYFUNCTION("""COMPUTED_VALUE"""),28871.0)</f>
        <v>28871</v>
      </c>
    </row>
    <row r="411">
      <c r="A411" s="2">
        <f>IFERROR(__xludf.DUMMYFUNCTION("""COMPUTED_VALUE"""),44795.64583333333)</f>
        <v>44795.64583</v>
      </c>
      <c r="B411" s="1">
        <f>IFERROR(__xludf.DUMMYFUNCTION("""COMPUTED_VALUE"""),11546.62)</f>
        <v>11546.62</v>
      </c>
      <c r="C411" s="1">
        <f>IFERROR(__xludf.DUMMYFUNCTION("""COMPUTED_VALUE"""),11546.62)</f>
        <v>11546.62</v>
      </c>
      <c r="D411" s="1">
        <f>IFERROR(__xludf.DUMMYFUNCTION("""COMPUTED_VALUE"""),10938.91)</f>
        <v>10938.91</v>
      </c>
      <c r="E411" s="1">
        <f>IFERROR(__xludf.DUMMYFUNCTION("""COMPUTED_VALUE"""),11014.87)</f>
        <v>11014.87</v>
      </c>
      <c r="F411" s="1">
        <f>IFERROR(__xludf.DUMMYFUNCTION("""COMPUTED_VALUE"""),41939.0)</f>
        <v>41939</v>
      </c>
    </row>
    <row r="412">
      <c r="A412" s="2">
        <f>IFERROR(__xludf.DUMMYFUNCTION("""COMPUTED_VALUE"""),44796.64583333333)</f>
        <v>44796.64583</v>
      </c>
      <c r="B412" s="1">
        <f>IFERROR(__xludf.DUMMYFUNCTION("""COMPUTED_VALUE"""),10749.0)</f>
        <v>10749</v>
      </c>
      <c r="C412" s="1">
        <f>IFERROR(__xludf.DUMMYFUNCTION("""COMPUTED_VALUE"""),11014.87)</f>
        <v>11014.87</v>
      </c>
      <c r="D412" s="1">
        <f>IFERROR(__xludf.DUMMYFUNCTION("""COMPUTED_VALUE"""),10635.05)</f>
        <v>10635.05</v>
      </c>
      <c r="E412" s="1">
        <f>IFERROR(__xludf.DUMMYFUNCTION("""COMPUTED_VALUE"""),10673.03)</f>
        <v>10673.03</v>
      </c>
      <c r="F412" s="1">
        <f>IFERROR(__xludf.DUMMYFUNCTION("""COMPUTED_VALUE"""),35037.0)</f>
        <v>35037</v>
      </c>
    </row>
    <row r="413">
      <c r="A413" s="2">
        <f>IFERROR(__xludf.DUMMYFUNCTION("""COMPUTED_VALUE"""),44797.64583333333)</f>
        <v>44797.64583</v>
      </c>
      <c r="B413" s="1">
        <f>IFERROR(__xludf.DUMMYFUNCTION("""COMPUTED_VALUE"""),10711.01)</f>
        <v>10711.01</v>
      </c>
      <c r="C413" s="1">
        <f>IFERROR(__xludf.DUMMYFUNCTION("""COMPUTED_VALUE"""),10862.94)</f>
        <v>10862.94</v>
      </c>
      <c r="D413" s="1">
        <f>IFERROR(__xludf.DUMMYFUNCTION("""COMPUTED_VALUE"""),10369.17)</f>
        <v>10369.17</v>
      </c>
      <c r="E413" s="1">
        <f>IFERROR(__xludf.DUMMYFUNCTION("""COMPUTED_VALUE"""),10711.01)</f>
        <v>10711.01</v>
      </c>
      <c r="F413" s="1">
        <f>IFERROR(__xludf.DUMMYFUNCTION("""COMPUTED_VALUE"""),39177.0)</f>
        <v>39177</v>
      </c>
    </row>
    <row r="414">
      <c r="A414" s="2">
        <f>IFERROR(__xludf.DUMMYFUNCTION("""COMPUTED_VALUE"""),44798.64583333333)</f>
        <v>44798.64583</v>
      </c>
      <c r="B414" s="1">
        <f>IFERROR(__xludf.DUMMYFUNCTION("""COMPUTED_VALUE"""),10824.96)</f>
        <v>10824.96</v>
      </c>
      <c r="C414" s="1">
        <f>IFERROR(__xludf.DUMMYFUNCTION("""COMPUTED_VALUE"""),11204.78)</f>
        <v>11204.78</v>
      </c>
      <c r="D414" s="1">
        <f>IFERROR(__xludf.DUMMYFUNCTION("""COMPUTED_VALUE"""),10824.96)</f>
        <v>10824.96</v>
      </c>
      <c r="E414" s="1">
        <f>IFERROR(__xludf.DUMMYFUNCTION("""COMPUTED_VALUE"""),11090.84)</f>
        <v>11090.84</v>
      </c>
      <c r="F414" s="1">
        <f>IFERROR(__xludf.DUMMYFUNCTION("""COMPUTED_VALUE"""),28308.0)</f>
        <v>28308</v>
      </c>
    </row>
    <row r="415">
      <c r="A415" s="2">
        <f>IFERROR(__xludf.DUMMYFUNCTION("""COMPUTED_VALUE"""),44799.64583333333)</f>
        <v>44799.64583</v>
      </c>
      <c r="B415" s="1">
        <f>IFERROR(__xludf.DUMMYFUNCTION("""COMPUTED_VALUE"""),11128.82)</f>
        <v>11128.82</v>
      </c>
      <c r="C415" s="1">
        <f>IFERROR(__xludf.DUMMYFUNCTION("""COMPUTED_VALUE"""),11242.77)</f>
        <v>11242.77</v>
      </c>
      <c r="D415" s="1">
        <f>IFERROR(__xludf.DUMMYFUNCTION("""COMPUTED_VALUE"""),10862.94)</f>
        <v>10862.94</v>
      </c>
      <c r="E415" s="1">
        <f>IFERROR(__xludf.DUMMYFUNCTION("""COMPUTED_VALUE"""),10862.94)</f>
        <v>10862.94</v>
      </c>
      <c r="F415" s="1">
        <f>IFERROR(__xludf.DUMMYFUNCTION("""COMPUTED_VALUE"""),25485.0)</f>
        <v>25485</v>
      </c>
    </row>
    <row r="416">
      <c r="A416" s="2">
        <f>IFERROR(__xludf.DUMMYFUNCTION("""COMPUTED_VALUE"""),44802.64583333333)</f>
        <v>44802.64583</v>
      </c>
      <c r="B416" s="1">
        <f>IFERROR(__xludf.DUMMYFUNCTION("""COMPUTED_VALUE"""),10331.19)</f>
        <v>10331.19</v>
      </c>
      <c r="C416" s="1">
        <f>IFERROR(__xludf.DUMMYFUNCTION("""COMPUTED_VALUE"""),10597.07)</f>
        <v>10597.07</v>
      </c>
      <c r="D416" s="1">
        <f>IFERROR(__xludf.DUMMYFUNCTION("""COMPUTED_VALUE"""),10217.24)</f>
        <v>10217.24</v>
      </c>
      <c r="E416" s="1">
        <f>IFERROR(__xludf.DUMMYFUNCTION("""COMPUTED_VALUE"""),10597.07)</f>
        <v>10597.07</v>
      </c>
      <c r="F416" s="1">
        <f>IFERROR(__xludf.DUMMYFUNCTION("""COMPUTED_VALUE"""),33247.0)</f>
        <v>33247</v>
      </c>
    </row>
    <row r="417">
      <c r="A417" s="2">
        <f>IFERROR(__xludf.DUMMYFUNCTION("""COMPUTED_VALUE"""),44803.64583333333)</f>
        <v>44803.64583</v>
      </c>
      <c r="B417" s="1">
        <f>IFERROR(__xludf.DUMMYFUNCTION("""COMPUTED_VALUE"""),10597.07)</f>
        <v>10597.07</v>
      </c>
      <c r="C417" s="1">
        <f>IFERROR(__xludf.DUMMYFUNCTION("""COMPUTED_VALUE"""),10824.96)</f>
        <v>10824.96</v>
      </c>
      <c r="D417" s="1">
        <f>IFERROR(__xludf.DUMMYFUNCTION("""COMPUTED_VALUE"""),10597.07)</f>
        <v>10597.07</v>
      </c>
      <c r="E417" s="1">
        <f>IFERROR(__xludf.DUMMYFUNCTION("""COMPUTED_VALUE"""),10786.98)</f>
        <v>10786.98</v>
      </c>
      <c r="F417" s="1">
        <f>IFERROR(__xludf.DUMMYFUNCTION("""COMPUTED_VALUE"""),17564.0)</f>
        <v>17564</v>
      </c>
    </row>
    <row r="418">
      <c r="A418" s="2">
        <f>IFERROR(__xludf.DUMMYFUNCTION("""COMPUTED_VALUE"""),44804.64583333333)</f>
        <v>44804.64583</v>
      </c>
      <c r="B418" s="1">
        <f>IFERROR(__xludf.DUMMYFUNCTION("""COMPUTED_VALUE"""),10900.92)</f>
        <v>10900.92</v>
      </c>
      <c r="C418" s="1">
        <f>IFERROR(__xludf.DUMMYFUNCTION("""COMPUTED_VALUE"""),10900.92)</f>
        <v>10900.92</v>
      </c>
      <c r="D418" s="1">
        <f>IFERROR(__xludf.DUMMYFUNCTION("""COMPUTED_VALUE"""),10559.08)</f>
        <v>10559.08</v>
      </c>
      <c r="E418" s="1">
        <f>IFERROR(__xludf.DUMMYFUNCTION("""COMPUTED_VALUE"""),10786.98)</f>
        <v>10786.98</v>
      </c>
      <c r="F418" s="1">
        <f>IFERROR(__xludf.DUMMYFUNCTION("""COMPUTED_VALUE"""),15206.0)</f>
        <v>15206</v>
      </c>
    </row>
    <row r="419">
      <c r="A419" s="2">
        <f>IFERROR(__xludf.DUMMYFUNCTION("""COMPUTED_VALUE"""),44805.64583333333)</f>
        <v>44805.64583</v>
      </c>
      <c r="B419" s="1">
        <f>IFERROR(__xludf.DUMMYFUNCTION("""COMPUTED_VALUE"""),10786.98)</f>
        <v>10786.98</v>
      </c>
      <c r="C419" s="1">
        <f>IFERROR(__xludf.DUMMYFUNCTION("""COMPUTED_VALUE"""),10786.98)</f>
        <v>10786.98</v>
      </c>
      <c r="D419" s="1">
        <f>IFERROR(__xludf.DUMMYFUNCTION("""COMPUTED_VALUE"""),10179.26)</f>
        <v>10179.26</v>
      </c>
      <c r="E419" s="1">
        <f>IFERROR(__xludf.DUMMYFUNCTION("""COMPUTED_VALUE"""),10331.19)</f>
        <v>10331.19</v>
      </c>
      <c r="F419" s="1">
        <f>IFERROR(__xludf.DUMMYFUNCTION("""COMPUTED_VALUE"""),85097.0)</f>
        <v>85097</v>
      </c>
    </row>
    <row r="420">
      <c r="A420" s="2">
        <f>IFERROR(__xludf.DUMMYFUNCTION("""COMPUTED_VALUE"""),44806.64583333333)</f>
        <v>44806.64583</v>
      </c>
      <c r="B420" s="1">
        <f>IFERROR(__xludf.DUMMYFUNCTION("""COMPUTED_VALUE"""),10521.1)</f>
        <v>10521.1</v>
      </c>
      <c r="C420" s="1">
        <f>IFERROR(__xludf.DUMMYFUNCTION("""COMPUTED_VALUE"""),10673.03)</f>
        <v>10673.03</v>
      </c>
      <c r="D420" s="1">
        <f>IFERROR(__xludf.DUMMYFUNCTION("""COMPUTED_VALUE"""),10369.17)</f>
        <v>10369.17</v>
      </c>
      <c r="E420" s="1">
        <f>IFERROR(__xludf.DUMMYFUNCTION("""COMPUTED_VALUE"""),10445.14)</f>
        <v>10445.14</v>
      </c>
      <c r="F420" s="1">
        <f>IFERROR(__xludf.DUMMYFUNCTION("""COMPUTED_VALUE"""),31625.0)</f>
        <v>31625</v>
      </c>
    </row>
    <row r="421">
      <c r="A421" s="2">
        <f>IFERROR(__xludf.DUMMYFUNCTION("""COMPUTED_VALUE"""),44809.64583333333)</f>
        <v>44809.64583</v>
      </c>
      <c r="B421" s="1">
        <f>IFERROR(__xludf.DUMMYFUNCTION("""COMPUTED_VALUE"""),10331.19)</f>
        <v>10331.19</v>
      </c>
      <c r="C421" s="1">
        <f>IFERROR(__xludf.DUMMYFUNCTION("""COMPUTED_VALUE"""),10445.14)</f>
        <v>10445.14</v>
      </c>
      <c r="D421" s="1">
        <f>IFERROR(__xludf.DUMMYFUNCTION("""COMPUTED_VALUE"""),10103.3)</f>
        <v>10103.3</v>
      </c>
      <c r="E421" s="1">
        <f>IFERROR(__xludf.DUMMYFUNCTION("""COMPUTED_VALUE"""),10179.26)</f>
        <v>10179.26</v>
      </c>
      <c r="F421" s="1">
        <f>IFERROR(__xludf.DUMMYFUNCTION("""COMPUTED_VALUE"""),30000.0)</f>
        <v>30000</v>
      </c>
    </row>
    <row r="422">
      <c r="A422" s="2">
        <f>IFERROR(__xludf.DUMMYFUNCTION("""COMPUTED_VALUE"""),44810.64583333333)</f>
        <v>44810.64583</v>
      </c>
      <c r="B422" s="1">
        <f>IFERROR(__xludf.DUMMYFUNCTION("""COMPUTED_VALUE"""),10065.31)</f>
        <v>10065.31</v>
      </c>
      <c r="C422" s="1">
        <f>IFERROR(__xludf.DUMMYFUNCTION("""COMPUTED_VALUE"""),10635.05)</f>
        <v>10635.05</v>
      </c>
      <c r="D422" s="1">
        <f>IFERROR(__xludf.DUMMYFUNCTION("""COMPUTED_VALUE"""),10065.31)</f>
        <v>10065.31</v>
      </c>
      <c r="E422" s="1">
        <f>IFERROR(__xludf.DUMMYFUNCTION("""COMPUTED_VALUE"""),10483.12)</f>
        <v>10483.12</v>
      </c>
      <c r="F422" s="1">
        <f>IFERROR(__xludf.DUMMYFUNCTION("""COMPUTED_VALUE"""),43720.0)</f>
        <v>43720</v>
      </c>
    </row>
    <row r="423">
      <c r="A423" s="2">
        <f>IFERROR(__xludf.DUMMYFUNCTION("""COMPUTED_VALUE"""),44811.64583333333)</f>
        <v>44811.64583</v>
      </c>
      <c r="B423" s="1">
        <f>IFERROR(__xludf.DUMMYFUNCTION("""COMPUTED_VALUE"""),10521.1)</f>
        <v>10521.1</v>
      </c>
      <c r="C423" s="1">
        <f>IFERROR(__xludf.DUMMYFUNCTION("""COMPUTED_VALUE"""),10597.07)</f>
        <v>10597.07</v>
      </c>
      <c r="D423" s="1">
        <f>IFERROR(__xludf.DUMMYFUNCTION("""COMPUTED_VALUE"""),10103.3)</f>
        <v>10103.3</v>
      </c>
      <c r="E423" s="1">
        <f>IFERROR(__xludf.DUMMYFUNCTION("""COMPUTED_VALUE"""),10179.26)</f>
        <v>10179.26</v>
      </c>
      <c r="F423" s="1">
        <f>IFERROR(__xludf.DUMMYFUNCTION("""COMPUTED_VALUE"""),27949.0)</f>
        <v>27949</v>
      </c>
    </row>
    <row r="424">
      <c r="A424" s="2">
        <f>IFERROR(__xludf.DUMMYFUNCTION("""COMPUTED_VALUE"""),44812.64583333333)</f>
        <v>44812.64583</v>
      </c>
      <c r="B424" s="1">
        <f>IFERROR(__xludf.DUMMYFUNCTION("""COMPUTED_VALUE"""),10103.3)</f>
        <v>10103.3</v>
      </c>
      <c r="C424" s="1">
        <f>IFERROR(__xludf.DUMMYFUNCTION("""COMPUTED_VALUE"""),10331.19)</f>
        <v>10331.19</v>
      </c>
      <c r="D424" s="1">
        <f>IFERROR(__xludf.DUMMYFUNCTION("""COMPUTED_VALUE"""),10103.3)</f>
        <v>10103.3</v>
      </c>
      <c r="E424" s="1">
        <f>IFERROR(__xludf.DUMMYFUNCTION("""COMPUTED_VALUE"""),10217.24)</f>
        <v>10217.24</v>
      </c>
      <c r="F424" s="1">
        <f>IFERROR(__xludf.DUMMYFUNCTION("""COMPUTED_VALUE"""),19858.0)</f>
        <v>19858</v>
      </c>
    </row>
    <row r="425">
      <c r="A425" s="2">
        <f>IFERROR(__xludf.DUMMYFUNCTION("""COMPUTED_VALUE"""),44817.64583333333)</f>
        <v>44817.64583</v>
      </c>
      <c r="B425" s="1">
        <f>IFERROR(__xludf.DUMMYFUNCTION("""COMPUTED_VALUE"""),10407.15)</f>
        <v>10407.15</v>
      </c>
      <c r="C425" s="1">
        <f>IFERROR(__xludf.DUMMYFUNCTION("""COMPUTED_VALUE"""),10597.07)</f>
        <v>10597.07</v>
      </c>
      <c r="D425" s="1">
        <f>IFERROR(__xludf.DUMMYFUNCTION("""COMPUTED_VALUE"""),10331.19)</f>
        <v>10331.19</v>
      </c>
      <c r="E425" s="1">
        <f>IFERROR(__xludf.DUMMYFUNCTION("""COMPUTED_VALUE"""),10559.08)</f>
        <v>10559.08</v>
      </c>
      <c r="F425" s="1">
        <f>IFERROR(__xludf.DUMMYFUNCTION("""COMPUTED_VALUE"""),40847.0)</f>
        <v>40847</v>
      </c>
    </row>
    <row r="426">
      <c r="A426" s="2">
        <f>IFERROR(__xludf.DUMMYFUNCTION("""COMPUTED_VALUE"""),44818.64583333333)</f>
        <v>44818.64583</v>
      </c>
      <c r="B426" s="1">
        <f>IFERROR(__xludf.DUMMYFUNCTION("""COMPUTED_VALUE"""),10103.3)</f>
        <v>10103.3</v>
      </c>
      <c r="C426" s="1">
        <f>IFERROR(__xludf.DUMMYFUNCTION("""COMPUTED_VALUE"""),10369.17)</f>
        <v>10369.17</v>
      </c>
      <c r="D426" s="1">
        <f>IFERROR(__xludf.DUMMYFUNCTION("""COMPUTED_VALUE"""),10103.3)</f>
        <v>10103.3</v>
      </c>
      <c r="E426" s="1">
        <f>IFERROR(__xludf.DUMMYFUNCTION("""COMPUTED_VALUE"""),10369.17)</f>
        <v>10369.17</v>
      </c>
      <c r="F426" s="1">
        <f>IFERROR(__xludf.DUMMYFUNCTION("""COMPUTED_VALUE"""),20416.0)</f>
        <v>20416</v>
      </c>
    </row>
    <row r="427">
      <c r="A427" s="2">
        <f>IFERROR(__xludf.DUMMYFUNCTION("""COMPUTED_VALUE"""),44819.64583333333)</f>
        <v>44819.64583</v>
      </c>
      <c r="B427" s="1">
        <f>IFERROR(__xludf.DUMMYFUNCTION("""COMPUTED_VALUE"""),10407.15)</f>
        <v>10407.15</v>
      </c>
      <c r="C427" s="1">
        <f>IFERROR(__xludf.DUMMYFUNCTION("""COMPUTED_VALUE"""),10407.15)</f>
        <v>10407.15</v>
      </c>
      <c r="D427" s="1">
        <f>IFERROR(__xludf.DUMMYFUNCTION("""COMPUTED_VALUE"""),10141.28)</f>
        <v>10141.28</v>
      </c>
      <c r="E427" s="1">
        <f>IFERROR(__xludf.DUMMYFUNCTION("""COMPUTED_VALUE"""),10179.26)</f>
        <v>10179.26</v>
      </c>
      <c r="F427" s="1">
        <f>IFERROR(__xludf.DUMMYFUNCTION("""COMPUTED_VALUE"""),27072.0)</f>
        <v>27072</v>
      </c>
    </row>
    <row r="428">
      <c r="A428" s="2">
        <f>IFERROR(__xludf.DUMMYFUNCTION("""COMPUTED_VALUE"""),44820.64583333333)</f>
        <v>44820.64583</v>
      </c>
      <c r="B428" s="1">
        <f>IFERROR(__xludf.DUMMYFUNCTION("""COMPUTED_VALUE"""),10065.31)</f>
        <v>10065.31</v>
      </c>
      <c r="C428" s="1">
        <f>IFERROR(__xludf.DUMMYFUNCTION("""COMPUTED_VALUE"""),10103.3)</f>
        <v>10103.3</v>
      </c>
      <c r="D428" s="1">
        <f>IFERROR(__xludf.DUMMYFUNCTION("""COMPUTED_VALUE"""),9723.47)</f>
        <v>9723.47</v>
      </c>
      <c r="E428" s="1">
        <f>IFERROR(__xludf.DUMMYFUNCTION("""COMPUTED_VALUE"""),9761.46)</f>
        <v>9761.46</v>
      </c>
      <c r="F428" s="1">
        <f>IFERROR(__xludf.DUMMYFUNCTION("""COMPUTED_VALUE"""),47694.0)</f>
        <v>47694</v>
      </c>
    </row>
    <row r="429">
      <c r="A429" s="2">
        <f>IFERROR(__xludf.DUMMYFUNCTION("""COMPUTED_VALUE"""),44823.64583333333)</f>
        <v>44823.64583</v>
      </c>
      <c r="B429" s="1">
        <f>IFERROR(__xludf.DUMMYFUNCTION("""COMPUTED_VALUE"""),9685.49)</f>
        <v>9685.49</v>
      </c>
      <c r="C429" s="1">
        <f>IFERROR(__xludf.DUMMYFUNCTION("""COMPUTED_VALUE"""),9761.46)</f>
        <v>9761.46</v>
      </c>
      <c r="D429" s="1">
        <f>IFERROR(__xludf.DUMMYFUNCTION("""COMPUTED_VALUE"""),9305.67)</f>
        <v>9305.67</v>
      </c>
      <c r="E429" s="1">
        <f>IFERROR(__xludf.DUMMYFUNCTION("""COMPUTED_VALUE"""),9305.67)</f>
        <v>9305.67</v>
      </c>
      <c r="F429" s="1">
        <f>IFERROR(__xludf.DUMMYFUNCTION("""COMPUTED_VALUE"""),51402.0)</f>
        <v>51402</v>
      </c>
    </row>
    <row r="430">
      <c r="A430" s="2">
        <f>IFERROR(__xludf.DUMMYFUNCTION("""COMPUTED_VALUE"""),44824.64583333333)</f>
        <v>44824.64583</v>
      </c>
      <c r="B430" s="1">
        <f>IFERROR(__xludf.DUMMYFUNCTION("""COMPUTED_VALUE"""),9305.67)</f>
        <v>9305.67</v>
      </c>
      <c r="C430" s="1">
        <f>IFERROR(__xludf.DUMMYFUNCTION("""COMPUTED_VALUE"""),9647.51)</f>
        <v>9647.51</v>
      </c>
      <c r="D430" s="1">
        <f>IFERROR(__xludf.DUMMYFUNCTION("""COMPUTED_VALUE"""),9305.67)</f>
        <v>9305.67</v>
      </c>
      <c r="E430" s="1">
        <f>IFERROR(__xludf.DUMMYFUNCTION("""COMPUTED_VALUE"""),9571.54)</f>
        <v>9571.54</v>
      </c>
      <c r="F430" s="1">
        <f>IFERROR(__xludf.DUMMYFUNCTION("""COMPUTED_VALUE"""),30777.0)</f>
        <v>30777</v>
      </c>
    </row>
    <row r="431">
      <c r="A431" s="2">
        <f>IFERROR(__xludf.DUMMYFUNCTION("""COMPUTED_VALUE"""),44825.64583333333)</f>
        <v>44825.64583</v>
      </c>
      <c r="B431" s="1">
        <f>IFERROR(__xludf.DUMMYFUNCTION("""COMPUTED_VALUE"""),10083.33)</f>
        <v>10083.33</v>
      </c>
      <c r="C431" s="1">
        <f>IFERROR(__xludf.DUMMYFUNCTION("""COMPUTED_VALUE"""),10208.33)</f>
        <v>10208.33</v>
      </c>
      <c r="D431" s="1">
        <f>IFERROR(__xludf.DUMMYFUNCTION("""COMPUTED_VALUE"""),9875.0)</f>
        <v>9875</v>
      </c>
      <c r="E431" s="1">
        <f>IFERROR(__xludf.DUMMYFUNCTION("""COMPUTED_VALUE"""),9958.33)</f>
        <v>9958.33</v>
      </c>
      <c r="F431" s="1">
        <f>IFERROR(__xludf.DUMMYFUNCTION("""COMPUTED_VALUE"""),30970.0)</f>
        <v>30970</v>
      </c>
    </row>
    <row r="432">
      <c r="A432" s="2">
        <f>IFERROR(__xludf.DUMMYFUNCTION("""COMPUTED_VALUE"""),44826.64583333333)</f>
        <v>44826.64583</v>
      </c>
      <c r="B432" s="1">
        <f>IFERROR(__xludf.DUMMYFUNCTION("""COMPUTED_VALUE"""),9833.33)</f>
        <v>9833.33</v>
      </c>
      <c r="C432" s="1">
        <f>IFERROR(__xludf.DUMMYFUNCTION("""COMPUTED_VALUE"""),9875.0)</f>
        <v>9875</v>
      </c>
      <c r="D432" s="1">
        <f>IFERROR(__xludf.DUMMYFUNCTION("""COMPUTED_VALUE"""),9375.0)</f>
        <v>9375</v>
      </c>
      <c r="E432" s="1">
        <f>IFERROR(__xludf.DUMMYFUNCTION("""COMPUTED_VALUE"""),9583.33)</f>
        <v>9583.33</v>
      </c>
      <c r="F432" s="1">
        <f>IFERROR(__xludf.DUMMYFUNCTION("""COMPUTED_VALUE"""),45431.0)</f>
        <v>45431</v>
      </c>
    </row>
    <row r="433">
      <c r="A433" s="2">
        <f>IFERROR(__xludf.DUMMYFUNCTION("""COMPUTED_VALUE"""),44827.64583333333)</f>
        <v>44827.64583</v>
      </c>
      <c r="B433" s="1">
        <f>IFERROR(__xludf.DUMMYFUNCTION("""COMPUTED_VALUE"""),9583.33)</f>
        <v>9583.33</v>
      </c>
      <c r="C433" s="1">
        <f>IFERROR(__xludf.DUMMYFUNCTION("""COMPUTED_VALUE"""),9583.33)</f>
        <v>9583.33</v>
      </c>
      <c r="D433" s="1">
        <f>IFERROR(__xludf.DUMMYFUNCTION("""COMPUTED_VALUE"""),8958.33)</f>
        <v>8958.33</v>
      </c>
      <c r="E433" s="1">
        <f>IFERROR(__xludf.DUMMYFUNCTION("""COMPUTED_VALUE"""),9000.0)</f>
        <v>9000</v>
      </c>
      <c r="F433" s="1">
        <f>IFERROR(__xludf.DUMMYFUNCTION("""COMPUTED_VALUE"""),51500.0)</f>
        <v>51500</v>
      </c>
    </row>
    <row r="434">
      <c r="A434" s="2">
        <f>IFERROR(__xludf.DUMMYFUNCTION("""COMPUTED_VALUE"""),44830.64583333333)</f>
        <v>44830.64583</v>
      </c>
      <c r="B434" s="1">
        <f>IFERROR(__xludf.DUMMYFUNCTION("""COMPUTED_VALUE"""),8583.33)</f>
        <v>8583.33</v>
      </c>
      <c r="C434" s="1">
        <f>IFERROR(__xludf.DUMMYFUNCTION("""COMPUTED_VALUE"""),8875.0)</f>
        <v>8875</v>
      </c>
      <c r="D434" s="1">
        <f>IFERROR(__xludf.DUMMYFUNCTION("""COMPUTED_VALUE"""),8375.0)</f>
        <v>8375</v>
      </c>
      <c r="E434" s="1">
        <f>IFERROR(__xludf.DUMMYFUNCTION("""COMPUTED_VALUE"""),8500.0)</f>
        <v>8500</v>
      </c>
      <c r="F434" s="1">
        <f>IFERROR(__xludf.DUMMYFUNCTION("""COMPUTED_VALUE"""),35339.0)</f>
        <v>35339</v>
      </c>
    </row>
    <row r="435">
      <c r="A435" s="2">
        <f>IFERROR(__xludf.DUMMYFUNCTION("""COMPUTED_VALUE"""),44831.64583333333)</f>
        <v>44831.64583</v>
      </c>
      <c r="B435" s="1">
        <f>IFERROR(__xludf.DUMMYFUNCTION("""COMPUTED_VALUE"""),8375.0)</f>
        <v>8375</v>
      </c>
      <c r="C435" s="1">
        <f>IFERROR(__xludf.DUMMYFUNCTION("""COMPUTED_VALUE"""),8666.67)</f>
        <v>8666.67</v>
      </c>
      <c r="D435" s="1">
        <f>IFERROR(__xludf.DUMMYFUNCTION("""COMPUTED_VALUE"""),8258.33)</f>
        <v>8258.33</v>
      </c>
      <c r="E435" s="1">
        <f>IFERROR(__xludf.DUMMYFUNCTION("""COMPUTED_VALUE"""),8458.33)</f>
        <v>8458.33</v>
      </c>
      <c r="F435" s="1">
        <f>IFERROR(__xludf.DUMMYFUNCTION("""COMPUTED_VALUE"""),37822.0)</f>
        <v>37822</v>
      </c>
    </row>
    <row r="436">
      <c r="A436" s="2">
        <f>IFERROR(__xludf.DUMMYFUNCTION("""COMPUTED_VALUE"""),44832.64583333333)</f>
        <v>44832.64583</v>
      </c>
      <c r="B436" s="1">
        <f>IFERROR(__xludf.DUMMYFUNCTION("""COMPUTED_VALUE"""),8333.33)</f>
        <v>8333.33</v>
      </c>
      <c r="C436" s="1">
        <f>IFERROR(__xludf.DUMMYFUNCTION("""COMPUTED_VALUE"""),8500.0)</f>
        <v>8500</v>
      </c>
      <c r="D436" s="1">
        <f>IFERROR(__xludf.DUMMYFUNCTION("""COMPUTED_VALUE"""),7916.67)</f>
        <v>7916.67</v>
      </c>
      <c r="E436" s="1">
        <f>IFERROR(__xludf.DUMMYFUNCTION("""COMPUTED_VALUE"""),8025.0)</f>
        <v>8025</v>
      </c>
      <c r="F436" s="1">
        <f>IFERROR(__xludf.DUMMYFUNCTION("""COMPUTED_VALUE"""),58859.0)</f>
        <v>58859</v>
      </c>
    </row>
    <row r="437">
      <c r="A437" s="2">
        <f>IFERROR(__xludf.DUMMYFUNCTION("""COMPUTED_VALUE"""),44833.64583333333)</f>
        <v>44833.64583</v>
      </c>
      <c r="B437" s="1">
        <f>IFERROR(__xludf.DUMMYFUNCTION("""COMPUTED_VALUE"""),8108.33)</f>
        <v>8108.33</v>
      </c>
      <c r="C437" s="1">
        <f>IFERROR(__xludf.DUMMYFUNCTION("""COMPUTED_VALUE"""),8375.0)</f>
        <v>8375</v>
      </c>
      <c r="D437" s="1">
        <f>IFERROR(__xludf.DUMMYFUNCTION("""COMPUTED_VALUE"""),8108.33)</f>
        <v>8108.33</v>
      </c>
      <c r="E437" s="1">
        <f>IFERROR(__xludf.DUMMYFUNCTION("""COMPUTED_VALUE"""),8166.67)</f>
        <v>8166.67</v>
      </c>
      <c r="F437" s="1">
        <f>IFERROR(__xludf.DUMMYFUNCTION("""COMPUTED_VALUE"""),30003.0)</f>
        <v>30003</v>
      </c>
    </row>
    <row r="438">
      <c r="A438" s="2">
        <f>IFERROR(__xludf.DUMMYFUNCTION("""COMPUTED_VALUE"""),44834.64583333333)</f>
        <v>44834.64583</v>
      </c>
      <c r="B438" s="1">
        <f>IFERROR(__xludf.DUMMYFUNCTION("""COMPUTED_VALUE"""),8008.33)</f>
        <v>8008.33</v>
      </c>
      <c r="C438" s="1">
        <f>IFERROR(__xludf.DUMMYFUNCTION("""COMPUTED_VALUE"""),8150.0)</f>
        <v>8150</v>
      </c>
      <c r="D438" s="1">
        <f>IFERROR(__xludf.DUMMYFUNCTION("""COMPUTED_VALUE"""),7808.33)</f>
        <v>7808.33</v>
      </c>
      <c r="E438" s="1">
        <f>IFERROR(__xludf.DUMMYFUNCTION("""COMPUTED_VALUE"""),8058.33)</f>
        <v>8058.33</v>
      </c>
      <c r="F438" s="1">
        <f>IFERROR(__xludf.DUMMYFUNCTION("""COMPUTED_VALUE"""),38573.0)</f>
        <v>38573</v>
      </c>
    </row>
    <row r="439">
      <c r="A439" s="2">
        <f>IFERROR(__xludf.DUMMYFUNCTION("""COMPUTED_VALUE"""),44838.64583333333)</f>
        <v>44838.64583</v>
      </c>
      <c r="B439" s="1">
        <f>IFERROR(__xludf.DUMMYFUNCTION("""COMPUTED_VALUE"""),8175.0)</f>
        <v>8175</v>
      </c>
      <c r="C439" s="1">
        <f>IFERROR(__xludf.DUMMYFUNCTION("""COMPUTED_VALUE"""),8291.67)</f>
        <v>8291.67</v>
      </c>
      <c r="D439" s="1">
        <f>IFERROR(__xludf.DUMMYFUNCTION("""COMPUTED_VALUE"""),8125.0)</f>
        <v>8125</v>
      </c>
      <c r="E439" s="1">
        <f>IFERROR(__xludf.DUMMYFUNCTION("""COMPUTED_VALUE"""),8291.67)</f>
        <v>8291.67</v>
      </c>
      <c r="F439" s="1">
        <f>IFERROR(__xludf.DUMMYFUNCTION("""COMPUTED_VALUE"""),27670.0)</f>
        <v>27670</v>
      </c>
    </row>
    <row r="440">
      <c r="A440" s="2">
        <f>IFERROR(__xludf.DUMMYFUNCTION("""COMPUTED_VALUE"""),44839.64583333333)</f>
        <v>44839.64583</v>
      </c>
      <c r="B440" s="1">
        <f>IFERROR(__xludf.DUMMYFUNCTION("""COMPUTED_VALUE"""),8325.0)</f>
        <v>8325</v>
      </c>
      <c r="C440" s="1">
        <f>IFERROR(__xludf.DUMMYFUNCTION("""COMPUTED_VALUE"""),8416.67)</f>
        <v>8416.67</v>
      </c>
      <c r="D440" s="1">
        <f>IFERROR(__xludf.DUMMYFUNCTION("""COMPUTED_VALUE"""),8025.0)</f>
        <v>8025</v>
      </c>
      <c r="E440" s="1">
        <f>IFERROR(__xludf.DUMMYFUNCTION("""COMPUTED_VALUE"""),8058.33)</f>
        <v>8058.33</v>
      </c>
      <c r="F440" s="1">
        <f>IFERROR(__xludf.DUMMYFUNCTION("""COMPUTED_VALUE"""),31487.0)</f>
        <v>31487</v>
      </c>
    </row>
    <row r="441">
      <c r="A441" s="2">
        <f>IFERROR(__xludf.DUMMYFUNCTION("""COMPUTED_VALUE"""),44840.64583333333)</f>
        <v>44840.64583</v>
      </c>
      <c r="B441" s="1">
        <f>IFERROR(__xludf.DUMMYFUNCTION("""COMPUTED_VALUE"""),8008.33)</f>
        <v>8008.33</v>
      </c>
      <c r="C441" s="1">
        <f>IFERROR(__xludf.DUMMYFUNCTION("""COMPUTED_VALUE"""),8416.67)</f>
        <v>8416.67</v>
      </c>
      <c r="D441" s="1">
        <f>IFERROR(__xludf.DUMMYFUNCTION("""COMPUTED_VALUE"""),8008.33)</f>
        <v>8008.33</v>
      </c>
      <c r="E441" s="1">
        <f>IFERROR(__xludf.DUMMYFUNCTION("""COMPUTED_VALUE"""),8291.67)</f>
        <v>8291.67</v>
      </c>
      <c r="F441" s="1">
        <f>IFERROR(__xludf.DUMMYFUNCTION("""COMPUTED_VALUE"""),28404.0)</f>
        <v>28404</v>
      </c>
    </row>
    <row r="442">
      <c r="A442" s="2">
        <f>IFERROR(__xludf.DUMMYFUNCTION("""COMPUTED_VALUE"""),44841.64583333333)</f>
        <v>44841.64583</v>
      </c>
      <c r="B442" s="1">
        <f>IFERROR(__xludf.DUMMYFUNCTION("""COMPUTED_VALUE"""),8250.0)</f>
        <v>8250</v>
      </c>
      <c r="C442" s="1">
        <f>IFERROR(__xludf.DUMMYFUNCTION("""COMPUTED_VALUE"""),8308.33)</f>
        <v>8308.33</v>
      </c>
      <c r="D442" s="1">
        <f>IFERROR(__xludf.DUMMYFUNCTION("""COMPUTED_VALUE"""),8150.0)</f>
        <v>8150</v>
      </c>
      <c r="E442" s="1">
        <f>IFERROR(__xludf.DUMMYFUNCTION("""COMPUTED_VALUE"""),8216.67)</f>
        <v>8216.67</v>
      </c>
      <c r="F442" s="1">
        <f>IFERROR(__xludf.DUMMYFUNCTION("""COMPUTED_VALUE"""),14258.0)</f>
        <v>14258</v>
      </c>
    </row>
    <row r="443">
      <c r="A443" s="2">
        <f>IFERROR(__xludf.DUMMYFUNCTION("""COMPUTED_VALUE"""),44845.64583333333)</f>
        <v>44845.64583</v>
      </c>
      <c r="B443" s="1">
        <f>IFERROR(__xludf.DUMMYFUNCTION("""COMPUTED_VALUE"""),8166.67)</f>
        <v>8166.67</v>
      </c>
      <c r="C443" s="1">
        <f>IFERROR(__xludf.DUMMYFUNCTION("""COMPUTED_VALUE"""),8166.67)</f>
        <v>8166.67</v>
      </c>
      <c r="D443" s="1">
        <f>IFERROR(__xludf.DUMMYFUNCTION("""COMPUTED_VALUE"""),7708.33)</f>
        <v>7708.33</v>
      </c>
      <c r="E443" s="1">
        <f>IFERROR(__xludf.DUMMYFUNCTION("""COMPUTED_VALUE"""),7741.67)</f>
        <v>7741.67</v>
      </c>
      <c r="F443" s="1">
        <f>IFERROR(__xludf.DUMMYFUNCTION("""COMPUTED_VALUE"""),38669.0)</f>
        <v>38669</v>
      </c>
    </row>
    <row r="444">
      <c r="A444" s="2">
        <f>IFERROR(__xludf.DUMMYFUNCTION("""COMPUTED_VALUE"""),44846.64583333333)</f>
        <v>44846.64583</v>
      </c>
      <c r="B444" s="1">
        <f>IFERROR(__xludf.DUMMYFUNCTION("""COMPUTED_VALUE"""),7708.33)</f>
        <v>7708.33</v>
      </c>
      <c r="C444" s="1">
        <f>IFERROR(__xludf.DUMMYFUNCTION("""COMPUTED_VALUE"""),7758.33)</f>
        <v>7758.33</v>
      </c>
      <c r="D444" s="1">
        <f>IFERROR(__xludf.DUMMYFUNCTION("""COMPUTED_VALUE"""),7500.0)</f>
        <v>7500</v>
      </c>
      <c r="E444" s="1">
        <f>IFERROR(__xludf.DUMMYFUNCTION("""COMPUTED_VALUE"""),7691.67)</f>
        <v>7691.67</v>
      </c>
      <c r="F444" s="1">
        <f>IFERROR(__xludf.DUMMYFUNCTION("""COMPUTED_VALUE"""),26327.0)</f>
        <v>26327</v>
      </c>
    </row>
    <row r="445">
      <c r="A445" s="2">
        <f>IFERROR(__xludf.DUMMYFUNCTION("""COMPUTED_VALUE"""),44847.64583333333)</f>
        <v>44847.64583</v>
      </c>
      <c r="B445" s="1">
        <f>IFERROR(__xludf.DUMMYFUNCTION("""COMPUTED_VALUE"""),7650.0)</f>
        <v>7650</v>
      </c>
      <c r="C445" s="1">
        <f>IFERROR(__xludf.DUMMYFUNCTION("""COMPUTED_VALUE"""),7683.33)</f>
        <v>7683.33</v>
      </c>
      <c r="D445" s="1">
        <f>IFERROR(__xludf.DUMMYFUNCTION("""COMPUTED_VALUE"""),7083.33)</f>
        <v>7083.33</v>
      </c>
      <c r="E445" s="1">
        <f>IFERROR(__xludf.DUMMYFUNCTION("""COMPUTED_VALUE"""),7125.0)</f>
        <v>7125</v>
      </c>
      <c r="F445" s="1">
        <f>IFERROR(__xludf.DUMMYFUNCTION("""COMPUTED_VALUE"""),58713.0)</f>
        <v>58713</v>
      </c>
    </row>
    <row r="446">
      <c r="A446" s="2">
        <f>IFERROR(__xludf.DUMMYFUNCTION("""COMPUTED_VALUE"""),44848.64583333333)</f>
        <v>44848.64583</v>
      </c>
      <c r="B446" s="1">
        <f>IFERROR(__xludf.DUMMYFUNCTION("""COMPUTED_VALUE"""),7266.67)</f>
        <v>7266.67</v>
      </c>
      <c r="C446" s="1">
        <f>IFERROR(__xludf.DUMMYFUNCTION("""COMPUTED_VALUE"""),7733.33)</f>
        <v>7733.33</v>
      </c>
      <c r="D446" s="1">
        <f>IFERROR(__xludf.DUMMYFUNCTION("""COMPUTED_VALUE"""),7208.33)</f>
        <v>7208.33</v>
      </c>
      <c r="E446" s="1">
        <f>IFERROR(__xludf.DUMMYFUNCTION("""COMPUTED_VALUE"""),7533.33)</f>
        <v>7533.33</v>
      </c>
      <c r="F446" s="1">
        <f>IFERROR(__xludf.DUMMYFUNCTION("""COMPUTED_VALUE"""),53016.0)</f>
        <v>53016</v>
      </c>
    </row>
    <row r="447">
      <c r="A447" s="2">
        <f>IFERROR(__xludf.DUMMYFUNCTION("""COMPUTED_VALUE"""),44851.64583333333)</f>
        <v>44851.64583</v>
      </c>
      <c r="B447" s="1">
        <f>IFERROR(__xludf.DUMMYFUNCTION("""COMPUTED_VALUE"""),7458.33)</f>
        <v>7458.33</v>
      </c>
      <c r="C447" s="1">
        <f>IFERROR(__xludf.DUMMYFUNCTION("""COMPUTED_VALUE"""),8375.0)</f>
        <v>8375</v>
      </c>
      <c r="D447" s="1">
        <f>IFERROR(__xludf.DUMMYFUNCTION("""COMPUTED_VALUE"""),7358.33)</f>
        <v>7358.33</v>
      </c>
      <c r="E447" s="1">
        <f>IFERROR(__xludf.DUMMYFUNCTION("""COMPUTED_VALUE"""),8041.67)</f>
        <v>8041.67</v>
      </c>
      <c r="F447" s="1">
        <f>IFERROR(__xludf.DUMMYFUNCTION("""COMPUTED_VALUE"""),109132.0)</f>
        <v>109132</v>
      </c>
    </row>
    <row r="448">
      <c r="A448" s="2">
        <f>IFERROR(__xludf.DUMMYFUNCTION("""COMPUTED_VALUE"""),44852.64583333333)</f>
        <v>44852.64583</v>
      </c>
      <c r="B448" s="1">
        <f>IFERROR(__xludf.DUMMYFUNCTION("""COMPUTED_VALUE"""),8325.0)</f>
        <v>8325</v>
      </c>
      <c r="C448" s="1">
        <f>IFERROR(__xludf.DUMMYFUNCTION("""COMPUTED_VALUE"""),9791.67)</f>
        <v>9791.67</v>
      </c>
      <c r="D448" s="1">
        <f>IFERROR(__xludf.DUMMYFUNCTION("""COMPUTED_VALUE"""),8283.33)</f>
        <v>8283.33</v>
      </c>
      <c r="E448" s="1">
        <f>IFERROR(__xludf.DUMMYFUNCTION("""COMPUTED_VALUE"""),8583.33)</f>
        <v>8583.33</v>
      </c>
      <c r="F448" s="1">
        <f>IFERROR(__xludf.DUMMYFUNCTION("""COMPUTED_VALUE"""),219621.0)</f>
        <v>219621</v>
      </c>
    </row>
    <row r="449">
      <c r="A449" s="2">
        <f>IFERROR(__xludf.DUMMYFUNCTION("""COMPUTED_VALUE"""),44853.64583333333)</f>
        <v>44853.64583</v>
      </c>
      <c r="B449" s="1">
        <f>IFERROR(__xludf.DUMMYFUNCTION("""COMPUTED_VALUE"""),8750.0)</f>
        <v>8750</v>
      </c>
      <c r="C449" s="1">
        <f>IFERROR(__xludf.DUMMYFUNCTION("""COMPUTED_VALUE"""),8791.67)</f>
        <v>8791.67</v>
      </c>
      <c r="D449" s="1">
        <f>IFERROR(__xludf.DUMMYFUNCTION("""COMPUTED_VALUE"""),8091.67)</f>
        <v>8091.67</v>
      </c>
      <c r="E449" s="1">
        <f>IFERROR(__xludf.DUMMYFUNCTION("""COMPUTED_VALUE"""),8158.33)</f>
        <v>8158.33</v>
      </c>
      <c r="F449" s="1">
        <f>IFERROR(__xludf.DUMMYFUNCTION("""COMPUTED_VALUE"""),61516.0)</f>
        <v>61516</v>
      </c>
    </row>
    <row r="450">
      <c r="A450" s="2">
        <f>IFERROR(__xludf.DUMMYFUNCTION("""COMPUTED_VALUE"""),44854.64583333333)</f>
        <v>44854.64583</v>
      </c>
      <c r="B450" s="1">
        <f>IFERROR(__xludf.DUMMYFUNCTION("""COMPUTED_VALUE"""),8216.67)</f>
        <v>8216.67</v>
      </c>
      <c r="C450" s="1">
        <f>IFERROR(__xludf.DUMMYFUNCTION("""COMPUTED_VALUE"""),8375.0)</f>
        <v>8375</v>
      </c>
      <c r="D450" s="1">
        <f>IFERROR(__xludf.DUMMYFUNCTION("""COMPUTED_VALUE"""),8075.0)</f>
        <v>8075</v>
      </c>
      <c r="E450" s="1">
        <f>IFERROR(__xludf.DUMMYFUNCTION("""COMPUTED_VALUE"""),8200.0)</f>
        <v>8200</v>
      </c>
      <c r="F450" s="1">
        <f>IFERROR(__xludf.DUMMYFUNCTION("""COMPUTED_VALUE"""),23302.0)</f>
        <v>23302</v>
      </c>
    </row>
    <row r="451">
      <c r="A451" s="2">
        <f>IFERROR(__xludf.DUMMYFUNCTION("""COMPUTED_VALUE"""),44855.64583333333)</f>
        <v>44855.64583</v>
      </c>
      <c r="B451" s="1">
        <f>IFERROR(__xludf.DUMMYFUNCTION("""COMPUTED_VALUE"""),8175.0)</f>
        <v>8175</v>
      </c>
      <c r="C451" s="1">
        <f>IFERROR(__xludf.DUMMYFUNCTION("""COMPUTED_VALUE"""),8175.0)</f>
        <v>8175</v>
      </c>
      <c r="D451" s="1">
        <f>IFERROR(__xludf.DUMMYFUNCTION("""COMPUTED_VALUE"""),7925.0)</f>
        <v>7925</v>
      </c>
      <c r="E451" s="1">
        <f>IFERROR(__xludf.DUMMYFUNCTION("""COMPUTED_VALUE"""),7950.0)</f>
        <v>7950</v>
      </c>
      <c r="F451" s="1">
        <f>IFERROR(__xludf.DUMMYFUNCTION("""COMPUTED_VALUE"""),14051.0)</f>
        <v>14051</v>
      </c>
    </row>
    <row r="452">
      <c r="A452" s="2">
        <f>IFERROR(__xludf.DUMMYFUNCTION("""COMPUTED_VALUE"""),44858.64583333333)</f>
        <v>44858.64583</v>
      </c>
      <c r="B452" s="1">
        <f>IFERROR(__xludf.DUMMYFUNCTION("""COMPUTED_VALUE"""),7958.33)</f>
        <v>7958.33</v>
      </c>
      <c r="C452" s="1">
        <f>IFERROR(__xludf.DUMMYFUNCTION("""COMPUTED_VALUE"""),8116.67)</f>
        <v>8116.67</v>
      </c>
      <c r="D452" s="1">
        <f>IFERROR(__xludf.DUMMYFUNCTION("""COMPUTED_VALUE"""),7941.67)</f>
        <v>7941.67</v>
      </c>
      <c r="E452" s="1">
        <f>IFERROR(__xludf.DUMMYFUNCTION("""COMPUTED_VALUE"""),7941.67)</f>
        <v>7941.67</v>
      </c>
      <c r="F452" s="1">
        <f>IFERROR(__xludf.DUMMYFUNCTION("""COMPUTED_VALUE"""),22061.0)</f>
        <v>22061</v>
      </c>
    </row>
    <row r="453">
      <c r="A453" s="2">
        <f>IFERROR(__xludf.DUMMYFUNCTION("""COMPUTED_VALUE"""),44859.64583333333)</f>
        <v>44859.64583</v>
      </c>
      <c r="B453" s="1">
        <f>IFERROR(__xludf.DUMMYFUNCTION("""COMPUTED_VALUE"""),7941.67)</f>
        <v>7941.67</v>
      </c>
      <c r="C453" s="1">
        <f>IFERROR(__xludf.DUMMYFUNCTION("""COMPUTED_VALUE"""),8275.0)</f>
        <v>8275</v>
      </c>
      <c r="D453" s="1">
        <f>IFERROR(__xludf.DUMMYFUNCTION("""COMPUTED_VALUE"""),7916.67)</f>
        <v>7916.67</v>
      </c>
      <c r="E453" s="1">
        <f>IFERROR(__xludf.DUMMYFUNCTION("""COMPUTED_VALUE"""),7966.67)</f>
        <v>7966.67</v>
      </c>
      <c r="F453" s="1">
        <f>IFERROR(__xludf.DUMMYFUNCTION("""COMPUTED_VALUE"""),32217.0)</f>
        <v>32217</v>
      </c>
    </row>
    <row r="454">
      <c r="A454" s="2">
        <f>IFERROR(__xludf.DUMMYFUNCTION("""COMPUTED_VALUE"""),44860.64583333333)</f>
        <v>44860.64583</v>
      </c>
      <c r="B454" s="1">
        <f>IFERROR(__xludf.DUMMYFUNCTION("""COMPUTED_VALUE"""),7991.67)</f>
        <v>7991.67</v>
      </c>
      <c r="C454" s="1">
        <f>IFERROR(__xludf.DUMMYFUNCTION("""COMPUTED_VALUE"""),8066.67)</f>
        <v>8066.67</v>
      </c>
      <c r="D454" s="1">
        <f>IFERROR(__xludf.DUMMYFUNCTION("""COMPUTED_VALUE"""),7800.0)</f>
        <v>7800</v>
      </c>
      <c r="E454" s="1">
        <f>IFERROR(__xludf.DUMMYFUNCTION("""COMPUTED_VALUE"""),7800.0)</f>
        <v>7800</v>
      </c>
      <c r="F454" s="1">
        <f>IFERROR(__xludf.DUMMYFUNCTION("""COMPUTED_VALUE"""),18897.0)</f>
        <v>18897</v>
      </c>
    </row>
    <row r="455">
      <c r="A455" s="2">
        <f>IFERROR(__xludf.DUMMYFUNCTION("""COMPUTED_VALUE"""),44861.64583333333)</f>
        <v>44861.64583</v>
      </c>
      <c r="B455" s="1">
        <f>IFERROR(__xludf.DUMMYFUNCTION("""COMPUTED_VALUE"""),7908.33)</f>
        <v>7908.33</v>
      </c>
      <c r="C455" s="1">
        <f>IFERROR(__xludf.DUMMYFUNCTION("""COMPUTED_VALUE"""),8500.0)</f>
        <v>8500</v>
      </c>
      <c r="D455" s="1">
        <f>IFERROR(__xludf.DUMMYFUNCTION("""COMPUTED_VALUE"""),7850.0)</f>
        <v>7850</v>
      </c>
      <c r="E455" s="1">
        <f>IFERROR(__xludf.DUMMYFUNCTION("""COMPUTED_VALUE"""),8058.33)</f>
        <v>8058.33</v>
      </c>
      <c r="F455" s="1">
        <f>IFERROR(__xludf.DUMMYFUNCTION("""COMPUTED_VALUE"""),71740.0)</f>
        <v>71740</v>
      </c>
    </row>
    <row r="456">
      <c r="A456" s="2">
        <f>IFERROR(__xludf.DUMMYFUNCTION("""COMPUTED_VALUE"""),44862.64583333333)</f>
        <v>44862.64583</v>
      </c>
      <c r="B456" s="1">
        <f>IFERROR(__xludf.DUMMYFUNCTION("""COMPUTED_VALUE"""),8033.33)</f>
        <v>8033.33</v>
      </c>
      <c r="C456" s="1">
        <f>IFERROR(__xludf.DUMMYFUNCTION("""COMPUTED_VALUE"""),8050.0)</f>
        <v>8050</v>
      </c>
      <c r="D456" s="1">
        <f>IFERROR(__xludf.DUMMYFUNCTION("""COMPUTED_VALUE"""),7808.33)</f>
        <v>7808.33</v>
      </c>
      <c r="E456" s="1">
        <f>IFERROR(__xludf.DUMMYFUNCTION("""COMPUTED_VALUE"""),7908.33)</f>
        <v>7908.33</v>
      </c>
      <c r="F456" s="1">
        <f>IFERROR(__xludf.DUMMYFUNCTION("""COMPUTED_VALUE"""),39238.0)</f>
        <v>39238</v>
      </c>
    </row>
    <row r="457">
      <c r="A457" s="2">
        <f>IFERROR(__xludf.DUMMYFUNCTION("""COMPUTED_VALUE"""),44865.64583333333)</f>
        <v>44865.64583</v>
      </c>
      <c r="B457" s="1">
        <f>IFERROR(__xludf.DUMMYFUNCTION("""COMPUTED_VALUE"""),8083.33)</f>
        <v>8083.33</v>
      </c>
      <c r="C457" s="1">
        <f>IFERROR(__xludf.DUMMYFUNCTION("""COMPUTED_VALUE"""),8208.33)</f>
        <v>8208.33</v>
      </c>
      <c r="D457" s="1">
        <f>IFERROR(__xludf.DUMMYFUNCTION("""COMPUTED_VALUE"""),7891.67)</f>
        <v>7891.67</v>
      </c>
      <c r="E457" s="1">
        <f>IFERROR(__xludf.DUMMYFUNCTION("""COMPUTED_VALUE"""),7916.67)</f>
        <v>7916.67</v>
      </c>
      <c r="F457" s="1">
        <f>IFERROR(__xludf.DUMMYFUNCTION("""COMPUTED_VALUE"""),33877.0)</f>
        <v>33877</v>
      </c>
    </row>
    <row r="458">
      <c r="A458" s="2">
        <f>IFERROR(__xludf.DUMMYFUNCTION("""COMPUTED_VALUE"""),44866.64583333333)</f>
        <v>44866.64583</v>
      </c>
      <c r="B458" s="1">
        <f>IFERROR(__xludf.DUMMYFUNCTION("""COMPUTED_VALUE"""),7916.67)</f>
        <v>7916.67</v>
      </c>
      <c r="C458" s="1">
        <f>IFERROR(__xludf.DUMMYFUNCTION("""COMPUTED_VALUE"""),8141.67)</f>
        <v>8141.67</v>
      </c>
      <c r="D458" s="1">
        <f>IFERROR(__xludf.DUMMYFUNCTION("""COMPUTED_VALUE"""),7858.33)</f>
        <v>7858.33</v>
      </c>
      <c r="E458" s="1">
        <f>IFERROR(__xludf.DUMMYFUNCTION("""COMPUTED_VALUE"""),8083.33)</f>
        <v>8083.33</v>
      </c>
      <c r="F458" s="1">
        <f>IFERROR(__xludf.DUMMYFUNCTION("""COMPUTED_VALUE"""),64094.0)</f>
        <v>64094</v>
      </c>
    </row>
    <row r="459">
      <c r="A459" s="2">
        <f>IFERROR(__xludf.DUMMYFUNCTION("""COMPUTED_VALUE"""),44867.64583333333)</f>
        <v>44867.64583</v>
      </c>
      <c r="B459" s="1">
        <f>IFERROR(__xludf.DUMMYFUNCTION("""COMPUTED_VALUE"""),8208.33)</f>
        <v>8208.33</v>
      </c>
      <c r="C459" s="1">
        <f>IFERROR(__xludf.DUMMYFUNCTION("""COMPUTED_VALUE"""),9583.33)</f>
        <v>9583.33</v>
      </c>
      <c r="D459" s="1">
        <f>IFERROR(__xludf.DUMMYFUNCTION("""COMPUTED_VALUE"""),8191.67)</f>
        <v>8191.67</v>
      </c>
      <c r="E459" s="1">
        <f>IFERROR(__xludf.DUMMYFUNCTION("""COMPUTED_VALUE"""),8583.33)</f>
        <v>8583.33</v>
      </c>
      <c r="F459" s="1">
        <f>IFERROR(__xludf.DUMMYFUNCTION("""COMPUTED_VALUE"""),375182.0)</f>
        <v>375182</v>
      </c>
    </row>
    <row r="460">
      <c r="A460" s="2">
        <f>IFERROR(__xludf.DUMMYFUNCTION("""COMPUTED_VALUE"""),44868.64583333333)</f>
        <v>44868.64583</v>
      </c>
      <c r="B460" s="1">
        <f>IFERROR(__xludf.DUMMYFUNCTION("""COMPUTED_VALUE"""),8458.33)</f>
        <v>8458.33</v>
      </c>
      <c r="C460" s="1">
        <f>IFERROR(__xludf.DUMMYFUNCTION("""COMPUTED_VALUE"""),8708.33)</f>
        <v>8708.33</v>
      </c>
      <c r="D460" s="1">
        <f>IFERROR(__xludf.DUMMYFUNCTION("""COMPUTED_VALUE"""),8316.67)</f>
        <v>8316.67</v>
      </c>
      <c r="E460" s="1">
        <f>IFERROR(__xludf.DUMMYFUNCTION("""COMPUTED_VALUE"""),8458.33)</f>
        <v>8458.33</v>
      </c>
      <c r="F460" s="1">
        <f>IFERROR(__xludf.DUMMYFUNCTION("""COMPUTED_VALUE"""),60859.0)</f>
        <v>60859</v>
      </c>
    </row>
    <row r="461">
      <c r="A461" s="2">
        <f>IFERROR(__xludf.DUMMYFUNCTION("""COMPUTED_VALUE"""),44869.64583333333)</f>
        <v>44869.64583</v>
      </c>
      <c r="B461" s="1">
        <f>IFERROR(__xludf.DUMMYFUNCTION("""COMPUTED_VALUE"""),8708.33)</f>
        <v>8708.33</v>
      </c>
      <c r="C461" s="1">
        <f>IFERROR(__xludf.DUMMYFUNCTION("""COMPUTED_VALUE"""),9125.0)</f>
        <v>9125</v>
      </c>
      <c r="D461" s="1">
        <f>IFERROR(__xludf.DUMMYFUNCTION("""COMPUTED_VALUE"""),8416.67)</f>
        <v>8416.67</v>
      </c>
      <c r="E461" s="1">
        <f>IFERROR(__xludf.DUMMYFUNCTION("""COMPUTED_VALUE"""),8458.33)</f>
        <v>8458.33</v>
      </c>
      <c r="F461" s="1">
        <f>IFERROR(__xludf.DUMMYFUNCTION("""COMPUTED_VALUE"""),138719.0)</f>
        <v>138719</v>
      </c>
    </row>
    <row r="462">
      <c r="A462" s="2">
        <f>IFERROR(__xludf.DUMMYFUNCTION("""COMPUTED_VALUE"""),44872.64583333333)</f>
        <v>44872.64583</v>
      </c>
      <c r="B462" s="1">
        <f>IFERROR(__xludf.DUMMYFUNCTION("""COMPUTED_VALUE"""),8375.0)</f>
        <v>8375</v>
      </c>
      <c r="C462" s="1">
        <f>IFERROR(__xludf.DUMMYFUNCTION("""COMPUTED_VALUE"""),8958.33)</f>
        <v>8958.33</v>
      </c>
      <c r="D462" s="1">
        <f>IFERROR(__xludf.DUMMYFUNCTION("""COMPUTED_VALUE"""),8375.0)</f>
        <v>8375</v>
      </c>
      <c r="E462" s="1">
        <f>IFERROR(__xludf.DUMMYFUNCTION("""COMPUTED_VALUE"""),8541.67)</f>
        <v>8541.67</v>
      </c>
      <c r="F462" s="1">
        <f>IFERROR(__xludf.DUMMYFUNCTION("""COMPUTED_VALUE"""),85653.0)</f>
        <v>85653</v>
      </c>
    </row>
    <row r="463">
      <c r="A463" s="2">
        <f>IFERROR(__xludf.DUMMYFUNCTION("""COMPUTED_VALUE"""),44873.64583333333)</f>
        <v>44873.64583</v>
      </c>
      <c r="B463" s="1">
        <f>IFERROR(__xludf.DUMMYFUNCTION("""COMPUTED_VALUE"""),8708.33)</f>
        <v>8708.33</v>
      </c>
      <c r="C463" s="1">
        <f>IFERROR(__xludf.DUMMYFUNCTION("""COMPUTED_VALUE"""),9250.0)</f>
        <v>9250</v>
      </c>
      <c r="D463" s="1">
        <f>IFERROR(__xludf.DUMMYFUNCTION("""COMPUTED_VALUE"""),8541.67)</f>
        <v>8541.67</v>
      </c>
      <c r="E463" s="1">
        <f>IFERROR(__xludf.DUMMYFUNCTION("""COMPUTED_VALUE"""),9250.0)</f>
        <v>9250</v>
      </c>
      <c r="F463" s="1">
        <f>IFERROR(__xludf.DUMMYFUNCTION("""COMPUTED_VALUE"""),113409.0)</f>
        <v>113409</v>
      </c>
    </row>
    <row r="464">
      <c r="A464" s="2">
        <f>IFERROR(__xludf.DUMMYFUNCTION("""COMPUTED_VALUE"""),44874.64583333333)</f>
        <v>44874.64583</v>
      </c>
      <c r="B464" s="1">
        <f>IFERROR(__xludf.DUMMYFUNCTION("""COMPUTED_VALUE"""),9480.0)</f>
        <v>9480</v>
      </c>
      <c r="C464" s="1">
        <f>IFERROR(__xludf.DUMMYFUNCTION("""COMPUTED_VALUE"""),11700.0)</f>
        <v>11700</v>
      </c>
      <c r="D464" s="1">
        <f>IFERROR(__xludf.DUMMYFUNCTION("""COMPUTED_VALUE"""),9400.0)</f>
        <v>9400</v>
      </c>
      <c r="E464" s="1">
        <f>IFERROR(__xludf.DUMMYFUNCTION("""COMPUTED_VALUE"""),10050.0)</f>
        <v>10050</v>
      </c>
      <c r="F464" s="1">
        <f>IFERROR(__xludf.DUMMYFUNCTION("""COMPUTED_VALUE"""),894688.0)</f>
        <v>894688</v>
      </c>
    </row>
    <row r="465">
      <c r="A465" s="2">
        <f>IFERROR(__xludf.DUMMYFUNCTION("""COMPUTED_VALUE"""),44875.64583333333)</f>
        <v>44875.64583</v>
      </c>
      <c r="B465" s="1">
        <f>IFERROR(__xludf.DUMMYFUNCTION("""COMPUTED_VALUE"""),9990.0)</f>
        <v>9990</v>
      </c>
      <c r="C465" s="1">
        <f>IFERROR(__xludf.DUMMYFUNCTION("""COMPUTED_VALUE"""),10000.0)</f>
        <v>10000</v>
      </c>
      <c r="D465" s="1">
        <f>IFERROR(__xludf.DUMMYFUNCTION("""COMPUTED_VALUE"""),9530.0)</f>
        <v>9530</v>
      </c>
      <c r="E465" s="1">
        <f>IFERROR(__xludf.DUMMYFUNCTION("""COMPUTED_VALUE"""),9610.0)</f>
        <v>9610</v>
      </c>
      <c r="F465" s="1">
        <f>IFERROR(__xludf.DUMMYFUNCTION("""COMPUTED_VALUE"""),119103.0)</f>
        <v>119103</v>
      </c>
    </row>
    <row r="466">
      <c r="A466" s="2">
        <f>IFERROR(__xludf.DUMMYFUNCTION("""COMPUTED_VALUE"""),44876.64583333333)</f>
        <v>44876.64583</v>
      </c>
      <c r="B466" s="1">
        <f>IFERROR(__xludf.DUMMYFUNCTION("""COMPUTED_VALUE"""),9800.0)</f>
        <v>9800</v>
      </c>
      <c r="C466" s="1">
        <f>IFERROR(__xludf.DUMMYFUNCTION("""COMPUTED_VALUE"""),10100.0)</f>
        <v>10100</v>
      </c>
      <c r="D466" s="1">
        <f>IFERROR(__xludf.DUMMYFUNCTION("""COMPUTED_VALUE"""),9760.0)</f>
        <v>9760</v>
      </c>
      <c r="E466" s="1">
        <f>IFERROR(__xludf.DUMMYFUNCTION("""COMPUTED_VALUE"""),9810.0)</f>
        <v>9810</v>
      </c>
      <c r="F466" s="1">
        <f>IFERROR(__xludf.DUMMYFUNCTION("""COMPUTED_VALUE"""),124448.0)</f>
        <v>124448</v>
      </c>
    </row>
    <row r="467">
      <c r="A467" s="2">
        <f>IFERROR(__xludf.DUMMYFUNCTION("""COMPUTED_VALUE"""),44879.64583333333)</f>
        <v>44879.64583</v>
      </c>
      <c r="B467" s="1">
        <f>IFERROR(__xludf.DUMMYFUNCTION("""COMPUTED_VALUE"""),9800.0)</f>
        <v>9800</v>
      </c>
      <c r="C467" s="1">
        <f>IFERROR(__xludf.DUMMYFUNCTION("""COMPUTED_VALUE"""),9940.0)</f>
        <v>9940</v>
      </c>
      <c r="D467" s="1">
        <f>IFERROR(__xludf.DUMMYFUNCTION("""COMPUTED_VALUE"""),9610.0)</f>
        <v>9610</v>
      </c>
      <c r="E467" s="1">
        <f>IFERROR(__xludf.DUMMYFUNCTION("""COMPUTED_VALUE"""),9780.0)</f>
        <v>9780</v>
      </c>
      <c r="F467" s="1">
        <f>IFERROR(__xludf.DUMMYFUNCTION("""COMPUTED_VALUE"""),53382.0)</f>
        <v>53382</v>
      </c>
    </row>
    <row r="468">
      <c r="A468" s="2">
        <f>IFERROR(__xludf.DUMMYFUNCTION("""COMPUTED_VALUE"""),44880.64583333333)</f>
        <v>44880.64583</v>
      </c>
      <c r="B468" s="1">
        <f>IFERROR(__xludf.DUMMYFUNCTION("""COMPUTED_VALUE"""),9750.0)</f>
        <v>9750</v>
      </c>
      <c r="C468" s="1">
        <f>IFERROR(__xludf.DUMMYFUNCTION("""COMPUTED_VALUE"""),9900.0)</f>
        <v>9900</v>
      </c>
      <c r="D468" s="1">
        <f>IFERROR(__xludf.DUMMYFUNCTION("""COMPUTED_VALUE"""),9690.0)</f>
        <v>9690</v>
      </c>
      <c r="E468" s="1">
        <f>IFERROR(__xludf.DUMMYFUNCTION("""COMPUTED_VALUE"""),9860.0)</f>
        <v>9860</v>
      </c>
      <c r="F468" s="1">
        <f>IFERROR(__xludf.DUMMYFUNCTION("""COMPUTED_VALUE"""),49296.0)</f>
        <v>49296</v>
      </c>
    </row>
    <row r="469">
      <c r="A469" s="2">
        <f>IFERROR(__xludf.DUMMYFUNCTION("""COMPUTED_VALUE"""),44881.64583333333)</f>
        <v>44881.64583</v>
      </c>
      <c r="B469" s="1">
        <f>IFERROR(__xludf.DUMMYFUNCTION("""COMPUTED_VALUE"""),7530.0)</f>
        <v>7530</v>
      </c>
      <c r="C469" s="1">
        <f>IFERROR(__xludf.DUMMYFUNCTION("""COMPUTED_VALUE"""),8270.0)</f>
        <v>8270</v>
      </c>
      <c r="D469" s="1">
        <f>IFERROR(__xludf.DUMMYFUNCTION("""COMPUTED_VALUE"""),7410.0)</f>
        <v>7410</v>
      </c>
      <c r="E469" s="1">
        <f>IFERROR(__xludf.DUMMYFUNCTION("""COMPUTED_VALUE"""),7980.0)</f>
        <v>7980</v>
      </c>
      <c r="F469" s="1">
        <f>IFERROR(__xludf.DUMMYFUNCTION("""COMPUTED_VALUE"""),2659473.0)</f>
        <v>2659473</v>
      </c>
    </row>
    <row r="470">
      <c r="A470" s="2">
        <f>IFERROR(__xludf.DUMMYFUNCTION("""COMPUTED_VALUE"""),44882.64583333333)</f>
        <v>44882.64583</v>
      </c>
      <c r="B470" s="1">
        <f>IFERROR(__xludf.DUMMYFUNCTION("""COMPUTED_VALUE"""),7900.0)</f>
        <v>7900</v>
      </c>
      <c r="C470" s="1">
        <f>IFERROR(__xludf.DUMMYFUNCTION("""COMPUTED_VALUE"""),8020.0)</f>
        <v>8020</v>
      </c>
      <c r="D470" s="1">
        <f>IFERROR(__xludf.DUMMYFUNCTION("""COMPUTED_VALUE"""),7770.0)</f>
        <v>7770</v>
      </c>
      <c r="E470" s="1">
        <f>IFERROR(__xludf.DUMMYFUNCTION("""COMPUTED_VALUE"""),7780.0)</f>
        <v>7780</v>
      </c>
      <c r="F470" s="1">
        <f>IFERROR(__xludf.DUMMYFUNCTION("""COMPUTED_VALUE"""),345412.0)</f>
        <v>345412</v>
      </c>
    </row>
    <row r="471">
      <c r="A471" s="2">
        <f>IFERROR(__xludf.DUMMYFUNCTION("""COMPUTED_VALUE"""),44883.64583333333)</f>
        <v>44883.64583</v>
      </c>
      <c r="B471" s="1">
        <f>IFERROR(__xludf.DUMMYFUNCTION("""COMPUTED_VALUE"""),7640.0)</f>
        <v>7640</v>
      </c>
      <c r="C471" s="1">
        <f>IFERROR(__xludf.DUMMYFUNCTION("""COMPUTED_VALUE"""),7750.0)</f>
        <v>7750</v>
      </c>
      <c r="D471" s="1">
        <f>IFERROR(__xludf.DUMMYFUNCTION("""COMPUTED_VALUE"""),7540.0)</f>
        <v>7540</v>
      </c>
      <c r="E471" s="1">
        <f>IFERROR(__xludf.DUMMYFUNCTION("""COMPUTED_VALUE"""),7540.0)</f>
        <v>7540</v>
      </c>
      <c r="F471" s="1">
        <f>IFERROR(__xludf.DUMMYFUNCTION("""COMPUTED_VALUE"""),440488.0)</f>
        <v>440488</v>
      </c>
    </row>
    <row r="472">
      <c r="A472" s="2">
        <f>IFERROR(__xludf.DUMMYFUNCTION("""COMPUTED_VALUE"""),44886.64583333333)</f>
        <v>44886.64583</v>
      </c>
      <c r="B472" s="1">
        <f>IFERROR(__xludf.DUMMYFUNCTION("""COMPUTED_VALUE"""),7500.0)</f>
        <v>7500</v>
      </c>
      <c r="C472" s="1">
        <f>IFERROR(__xludf.DUMMYFUNCTION("""COMPUTED_VALUE"""),7570.0)</f>
        <v>7570</v>
      </c>
      <c r="D472" s="1">
        <f>IFERROR(__xludf.DUMMYFUNCTION("""COMPUTED_VALUE"""),7170.0)</f>
        <v>7170</v>
      </c>
      <c r="E472" s="1">
        <f>IFERROR(__xludf.DUMMYFUNCTION("""COMPUTED_VALUE"""),7240.0)</f>
        <v>7240</v>
      </c>
      <c r="F472" s="1">
        <f>IFERROR(__xludf.DUMMYFUNCTION("""COMPUTED_VALUE"""),337970.0)</f>
        <v>337970</v>
      </c>
    </row>
    <row r="473">
      <c r="A473" s="2">
        <f>IFERROR(__xludf.DUMMYFUNCTION("""COMPUTED_VALUE"""),44887.64583333333)</f>
        <v>44887.64583</v>
      </c>
      <c r="B473" s="1">
        <f>IFERROR(__xludf.DUMMYFUNCTION("""COMPUTED_VALUE"""),7160.0)</f>
        <v>7160</v>
      </c>
      <c r="C473" s="1">
        <f>IFERROR(__xludf.DUMMYFUNCTION("""COMPUTED_VALUE"""),7230.0)</f>
        <v>7230</v>
      </c>
      <c r="D473" s="1">
        <f>IFERROR(__xludf.DUMMYFUNCTION("""COMPUTED_VALUE"""),7100.0)</f>
        <v>7100</v>
      </c>
      <c r="E473" s="1">
        <f>IFERROR(__xludf.DUMMYFUNCTION("""COMPUTED_VALUE"""),7160.0)</f>
        <v>7160</v>
      </c>
      <c r="F473" s="1">
        <f>IFERROR(__xludf.DUMMYFUNCTION("""COMPUTED_VALUE"""),123796.0)</f>
        <v>123796</v>
      </c>
    </row>
    <row r="474">
      <c r="A474" s="2">
        <f>IFERROR(__xludf.DUMMYFUNCTION("""COMPUTED_VALUE"""),44888.64583333333)</f>
        <v>44888.64583</v>
      </c>
      <c r="B474" s="1">
        <f>IFERROR(__xludf.DUMMYFUNCTION("""COMPUTED_VALUE"""),7210.0)</f>
        <v>7210</v>
      </c>
      <c r="C474" s="1">
        <f>IFERROR(__xludf.DUMMYFUNCTION("""COMPUTED_VALUE"""),7290.0)</f>
        <v>7290</v>
      </c>
      <c r="D474" s="1">
        <f>IFERROR(__xludf.DUMMYFUNCTION("""COMPUTED_VALUE"""),7100.0)</f>
        <v>7100</v>
      </c>
      <c r="E474" s="1">
        <f>IFERROR(__xludf.DUMMYFUNCTION("""COMPUTED_VALUE"""),7120.0)</f>
        <v>7120</v>
      </c>
      <c r="F474" s="1">
        <f>IFERROR(__xludf.DUMMYFUNCTION("""COMPUTED_VALUE"""),231789.0)</f>
        <v>231789</v>
      </c>
    </row>
    <row r="475">
      <c r="A475" s="2">
        <f>IFERROR(__xludf.DUMMYFUNCTION("""COMPUTED_VALUE"""),44889.64583333333)</f>
        <v>44889.64583</v>
      </c>
      <c r="B475" s="1">
        <f>IFERROR(__xludf.DUMMYFUNCTION("""COMPUTED_VALUE"""),7150.0)</f>
        <v>7150</v>
      </c>
      <c r="C475" s="1">
        <f>IFERROR(__xludf.DUMMYFUNCTION("""COMPUTED_VALUE"""),7860.0)</f>
        <v>7860</v>
      </c>
      <c r="D475" s="1">
        <f>IFERROR(__xludf.DUMMYFUNCTION("""COMPUTED_VALUE"""),7140.0)</f>
        <v>7140</v>
      </c>
      <c r="E475" s="1">
        <f>IFERROR(__xludf.DUMMYFUNCTION("""COMPUTED_VALUE"""),7400.0)</f>
        <v>7400</v>
      </c>
      <c r="F475" s="1">
        <f>IFERROR(__xludf.DUMMYFUNCTION("""COMPUTED_VALUE"""),934613.0)</f>
        <v>934613</v>
      </c>
    </row>
    <row r="476">
      <c r="A476" s="2">
        <f>IFERROR(__xludf.DUMMYFUNCTION("""COMPUTED_VALUE"""),44890.64583333333)</f>
        <v>44890.64583</v>
      </c>
      <c r="B476" s="1">
        <f>IFERROR(__xludf.DUMMYFUNCTION("""COMPUTED_VALUE"""),7190.0)</f>
        <v>7190</v>
      </c>
      <c r="C476" s="1">
        <f>IFERROR(__xludf.DUMMYFUNCTION("""COMPUTED_VALUE"""),7340.0)</f>
        <v>7340</v>
      </c>
      <c r="D476" s="1">
        <f>IFERROR(__xludf.DUMMYFUNCTION("""COMPUTED_VALUE"""),7120.0)</f>
        <v>7120</v>
      </c>
      <c r="E476" s="1">
        <f>IFERROR(__xludf.DUMMYFUNCTION("""COMPUTED_VALUE"""),7140.0)</f>
        <v>7140</v>
      </c>
      <c r="F476" s="1">
        <f>IFERROR(__xludf.DUMMYFUNCTION("""COMPUTED_VALUE"""),476719.0)</f>
        <v>476719</v>
      </c>
    </row>
    <row r="477">
      <c r="A477" s="2">
        <f>IFERROR(__xludf.DUMMYFUNCTION("""COMPUTED_VALUE"""),44893.64583333333)</f>
        <v>44893.64583</v>
      </c>
      <c r="B477" s="1">
        <f>IFERROR(__xludf.DUMMYFUNCTION("""COMPUTED_VALUE"""),7150.0)</f>
        <v>7150</v>
      </c>
      <c r="C477" s="1">
        <f>IFERROR(__xludf.DUMMYFUNCTION("""COMPUTED_VALUE"""),7300.0)</f>
        <v>7300</v>
      </c>
      <c r="D477" s="1">
        <f>IFERROR(__xludf.DUMMYFUNCTION("""COMPUTED_VALUE"""),7050.0)</f>
        <v>7050</v>
      </c>
      <c r="E477" s="1">
        <f>IFERROR(__xludf.DUMMYFUNCTION("""COMPUTED_VALUE"""),7070.0)</f>
        <v>7070</v>
      </c>
      <c r="F477" s="1">
        <f>IFERROR(__xludf.DUMMYFUNCTION("""COMPUTED_VALUE"""),270232.0)</f>
        <v>270232</v>
      </c>
    </row>
    <row r="478">
      <c r="A478" s="2">
        <f>IFERROR(__xludf.DUMMYFUNCTION("""COMPUTED_VALUE"""),44894.64583333333)</f>
        <v>44894.64583</v>
      </c>
      <c r="B478" s="1">
        <f>IFERROR(__xludf.DUMMYFUNCTION("""COMPUTED_VALUE"""),7080.0)</f>
        <v>7080</v>
      </c>
      <c r="C478" s="1">
        <f>IFERROR(__xludf.DUMMYFUNCTION("""COMPUTED_VALUE"""),7170.0)</f>
        <v>7170</v>
      </c>
      <c r="D478" s="1">
        <f>IFERROR(__xludf.DUMMYFUNCTION("""COMPUTED_VALUE"""),7010.0)</f>
        <v>7010</v>
      </c>
      <c r="E478" s="1">
        <f>IFERROR(__xludf.DUMMYFUNCTION("""COMPUTED_VALUE"""),7110.0)</f>
        <v>7110</v>
      </c>
      <c r="F478" s="1">
        <f>IFERROR(__xludf.DUMMYFUNCTION("""COMPUTED_VALUE"""),202789.0)</f>
        <v>202789</v>
      </c>
    </row>
    <row r="479">
      <c r="A479" s="2">
        <f>IFERROR(__xludf.DUMMYFUNCTION("""COMPUTED_VALUE"""),44895.64583333333)</f>
        <v>44895.64583</v>
      </c>
      <c r="B479" s="1">
        <f>IFERROR(__xludf.DUMMYFUNCTION("""COMPUTED_VALUE"""),7210.0)</f>
        <v>7210</v>
      </c>
      <c r="C479" s="1">
        <f>IFERROR(__xludf.DUMMYFUNCTION("""COMPUTED_VALUE"""),7310.0)</f>
        <v>7310</v>
      </c>
      <c r="D479" s="1">
        <f>IFERROR(__xludf.DUMMYFUNCTION("""COMPUTED_VALUE"""),7110.0)</f>
        <v>7110</v>
      </c>
      <c r="E479" s="1">
        <f>IFERROR(__xludf.DUMMYFUNCTION("""COMPUTED_VALUE"""),7130.0)</f>
        <v>7130</v>
      </c>
      <c r="F479" s="1">
        <f>IFERROR(__xludf.DUMMYFUNCTION("""COMPUTED_VALUE"""),319758.0)</f>
        <v>319758</v>
      </c>
    </row>
    <row r="480">
      <c r="A480" s="2">
        <f>IFERROR(__xludf.DUMMYFUNCTION("""COMPUTED_VALUE"""),44896.64583333333)</f>
        <v>44896.64583</v>
      </c>
      <c r="B480" s="1">
        <f>IFERROR(__xludf.DUMMYFUNCTION("""COMPUTED_VALUE"""),7200.0)</f>
        <v>7200</v>
      </c>
      <c r="C480" s="1">
        <f>IFERROR(__xludf.DUMMYFUNCTION("""COMPUTED_VALUE"""),7340.0)</f>
        <v>7340</v>
      </c>
      <c r="D480" s="1">
        <f>IFERROR(__xludf.DUMMYFUNCTION("""COMPUTED_VALUE"""),7080.0)</f>
        <v>7080</v>
      </c>
      <c r="E480" s="1">
        <f>IFERROR(__xludf.DUMMYFUNCTION("""COMPUTED_VALUE"""),7100.0)</f>
        <v>7100</v>
      </c>
      <c r="F480" s="1">
        <f>IFERROR(__xludf.DUMMYFUNCTION("""COMPUTED_VALUE"""),327433.0)</f>
        <v>327433</v>
      </c>
    </row>
    <row r="481">
      <c r="A481" s="2">
        <f>IFERROR(__xludf.DUMMYFUNCTION("""COMPUTED_VALUE"""),44897.64583333333)</f>
        <v>44897.64583</v>
      </c>
      <c r="B481" s="1">
        <f>IFERROR(__xludf.DUMMYFUNCTION("""COMPUTED_VALUE"""),7120.0)</f>
        <v>7120</v>
      </c>
      <c r="C481" s="1">
        <f>IFERROR(__xludf.DUMMYFUNCTION("""COMPUTED_VALUE"""),8380.0)</f>
        <v>8380</v>
      </c>
      <c r="D481" s="1">
        <f>IFERROR(__xludf.DUMMYFUNCTION("""COMPUTED_VALUE"""),7080.0)</f>
        <v>7080</v>
      </c>
      <c r="E481" s="1">
        <f>IFERROR(__xludf.DUMMYFUNCTION("""COMPUTED_VALUE"""),7830.0)</f>
        <v>7830</v>
      </c>
      <c r="F481" s="1">
        <f>IFERROR(__xludf.DUMMYFUNCTION("""COMPUTED_VALUE"""),5194457.0)</f>
        <v>5194457</v>
      </c>
    </row>
    <row r="482">
      <c r="A482" s="2">
        <f>IFERROR(__xludf.DUMMYFUNCTION("""COMPUTED_VALUE"""),44900.64583333333)</f>
        <v>44900.64583</v>
      </c>
      <c r="B482" s="1">
        <f>IFERROR(__xludf.DUMMYFUNCTION("""COMPUTED_VALUE"""),7720.0)</f>
        <v>7720</v>
      </c>
      <c r="C482" s="1">
        <f>IFERROR(__xludf.DUMMYFUNCTION("""COMPUTED_VALUE"""),7940.0)</f>
        <v>7940</v>
      </c>
      <c r="D482" s="1">
        <f>IFERROR(__xludf.DUMMYFUNCTION("""COMPUTED_VALUE"""),7620.0)</f>
        <v>7620</v>
      </c>
      <c r="E482" s="1">
        <f>IFERROR(__xludf.DUMMYFUNCTION("""COMPUTED_VALUE"""),7860.0)</f>
        <v>7860</v>
      </c>
      <c r="F482" s="1">
        <f>IFERROR(__xludf.DUMMYFUNCTION("""COMPUTED_VALUE"""),773671.0)</f>
        <v>773671</v>
      </c>
    </row>
    <row r="483">
      <c r="A483" s="2">
        <f>IFERROR(__xludf.DUMMYFUNCTION("""COMPUTED_VALUE"""),44901.64583333333)</f>
        <v>44901.64583</v>
      </c>
      <c r="B483" s="1">
        <f>IFERROR(__xludf.DUMMYFUNCTION("""COMPUTED_VALUE"""),7800.0)</f>
        <v>7800</v>
      </c>
      <c r="C483" s="1">
        <f>IFERROR(__xludf.DUMMYFUNCTION("""COMPUTED_VALUE"""),7800.0)</f>
        <v>7800</v>
      </c>
      <c r="D483" s="1">
        <f>IFERROR(__xludf.DUMMYFUNCTION("""COMPUTED_VALUE"""),7560.0)</f>
        <v>7560</v>
      </c>
      <c r="E483" s="1">
        <f>IFERROR(__xludf.DUMMYFUNCTION("""COMPUTED_VALUE"""),7560.0)</f>
        <v>7560</v>
      </c>
      <c r="F483" s="1">
        <f>IFERROR(__xludf.DUMMYFUNCTION("""COMPUTED_VALUE"""),283666.0)</f>
        <v>283666</v>
      </c>
    </row>
    <row r="484">
      <c r="A484" s="2">
        <f>IFERROR(__xludf.DUMMYFUNCTION("""COMPUTED_VALUE"""),44902.64583333333)</f>
        <v>44902.64583</v>
      </c>
      <c r="B484" s="1">
        <f>IFERROR(__xludf.DUMMYFUNCTION("""COMPUTED_VALUE"""),7460.0)</f>
        <v>7460</v>
      </c>
      <c r="C484" s="1">
        <f>IFERROR(__xludf.DUMMYFUNCTION("""COMPUTED_VALUE"""),7570.0)</f>
        <v>7570</v>
      </c>
      <c r="D484" s="1">
        <f>IFERROR(__xludf.DUMMYFUNCTION("""COMPUTED_VALUE"""),7270.0)</f>
        <v>7270</v>
      </c>
      <c r="E484" s="1">
        <f>IFERROR(__xludf.DUMMYFUNCTION("""COMPUTED_VALUE"""),7310.0)</f>
        <v>7310</v>
      </c>
      <c r="F484" s="1">
        <f>IFERROR(__xludf.DUMMYFUNCTION("""COMPUTED_VALUE"""),290446.0)</f>
        <v>290446</v>
      </c>
    </row>
    <row r="485">
      <c r="A485" s="2">
        <f>IFERROR(__xludf.DUMMYFUNCTION("""COMPUTED_VALUE"""),44903.64583333333)</f>
        <v>44903.64583</v>
      </c>
      <c r="B485" s="1">
        <f>IFERROR(__xludf.DUMMYFUNCTION("""COMPUTED_VALUE"""),7310.0)</f>
        <v>7310</v>
      </c>
      <c r="C485" s="1">
        <f>IFERROR(__xludf.DUMMYFUNCTION("""COMPUTED_VALUE"""),7350.0)</f>
        <v>7350</v>
      </c>
      <c r="D485" s="1">
        <f>IFERROR(__xludf.DUMMYFUNCTION("""COMPUTED_VALUE"""),7140.0)</f>
        <v>7140</v>
      </c>
      <c r="E485" s="1">
        <f>IFERROR(__xludf.DUMMYFUNCTION("""COMPUTED_VALUE"""),7190.0)</f>
        <v>7190</v>
      </c>
      <c r="F485" s="1">
        <f>IFERROR(__xludf.DUMMYFUNCTION("""COMPUTED_VALUE"""),180497.0)</f>
        <v>180497</v>
      </c>
    </row>
    <row r="486">
      <c r="A486" s="2">
        <f>IFERROR(__xludf.DUMMYFUNCTION("""COMPUTED_VALUE"""),44904.64583333333)</f>
        <v>44904.64583</v>
      </c>
      <c r="B486" s="1">
        <f>IFERROR(__xludf.DUMMYFUNCTION("""COMPUTED_VALUE"""),7210.0)</f>
        <v>7210</v>
      </c>
      <c r="C486" s="1">
        <f>IFERROR(__xludf.DUMMYFUNCTION("""COMPUTED_VALUE"""),7320.0)</f>
        <v>7320</v>
      </c>
      <c r="D486" s="1">
        <f>IFERROR(__xludf.DUMMYFUNCTION("""COMPUTED_VALUE"""),7150.0)</f>
        <v>7150</v>
      </c>
      <c r="E486" s="1">
        <f>IFERROR(__xludf.DUMMYFUNCTION("""COMPUTED_VALUE"""),7200.0)</f>
        <v>7200</v>
      </c>
      <c r="F486" s="1">
        <f>IFERROR(__xludf.DUMMYFUNCTION("""COMPUTED_VALUE"""),218867.0)</f>
        <v>218867</v>
      </c>
    </row>
    <row r="487">
      <c r="A487" s="2">
        <f>IFERROR(__xludf.DUMMYFUNCTION("""COMPUTED_VALUE"""),44907.64583333333)</f>
        <v>44907.64583</v>
      </c>
      <c r="B487" s="1">
        <f>IFERROR(__xludf.DUMMYFUNCTION("""COMPUTED_VALUE"""),7160.0)</f>
        <v>7160</v>
      </c>
      <c r="C487" s="1">
        <f>IFERROR(__xludf.DUMMYFUNCTION("""COMPUTED_VALUE"""),7390.0)</f>
        <v>7390</v>
      </c>
      <c r="D487" s="1">
        <f>IFERROR(__xludf.DUMMYFUNCTION("""COMPUTED_VALUE"""),7140.0)</f>
        <v>7140</v>
      </c>
      <c r="E487" s="1">
        <f>IFERROR(__xludf.DUMMYFUNCTION("""COMPUTED_VALUE"""),7180.0)</f>
        <v>7180</v>
      </c>
      <c r="F487" s="1">
        <f>IFERROR(__xludf.DUMMYFUNCTION("""COMPUTED_VALUE"""),225877.0)</f>
        <v>225877</v>
      </c>
    </row>
    <row r="488">
      <c r="A488" s="2">
        <f>IFERROR(__xludf.DUMMYFUNCTION("""COMPUTED_VALUE"""),44908.64583333333)</f>
        <v>44908.64583</v>
      </c>
      <c r="B488" s="1">
        <f>IFERROR(__xludf.DUMMYFUNCTION("""COMPUTED_VALUE"""),7240.0)</f>
        <v>7240</v>
      </c>
      <c r="C488" s="1">
        <f>IFERROR(__xludf.DUMMYFUNCTION("""COMPUTED_VALUE"""),7240.0)</f>
        <v>7240</v>
      </c>
      <c r="D488" s="1">
        <f>IFERROR(__xludf.DUMMYFUNCTION("""COMPUTED_VALUE"""),7110.0)</f>
        <v>7110</v>
      </c>
      <c r="E488" s="1">
        <f>IFERROR(__xludf.DUMMYFUNCTION("""COMPUTED_VALUE"""),7130.0)</f>
        <v>7130</v>
      </c>
      <c r="F488" s="1">
        <f>IFERROR(__xludf.DUMMYFUNCTION("""COMPUTED_VALUE"""),165615.0)</f>
        <v>165615</v>
      </c>
    </row>
    <row r="489">
      <c r="A489" s="2">
        <f>IFERROR(__xludf.DUMMYFUNCTION("""COMPUTED_VALUE"""),44909.64583333333)</f>
        <v>44909.64583</v>
      </c>
      <c r="B489" s="1">
        <f>IFERROR(__xludf.DUMMYFUNCTION("""COMPUTED_VALUE"""),7150.0)</f>
        <v>7150</v>
      </c>
      <c r="C489" s="1">
        <f>IFERROR(__xludf.DUMMYFUNCTION("""COMPUTED_VALUE"""),7600.0)</f>
        <v>7600</v>
      </c>
      <c r="D489" s="1">
        <f>IFERROR(__xludf.DUMMYFUNCTION("""COMPUTED_VALUE"""),7130.0)</f>
        <v>7130</v>
      </c>
      <c r="E489" s="1">
        <f>IFERROR(__xludf.DUMMYFUNCTION("""COMPUTED_VALUE"""),7550.0)</f>
        <v>7550</v>
      </c>
      <c r="F489" s="1">
        <f>IFERROR(__xludf.DUMMYFUNCTION("""COMPUTED_VALUE"""),459650.0)</f>
        <v>459650</v>
      </c>
    </row>
    <row r="490">
      <c r="A490" s="2">
        <f>IFERROR(__xludf.DUMMYFUNCTION("""COMPUTED_VALUE"""),44910.64583333333)</f>
        <v>44910.64583</v>
      </c>
      <c r="B490" s="1">
        <f>IFERROR(__xludf.DUMMYFUNCTION("""COMPUTED_VALUE"""),7520.0)</f>
        <v>7520</v>
      </c>
      <c r="C490" s="1">
        <f>IFERROR(__xludf.DUMMYFUNCTION("""COMPUTED_VALUE"""),7660.0)</f>
        <v>7660</v>
      </c>
      <c r="D490" s="1">
        <f>IFERROR(__xludf.DUMMYFUNCTION("""COMPUTED_VALUE"""),7390.0)</f>
        <v>7390</v>
      </c>
      <c r="E490" s="1">
        <f>IFERROR(__xludf.DUMMYFUNCTION("""COMPUTED_VALUE"""),7510.0)</f>
        <v>7510</v>
      </c>
      <c r="F490" s="1">
        <f>IFERROR(__xludf.DUMMYFUNCTION("""COMPUTED_VALUE"""),181543.0)</f>
        <v>181543</v>
      </c>
    </row>
    <row r="491">
      <c r="A491" s="2">
        <f>IFERROR(__xludf.DUMMYFUNCTION("""COMPUTED_VALUE"""),44911.64583333333)</f>
        <v>44911.64583</v>
      </c>
      <c r="B491" s="1">
        <f>IFERROR(__xludf.DUMMYFUNCTION("""COMPUTED_VALUE"""),7350.0)</f>
        <v>7350</v>
      </c>
      <c r="C491" s="1">
        <f>IFERROR(__xludf.DUMMYFUNCTION("""COMPUTED_VALUE"""),7440.0)</f>
        <v>7440</v>
      </c>
      <c r="D491" s="1">
        <f>IFERROR(__xludf.DUMMYFUNCTION("""COMPUTED_VALUE"""),7240.0)</f>
        <v>7240</v>
      </c>
      <c r="E491" s="1">
        <f>IFERROR(__xludf.DUMMYFUNCTION("""COMPUTED_VALUE"""),7270.0)</f>
        <v>7270</v>
      </c>
      <c r="F491" s="1">
        <f>IFERROR(__xludf.DUMMYFUNCTION("""COMPUTED_VALUE"""),164386.0)</f>
        <v>164386</v>
      </c>
    </row>
    <row r="492">
      <c r="A492" s="2">
        <f>IFERROR(__xludf.DUMMYFUNCTION("""COMPUTED_VALUE"""),44914.64583333333)</f>
        <v>44914.64583</v>
      </c>
      <c r="B492" s="1">
        <f>IFERROR(__xludf.DUMMYFUNCTION("""COMPUTED_VALUE"""),7270.0)</f>
        <v>7270</v>
      </c>
      <c r="C492" s="1">
        <f>IFERROR(__xludf.DUMMYFUNCTION("""COMPUTED_VALUE"""),7750.0)</f>
        <v>7750</v>
      </c>
      <c r="D492" s="1">
        <f>IFERROR(__xludf.DUMMYFUNCTION("""COMPUTED_VALUE"""),7160.0)</f>
        <v>7160</v>
      </c>
      <c r="E492" s="1">
        <f>IFERROR(__xludf.DUMMYFUNCTION("""COMPUTED_VALUE"""),7560.0)</f>
        <v>7560</v>
      </c>
      <c r="F492" s="1">
        <f>IFERROR(__xludf.DUMMYFUNCTION("""COMPUTED_VALUE"""),418742.0)</f>
        <v>418742</v>
      </c>
    </row>
    <row r="493">
      <c r="A493" s="2">
        <f>IFERROR(__xludf.DUMMYFUNCTION("""COMPUTED_VALUE"""),44915.64583333333)</f>
        <v>44915.64583</v>
      </c>
      <c r="B493" s="1">
        <f>IFERROR(__xludf.DUMMYFUNCTION("""COMPUTED_VALUE"""),7590.0)</f>
        <v>7590</v>
      </c>
      <c r="C493" s="1">
        <f>IFERROR(__xludf.DUMMYFUNCTION("""COMPUTED_VALUE"""),7590.0)</f>
        <v>7590</v>
      </c>
      <c r="D493" s="1">
        <f>IFERROR(__xludf.DUMMYFUNCTION("""COMPUTED_VALUE"""),7200.0)</f>
        <v>7200</v>
      </c>
      <c r="E493" s="1">
        <f>IFERROR(__xludf.DUMMYFUNCTION("""COMPUTED_VALUE"""),7240.0)</f>
        <v>7240</v>
      </c>
      <c r="F493" s="1">
        <f>IFERROR(__xludf.DUMMYFUNCTION("""COMPUTED_VALUE"""),264382.0)</f>
        <v>264382</v>
      </c>
    </row>
    <row r="494">
      <c r="A494" s="2">
        <f>IFERROR(__xludf.DUMMYFUNCTION("""COMPUTED_VALUE"""),44916.64583333333)</f>
        <v>44916.64583</v>
      </c>
      <c r="B494" s="1">
        <f>IFERROR(__xludf.DUMMYFUNCTION("""COMPUTED_VALUE"""),7430.0)</f>
        <v>7430</v>
      </c>
      <c r="C494" s="1">
        <f>IFERROR(__xludf.DUMMYFUNCTION("""COMPUTED_VALUE"""),7450.0)</f>
        <v>7450</v>
      </c>
      <c r="D494" s="1">
        <f>IFERROR(__xludf.DUMMYFUNCTION("""COMPUTED_VALUE"""),7220.0)</f>
        <v>7220</v>
      </c>
      <c r="E494" s="1">
        <f>IFERROR(__xludf.DUMMYFUNCTION("""COMPUTED_VALUE"""),7250.0)</f>
        <v>7250</v>
      </c>
      <c r="F494" s="1">
        <f>IFERROR(__xludf.DUMMYFUNCTION("""COMPUTED_VALUE"""),130845.0)</f>
        <v>130845</v>
      </c>
    </row>
    <row r="495">
      <c r="A495" s="2">
        <f>IFERROR(__xludf.DUMMYFUNCTION("""COMPUTED_VALUE"""),44917.64583333333)</f>
        <v>44917.64583</v>
      </c>
      <c r="B495" s="1">
        <f>IFERROR(__xludf.DUMMYFUNCTION("""COMPUTED_VALUE"""),7250.0)</f>
        <v>7250</v>
      </c>
      <c r="C495" s="1">
        <f>IFERROR(__xludf.DUMMYFUNCTION("""COMPUTED_VALUE"""),7430.0)</f>
        <v>7430</v>
      </c>
      <c r="D495" s="1">
        <f>IFERROR(__xludf.DUMMYFUNCTION("""COMPUTED_VALUE"""),7240.0)</f>
        <v>7240</v>
      </c>
      <c r="E495" s="1">
        <f>IFERROR(__xludf.DUMMYFUNCTION("""COMPUTED_VALUE"""),7360.0)</f>
        <v>7360</v>
      </c>
      <c r="F495" s="1">
        <f>IFERROR(__xludf.DUMMYFUNCTION("""COMPUTED_VALUE"""),150850.0)</f>
        <v>150850</v>
      </c>
    </row>
    <row r="496">
      <c r="A496" s="2">
        <f>IFERROR(__xludf.DUMMYFUNCTION("""COMPUTED_VALUE"""),44918.64583333333)</f>
        <v>44918.64583</v>
      </c>
      <c r="B496" s="1">
        <f>IFERROR(__xludf.DUMMYFUNCTION("""COMPUTED_VALUE"""),7280.0)</f>
        <v>7280</v>
      </c>
      <c r="C496" s="1">
        <f>IFERROR(__xludf.DUMMYFUNCTION("""COMPUTED_VALUE"""),7280.0)</f>
        <v>7280</v>
      </c>
      <c r="D496" s="1">
        <f>IFERROR(__xludf.DUMMYFUNCTION("""COMPUTED_VALUE"""),7030.0)</f>
        <v>7030</v>
      </c>
      <c r="E496" s="1">
        <f>IFERROR(__xludf.DUMMYFUNCTION("""COMPUTED_VALUE"""),7080.0)</f>
        <v>7080</v>
      </c>
      <c r="F496" s="1">
        <f>IFERROR(__xludf.DUMMYFUNCTION("""COMPUTED_VALUE"""),154098.0)</f>
        <v>154098</v>
      </c>
    </row>
    <row r="497">
      <c r="A497" s="2">
        <f>IFERROR(__xludf.DUMMYFUNCTION("""COMPUTED_VALUE"""),44921.64583333333)</f>
        <v>44921.64583</v>
      </c>
      <c r="B497" s="1">
        <f>IFERROR(__xludf.DUMMYFUNCTION("""COMPUTED_VALUE"""),7040.0)</f>
        <v>7040</v>
      </c>
      <c r="C497" s="1">
        <f>IFERROR(__xludf.DUMMYFUNCTION("""COMPUTED_VALUE"""),7130.0)</f>
        <v>7130</v>
      </c>
      <c r="D497" s="1">
        <f>IFERROR(__xludf.DUMMYFUNCTION("""COMPUTED_VALUE"""),7020.0)</f>
        <v>7020</v>
      </c>
      <c r="E497" s="1">
        <f>IFERROR(__xludf.DUMMYFUNCTION("""COMPUTED_VALUE"""),7040.0)</f>
        <v>7040</v>
      </c>
      <c r="F497" s="1">
        <f>IFERROR(__xludf.DUMMYFUNCTION("""COMPUTED_VALUE"""),98029.0)</f>
        <v>98029</v>
      </c>
    </row>
    <row r="498">
      <c r="A498" s="2">
        <f>IFERROR(__xludf.DUMMYFUNCTION("""COMPUTED_VALUE"""),44922.64583333333)</f>
        <v>44922.64583</v>
      </c>
      <c r="B498" s="1">
        <f>IFERROR(__xludf.DUMMYFUNCTION("""COMPUTED_VALUE"""),7040.0)</f>
        <v>7040</v>
      </c>
      <c r="C498" s="1">
        <f>IFERROR(__xludf.DUMMYFUNCTION("""COMPUTED_VALUE"""),7140.0)</f>
        <v>7140</v>
      </c>
      <c r="D498" s="1">
        <f>IFERROR(__xludf.DUMMYFUNCTION("""COMPUTED_VALUE"""),6990.0)</f>
        <v>6990</v>
      </c>
      <c r="E498" s="1">
        <f>IFERROR(__xludf.DUMMYFUNCTION("""COMPUTED_VALUE"""),7000.0)</f>
        <v>7000</v>
      </c>
      <c r="F498" s="1">
        <f>IFERROR(__xludf.DUMMYFUNCTION("""COMPUTED_VALUE"""),116770.0)</f>
        <v>116770</v>
      </c>
    </row>
    <row r="499">
      <c r="A499" s="2">
        <f>IFERROR(__xludf.DUMMYFUNCTION("""COMPUTED_VALUE"""),44923.64583333333)</f>
        <v>44923.64583</v>
      </c>
      <c r="B499" s="1">
        <f>IFERROR(__xludf.DUMMYFUNCTION("""COMPUTED_VALUE"""),6990.0)</f>
        <v>6990</v>
      </c>
      <c r="C499" s="1">
        <f>IFERROR(__xludf.DUMMYFUNCTION("""COMPUTED_VALUE"""),7030.0)</f>
        <v>7030</v>
      </c>
      <c r="D499" s="1">
        <f>IFERROR(__xludf.DUMMYFUNCTION("""COMPUTED_VALUE"""),6860.0)</f>
        <v>6860</v>
      </c>
      <c r="E499" s="1">
        <f>IFERROR(__xludf.DUMMYFUNCTION("""COMPUTED_VALUE"""),6890.0)</f>
        <v>6890</v>
      </c>
      <c r="F499" s="1">
        <f>IFERROR(__xludf.DUMMYFUNCTION("""COMPUTED_VALUE"""),169047.0)</f>
        <v>169047</v>
      </c>
    </row>
    <row r="500">
      <c r="A500" s="2">
        <f>IFERROR(__xludf.DUMMYFUNCTION("""COMPUTED_VALUE"""),44924.64583333333)</f>
        <v>44924.64583</v>
      </c>
      <c r="B500" s="1">
        <f>IFERROR(__xludf.DUMMYFUNCTION("""COMPUTED_VALUE"""),6900.0)</f>
        <v>6900</v>
      </c>
      <c r="C500" s="1">
        <f>IFERROR(__xludf.DUMMYFUNCTION("""COMPUTED_VALUE"""),6940.0)</f>
        <v>6940</v>
      </c>
      <c r="D500" s="1">
        <f>IFERROR(__xludf.DUMMYFUNCTION("""COMPUTED_VALUE"""),6500.0)</f>
        <v>6500</v>
      </c>
      <c r="E500" s="1">
        <f>IFERROR(__xludf.DUMMYFUNCTION("""COMPUTED_VALUE"""),6590.0)</f>
        <v>6590</v>
      </c>
      <c r="F500" s="1">
        <f>IFERROR(__xludf.DUMMYFUNCTION("""COMPUTED_VALUE"""),216889.0)</f>
        <v>216889</v>
      </c>
    </row>
    <row r="501">
      <c r="A501" s="2">
        <f>IFERROR(__xludf.DUMMYFUNCTION("""COMPUTED_VALUE"""),44928.64583333333)</f>
        <v>44928.64583</v>
      </c>
      <c r="B501" s="1">
        <f>IFERROR(__xludf.DUMMYFUNCTION("""COMPUTED_VALUE"""),6590.0)</f>
        <v>6590</v>
      </c>
      <c r="C501" s="1">
        <f>IFERROR(__xludf.DUMMYFUNCTION("""COMPUTED_VALUE"""),6720.0)</f>
        <v>6720</v>
      </c>
      <c r="D501" s="1">
        <f>IFERROR(__xludf.DUMMYFUNCTION("""COMPUTED_VALUE"""),5940.0)</f>
        <v>5940</v>
      </c>
      <c r="E501" s="1">
        <f>IFERROR(__xludf.DUMMYFUNCTION("""COMPUTED_VALUE"""),6240.0)</f>
        <v>6240</v>
      </c>
      <c r="F501" s="1">
        <f>IFERROR(__xludf.DUMMYFUNCTION("""COMPUTED_VALUE"""),191747.0)</f>
        <v>191747</v>
      </c>
    </row>
    <row r="502">
      <c r="A502" s="2">
        <f>IFERROR(__xludf.DUMMYFUNCTION("""COMPUTED_VALUE"""),44929.64583333333)</f>
        <v>44929.64583</v>
      </c>
      <c r="B502" s="1">
        <f>IFERROR(__xludf.DUMMYFUNCTION("""COMPUTED_VALUE"""),6230.0)</f>
        <v>6230</v>
      </c>
      <c r="C502" s="1">
        <f>IFERROR(__xludf.DUMMYFUNCTION("""COMPUTED_VALUE"""),6360.0)</f>
        <v>6360</v>
      </c>
      <c r="D502" s="1">
        <f>IFERROR(__xludf.DUMMYFUNCTION("""COMPUTED_VALUE"""),5960.0)</f>
        <v>5960</v>
      </c>
      <c r="E502" s="1">
        <f>IFERROR(__xludf.DUMMYFUNCTION("""COMPUTED_VALUE"""),6320.0)</f>
        <v>6320</v>
      </c>
      <c r="F502" s="1">
        <f>IFERROR(__xludf.DUMMYFUNCTION("""COMPUTED_VALUE"""),150061.0)</f>
        <v>150061</v>
      </c>
    </row>
    <row r="503">
      <c r="A503" s="2">
        <f>IFERROR(__xludf.DUMMYFUNCTION("""COMPUTED_VALUE"""),44930.64583333333)</f>
        <v>44930.64583</v>
      </c>
      <c r="B503" s="1">
        <f>IFERROR(__xludf.DUMMYFUNCTION("""COMPUTED_VALUE"""),6230.0)</f>
        <v>6230</v>
      </c>
      <c r="C503" s="1">
        <f>IFERROR(__xludf.DUMMYFUNCTION("""COMPUTED_VALUE"""),6560.0)</f>
        <v>6560</v>
      </c>
      <c r="D503" s="1">
        <f>IFERROR(__xludf.DUMMYFUNCTION("""COMPUTED_VALUE"""),6200.0)</f>
        <v>6200</v>
      </c>
      <c r="E503" s="1">
        <f>IFERROR(__xludf.DUMMYFUNCTION("""COMPUTED_VALUE"""),6530.0)</f>
        <v>6530</v>
      </c>
      <c r="F503" s="1">
        <f>IFERROR(__xludf.DUMMYFUNCTION("""COMPUTED_VALUE"""),109104.0)</f>
        <v>109104</v>
      </c>
    </row>
    <row r="504">
      <c r="A504" s="2">
        <f>IFERROR(__xludf.DUMMYFUNCTION("""COMPUTED_VALUE"""),44931.64583333333)</f>
        <v>44931.64583</v>
      </c>
      <c r="B504" s="1">
        <f>IFERROR(__xludf.DUMMYFUNCTION("""COMPUTED_VALUE"""),6600.0)</f>
        <v>6600</v>
      </c>
      <c r="C504" s="1">
        <f>IFERROR(__xludf.DUMMYFUNCTION("""COMPUTED_VALUE"""),6650.0)</f>
        <v>6650</v>
      </c>
      <c r="D504" s="1">
        <f>IFERROR(__xludf.DUMMYFUNCTION("""COMPUTED_VALUE"""),6480.0)</f>
        <v>6480</v>
      </c>
      <c r="E504" s="1">
        <f>IFERROR(__xludf.DUMMYFUNCTION("""COMPUTED_VALUE"""),6530.0)</f>
        <v>6530</v>
      </c>
      <c r="F504" s="1">
        <f>IFERROR(__xludf.DUMMYFUNCTION("""COMPUTED_VALUE"""),57919.0)</f>
        <v>57919</v>
      </c>
    </row>
    <row r="505">
      <c r="A505" s="2">
        <f>IFERROR(__xludf.DUMMYFUNCTION("""COMPUTED_VALUE"""),44932.64583333333)</f>
        <v>44932.64583</v>
      </c>
      <c r="B505" s="1">
        <f>IFERROR(__xludf.DUMMYFUNCTION("""COMPUTED_VALUE"""),6420.0)</f>
        <v>6420</v>
      </c>
      <c r="C505" s="1">
        <f>IFERROR(__xludf.DUMMYFUNCTION("""COMPUTED_VALUE"""),6650.0)</f>
        <v>6650</v>
      </c>
      <c r="D505" s="1">
        <f>IFERROR(__xludf.DUMMYFUNCTION("""COMPUTED_VALUE"""),6420.0)</f>
        <v>6420</v>
      </c>
      <c r="E505" s="1">
        <f>IFERROR(__xludf.DUMMYFUNCTION("""COMPUTED_VALUE"""),6570.0)</f>
        <v>6570</v>
      </c>
      <c r="F505" s="1">
        <f>IFERROR(__xludf.DUMMYFUNCTION("""COMPUTED_VALUE"""),83669.0)</f>
        <v>83669</v>
      </c>
    </row>
    <row r="506">
      <c r="A506" s="2">
        <f>IFERROR(__xludf.DUMMYFUNCTION("""COMPUTED_VALUE"""),44935.64583333333)</f>
        <v>44935.64583</v>
      </c>
      <c r="B506" s="1">
        <f>IFERROR(__xludf.DUMMYFUNCTION("""COMPUTED_VALUE"""),6580.0)</f>
        <v>6580</v>
      </c>
      <c r="C506" s="1">
        <f>IFERROR(__xludf.DUMMYFUNCTION("""COMPUTED_VALUE"""),6820.0)</f>
        <v>6820</v>
      </c>
      <c r="D506" s="1">
        <f>IFERROR(__xludf.DUMMYFUNCTION("""COMPUTED_VALUE"""),6580.0)</f>
        <v>6580</v>
      </c>
      <c r="E506" s="1">
        <f>IFERROR(__xludf.DUMMYFUNCTION("""COMPUTED_VALUE"""),6800.0)</f>
        <v>6800</v>
      </c>
      <c r="F506" s="1">
        <f>IFERROR(__xludf.DUMMYFUNCTION("""COMPUTED_VALUE"""),102119.0)</f>
        <v>102119</v>
      </c>
    </row>
    <row r="507">
      <c r="A507" s="2">
        <f>IFERROR(__xludf.DUMMYFUNCTION("""COMPUTED_VALUE"""),44936.64583333333)</f>
        <v>44936.64583</v>
      </c>
      <c r="B507" s="1">
        <f>IFERROR(__xludf.DUMMYFUNCTION("""COMPUTED_VALUE"""),6810.0)</f>
        <v>6810</v>
      </c>
      <c r="C507" s="1">
        <f>IFERROR(__xludf.DUMMYFUNCTION("""COMPUTED_VALUE"""),7130.0)</f>
        <v>7130</v>
      </c>
      <c r="D507" s="1">
        <f>IFERROR(__xludf.DUMMYFUNCTION("""COMPUTED_VALUE"""),6620.0)</f>
        <v>6620</v>
      </c>
      <c r="E507" s="1">
        <f>IFERROR(__xludf.DUMMYFUNCTION("""COMPUTED_VALUE"""),6960.0)</f>
        <v>6960</v>
      </c>
      <c r="F507" s="1">
        <f>IFERROR(__xludf.DUMMYFUNCTION("""COMPUTED_VALUE"""),178007.0)</f>
        <v>178007</v>
      </c>
    </row>
    <row r="508">
      <c r="A508" s="2">
        <f>IFERROR(__xludf.DUMMYFUNCTION("""COMPUTED_VALUE"""),44937.64583333333)</f>
        <v>44937.64583</v>
      </c>
      <c r="B508" s="1">
        <f>IFERROR(__xludf.DUMMYFUNCTION("""COMPUTED_VALUE"""),7130.0)</f>
        <v>7130</v>
      </c>
      <c r="C508" s="1">
        <f>IFERROR(__xludf.DUMMYFUNCTION("""COMPUTED_VALUE"""),7350.0)</f>
        <v>7350</v>
      </c>
      <c r="D508" s="1">
        <f>IFERROR(__xludf.DUMMYFUNCTION("""COMPUTED_VALUE"""),7020.0)</f>
        <v>7020</v>
      </c>
      <c r="E508" s="1">
        <f>IFERROR(__xludf.DUMMYFUNCTION("""COMPUTED_VALUE"""),7150.0)</f>
        <v>7150</v>
      </c>
      <c r="F508" s="1">
        <f>IFERROR(__xludf.DUMMYFUNCTION("""COMPUTED_VALUE"""),284789.0)</f>
        <v>284789</v>
      </c>
    </row>
    <row r="509">
      <c r="A509" s="2">
        <f>IFERROR(__xludf.DUMMYFUNCTION("""COMPUTED_VALUE"""),44938.64583333333)</f>
        <v>44938.64583</v>
      </c>
      <c r="B509" s="1">
        <f>IFERROR(__xludf.DUMMYFUNCTION("""COMPUTED_VALUE"""),7280.0)</f>
        <v>7280</v>
      </c>
      <c r="C509" s="1">
        <f>IFERROR(__xludf.DUMMYFUNCTION("""COMPUTED_VALUE"""),7280.0)</f>
        <v>7280</v>
      </c>
      <c r="D509" s="1">
        <f>IFERROR(__xludf.DUMMYFUNCTION("""COMPUTED_VALUE"""),7030.0)</f>
        <v>7030</v>
      </c>
      <c r="E509" s="1">
        <f>IFERROR(__xludf.DUMMYFUNCTION("""COMPUTED_VALUE"""),7190.0)</f>
        <v>7190</v>
      </c>
      <c r="F509" s="1">
        <f>IFERROR(__xludf.DUMMYFUNCTION("""COMPUTED_VALUE"""),149363.0)</f>
        <v>149363</v>
      </c>
    </row>
    <row r="510">
      <c r="A510" s="2">
        <f>IFERROR(__xludf.DUMMYFUNCTION("""COMPUTED_VALUE"""),44939.64583333333)</f>
        <v>44939.64583</v>
      </c>
      <c r="B510" s="1">
        <f>IFERROR(__xludf.DUMMYFUNCTION("""COMPUTED_VALUE"""),7250.0)</f>
        <v>7250</v>
      </c>
      <c r="C510" s="1">
        <f>IFERROR(__xludf.DUMMYFUNCTION("""COMPUTED_VALUE"""),7450.0)</f>
        <v>7450</v>
      </c>
      <c r="D510" s="1">
        <f>IFERROR(__xludf.DUMMYFUNCTION("""COMPUTED_VALUE"""),7170.0)</f>
        <v>7170</v>
      </c>
      <c r="E510" s="1">
        <f>IFERROR(__xludf.DUMMYFUNCTION("""COMPUTED_VALUE"""),7450.0)</f>
        <v>7450</v>
      </c>
      <c r="F510" s="1">
        <f>IFERROR(__xludf.DUMMYFUNCTION("""COMPUTED_VALUE"""),310631.0)</f>
        <v>310631</v>
      </c>
    </row>
    <row r="511">
      <c r="A511" s="2">
        <f>IFERROR(__xludf.DUMMYFUNCTION("""COMPUTED_VALUE"""),44942.64583333333)</f>
        <v>44942.64583</v>
      </c>
      <c r="B511" s="1">
        <f>IFERROR(__xludf.DUMMYFUNCTION("""COMPUTED_VALUE"""),7660.0)</f>
        <v>7660</v>
      </c>
      <c r="C511" s="1">
        <f>IFERROR(__xludf.DUMMYFUNCTION("""COMPUTED_VALUE"""),9680.0)</f>
        <v>9680</v>
      </c>
      <c r="D511" s="1">
        <f>IFERROR(__xludf.DUMMYFUNCTION("""COMPUTED_VALUE"""),7470.0)</f>
        <v>7470</v>
      </c>
      <c r="E511" s="1">
        <f>IFERROR(__xludf.DUMMYFUNCTION("""COMPUTED_VALUE"""),9400.0)</f>
        <v>9400</v>
      </c>
      <c r="F511" s="1">
        <f>IFERROR(__xludf.DUMMYFUNCTION("""COMPUTED_VALUE"""),9248516.0)</f>
        <v>9248516</v>
      </c>
    </row>
    <row r="512">
      <c r="A512" s="2">
        <f>IFERROR(__xludf.DUMMYFUNCTION("""COMPUTED_VALUE"""),44943.64583333333)</f>
        <v>44943.64583</v>
      </c>
      <c r="B512" s="1">
        <f>IFERROR(__xludf.DUMMYFUNCTION("""COMPUTED_VALUE"""),9420.0)</f>
        <v>9420</v>
      </c>
      <c r="C512" s="1">
        <f>IFERROR(__xludf.DUMMYFUNCTION("""COMPUTED_VALUE"""),11900.0)</f>
        <v>11900</v>
      </c>
      <c r="D512" s="1">
        <f>IFERROR(__xludf.DUMMYFUNCTION("""COMPUTED_VALUE"""),9330.0)</f>
        <v>9330</v>
      </c>
      <c r="E512" s="1">
        <f>IFERROR(__xludf.DUMMYFUNCTION("""COMPUTED_VALUE"""),11000.0)</f>
        <v>11000</v>
      </c>
      <c r="F512" s="1">
        <f>IFERROR(__xludf.DUMMYFUNCTION("""COMPUTED_VALUE"""),1.2023834E7)</f>
        <v>12023834</v>
      </c>
    </row>
    <row r="513">
      <c r="A513" s="2">
        <f>IFERROR(__xludf.DUMMYFUNCTION("""COMPUTED_VALUE"""),44944.64583333333)</f>
        <v>44944.64583</v>
      </c>
      <c r="B513" s="1">
        <f>IFERROR(__xludf.DUMMYFUNCTION("""COMPUTED_VALUE"""),11050.0)</f>
        <v>11050</v>
      </c>
      <c r="C513" s="1">
        <f>IFERROR(__xludf.DUMMYFUNCTION("""COMPUTED_VALUE"""),11650.0)</f>
        <v>11650</v>
      </c>
      <c r="D513" s="1">
        <f>IFERROR(__xludf.DUMMYFUNCTION("""COMPUTED_VALUE"""),10900.0)</f>
        <v>10900</v>
      </c>
      <c r="E513" s="1">
        <f>IFERROR(__xludf.DUMMYFUNCTION("""COMPUTED_VALUE"""),11150.0)</f>
        <v>11150</v>
      </c>
      <c r="F513" s="1">
        <f>IFERROR(__xludf.DUMMYFUNCTION("""COMPUTED_VALUE"""),3079433.0)</f>
        <v>3079433</v>
      </c>
    </row>
    <row r="514">
      <c r="A514" s="2">
        <f>IFERROR(__xludf.DUMMYFUNCTION("""COMPUTED_VALUE"""),44945.64583333333)</f>
        <v>44945.64583</v>
      </c>
      <c r="B514" s="1">
        <f>IFERROR(__xludf.DUMMYFUNCTION("""COMPUTED_VALUE"""),11250.0)</f>
        <v>11250</v>
      </c>
      <c r="C514" s="1">
        <f>IFERROR(__xludf.DUMMYFUNCTION("""COMPUTED_VALUE"""),11250.0)</f>
        <v>11250</v>
      </c>
      <c r="D514" s="1">
        <f>IFERROR(__xludf.DUMMYFUNCTION("""COMPUTED_VALUE"""),10800.0)</f>
        <v>10800</v>
      </c>
      <c r="E514" s="1">
        <f>IFERROR(__xludf.DUMMYFUNCTION("""COMPUTED_VALUE"""),11200.0)</f>
        <v>11200</v>
      </c>
      <c r="F514" s="1">
        <f>IFERROR(__xludf.DUMMYFUNCTION("""COMPUTED_VALUE"""),811722.0)</f>
        <v>811722</v>
      </c>
    </row>
    <row r="515">
      <c r="A515" s="2">
        <f>IFERROR(__xludf.DUMMYFUNCTION("""COMPUTED_VALUE"""),44946.64583333333)</f>
        <v>44946.64583</v>
      </c>
      <c r="B515" s="1">
        <f>IFERROR(__xludf.DUMMYFUNCTION("""COMPUTED_VALUE"""),11200.0)</f>
        <v>11200</v>
      </c>
      <c r="C515" s="1">
        <f>IFERROR(__xludf.DUMMYFUNCTION("""COMPUTED_VALUE"""),11700.0)</f>
        <v>11700</v>
      </c>
      <c r="D515" s="1">
        <f>IFERROR(__xludf.DUMMYFUNCTION("""COMPUTED_VALUE"""),11200.0)</f>
        <v>11200</v>
      </c>
      <c r="E515" s="1">
        <f>IFERROR(__xludf.DUMMYFUNCTION("""COMPUTED_VALUE"""),11700.0)</f>
        <v>11700</v>
      </c>
      <c r="F515" s="1">
        <f>IFERROR(__xludf.DUMMYFUNCTION("""COMPUTED_VALUE"""),866414.0)</f>
        <v>866414</v>
      </c>
    </row>
    <row r="516">
      <c r="A516" s="2">
        <f>IFERROR(__xludf.DUMMYFUNCTION("""COMPUTED_VALUE"""),44951.64583333333)</f>
        <v>44951.64583</v>
      </c>
      <c r="B516" s="1">
        <f>IFERROR(__xludf.DUMMYFUNCTION("""COMPUTED_VALUE"""),11900.0)</f>
        <v>11900</v>
      </c>
      <c r="C516" s="1">
        <f>IFERROR(__xludf.DUMMYFUNCTION("""COMPUTED_VALUE"""),13380.0)</f>
        <v>13380</v>
      </c>
      <c r="D516" s="1">
        <f>IFERROR(__xludf.DUMMYFUNCTION("""COMPUTED_VALUE"""),11900.0)</f>
        <v>11900</v>
      </c>
      <c r="E516" s="1">
        <f>IFERROR(__xludf.DUMMYFUNCTION("""COMPUTED_VALUE"""),13380.0)</f>
        <v>13380</v>
      </c>
      <c r="F516" s="1">
        <f>IFERROR(__xludf.DUMMYFUNCTION("""COMPUTED_VALUE"""),1597651.0)</f>
        <v>1597651</v>
      </c>
    </row>
    <row r="517">
      <c r="A517" s="2">
        <f>IFERROR(__xludf.DUMMYFUNCTION("""COMPUTED_VALUE"""),44952.64583333333)</f>
        <v>44952.64583</v>
      </c>
      <c r="B517" s="1">
        <f>IFERROR(__xludf.DUMMYFUNCTION("""COMPUTED_VALUE"""),12800.0)</f>
        <v>12800</v>
      </c>
      <c r="C517" s="1">
        <f>IFERROR(__xludf.DUMMYFUNCTION("""COMPUTED_VALUE"""),12800.0)</f>
        <v>12800</v>
      </c>
      <c r="D517" s="1">
        <f>IFERROR(__xludf.DUMMYFUNCTION("""COMPUTED_VALUE"""),11200.0)</f>
        <v>11200</v>
      </c>
      <c r="E517" s="1">
        <f>IFERROR(__xludf.DUMMYFUNCTION("""COMPUTED_VALUE"""),11300.0)</f>
        <v>11300</v>
      </c>
      <c r="F517" s="1">
        <f>IFERROR(__xludf.DUMMYFUNCTION("""COMPUTED_VALUE"""),1267971.0)</f>
        <v>1267971</v>
      </c>
    </row>
    <row r="518">
      <c r="A518" s="2">
        <f>IFERROR(__xludf.DUMMYFUNCTION("""COMPUTED_VALUE"""),44953.64583333333)</f>
        <v>44953.64583</v>
      </c>
      <c r="B518" s="1">
        <f>IFERROR(__xludf.DUMMYFUNCTION("""COMPUTED_VALUE"""),11350.0)</f>
        <v>11350</v>
      </c>
      <c r="C518" s="1">
        <f>IFERROR(__xludf.DUMMYFUNCTION("""COMPUTED_VALUE"""),12430.0)</f>
        <v>12430</v>
      </c>
      <c r="D518" s="1">
        <f>IFERROR(__xludf.DUMMYFUNCTION("""COMPUTED_VALUE"""),11350.0)</f>
        <v>11350</v>
      </c>
      <c r="E518" s="1">
        <f>IFERROR(__xludf.DUMMYFUNCTION("""COMPUTED_VALUE"""),12430.0)</f>
        <v>12430</v>
      </c>
      <c r="F518" s="1">
        <f>IFERROR(__xludf.DUMMYFUNCTION("""COMPUTED_VALUE"""),787148.0)</f>
        <v>787148</v>
      </c>
    </row>
    <row r="519">
      <c r="A519" s="2">
        <f>IFERROR(__xludf.DUMMYFUNCTION("""COMPUTED_VALUE"""),44956.64583333333)</f>
        <v>44956.64583</v>
      </c>
      <c r="B519" s="1">
        <f>IFERROR(__xludf.DUMMYFUNCTION("""COMPUTED_VALUE"""),12840.0)</f>
        <v>12840</v>
      </c>
      <c r="C519" s="1">
        <f>IFERROR(__xludf.DUMMYFUNCTION("""COMPUTED_VALUE"""),13900.0)</f>
        <v>13900</v>
      </c>
      <c r="D519" s="1">
        <f>IFERROR(__xludf.DUMMYFUNCTION("""COMPUTED_VALUE"""),12280.0)</f>
        <v>12280</v>
      </c>
      <c r="E519" s="1">
        <f>IFERROR(__xludf.DUMMYFUNCTION("""COMPUTED_VALUE"""),13900.0)</f>
        <v>13900</v>
      </c>
      <c r="F519" s="1">
        <f>IFERROR(__xludf.DUMMYFUNCTION("""COMPUTED_VALUE"""),1229609.0)</f>
        <v>1229609</v>
      </c>
    </row>
    <row r="520">
      <c r="A520" s="2">
        <f>IFERROR(__xludf.DUMMYFUNCTION("""COMPUTED_VALUE"""),44957.64583333333)</f>
        <v>44957.64583</v>
      </c>
      <c r="B520" s="1">
        <f>IFERROR(__xludf.DUMMYFUNCTION("""COMPUTED_VALUE"""),13200.0)</f>
        <v>13200</v>
      </c>
      <c r="C520" s="1">
        <f>IFERROR(__xludf.DUMMYFUNCTION("""COMPUTED_VALUE"""),14640.0)</f>
        <v>14640</v>
      </c>
      <c r="D520" s="1">
        <f>IFERROR(__xludf.DUMMYFUNCTION("""COMPUTED_VALUE"""),12780.0)</f>
        <v>12780</v>
      </c>
      <c r="E520" s="1">
        <f>IFERROR(__xludf.DUMMYFUNCTION("""COMPUTED_VALUE"""),13920.0)</f>
        <v>13920</v>
      </c>
      <c r="F520" s="1">
        <f>IFERROR(__xludf.DUMMYFUNCTION("""COMPUTED_VALUE"""),3073990.0)</f>
        <v>3073990</v>
      </c>
    </row>
    <row r="521">
      <c r="A521" s="2">
        <f>IFERROR(__xludf.DUMMYFUNCTION("""COMPUTED_VALUE"""),44958.64583333333)</f>
        <v>44958.64583</v>
      </c>
      <c r="B521" s="1">
        <f>IFERROR(__xludf.DUMMYFUNCTION("""COMPUTED_VALUE"""),14260.0)</f>
        <v>14260</v>
      </c>
      <c r="C521" s="1">
        <f>IFERROR(__xludf.DUMMYFUNCTION("""COMPUTED_VALUE"""),14270.0)</f>
        <v>14270</v>
      </c>
      <c r="D521" s="1">
        <f>IFERROR(__xludf.DUMMYFUNCTION("""COMPUTED_VALUE"""),12000.0)</f>
        <v>12000</v>
      </c>
      <c r="E521" s="1">
        <f>IFERROR(__xludf.DUMMYFUNCTION("""COMPUTED_VALUE"""),12660.0)</f>
        <v>12660</v>
      </c>
      <c r="F521" s="1">
        <f>IFERROR(__xludf.DUMMYFUNCTION("""COMPUTED_VALUE"""),2231425.0)</f>
        <v>2231425</v>
      </c>
    </row>
    <row r="522">
      <c r="A522" s="2">
        <f>IFERROR(__xludf.DUMMYFUNCTION("""COMPUTED_VALUE"""),44959.64583333333)</f>
        <v>44959.64583</v>
      </c>
      <c r="B522" s="1">
        <f>IFERROR(__xludf.DUMMYFUNCTION("""COMPUTED_VALUE"""),13080.0)</f>
        <v>13080</v>
      </c>
      <c r="C522" s="1">
        <f>IFERROR(__xludf.DUMMYFUNCTION("""COMPUTED_VALUE"""),13220.0)</f>
        <v>13220</v>
      </c>
      <c r="D522" s="1">
        <f>IFERROR(__xludf.DUMMYFUNCTION("""COMPUTED_VALUE"""),12200.0)</f>
        <v>12200</v>
      </c>
      <c r="E522" s="1">
        <f>IFERROR(__xludf.DUMMYFUNCTION("""COMPUTED_VALUE"""),13030.0)</f>
        <v>13030</v>
      </c>
      <c r="F522" s="1">
        <f>IFERROR(__xludf.DUMMYFUNCTION("""COMPUTED_VALUE"""),1027857.0)</f>
        <v>1027857</v>
      </c>
    </row>
    <row r="523">
      <c r="A523" s="2">
        <f>IFERROR(__xludf.DUMMYFUNCTION("""COMPUTED_VALUE"""),44960.64583333333)</f>
        <v>44960.64583</v>
      </c>
      <c r="B523" s="1">
        <f>IFERROR(__xludf.DUMMYFUNCTION("""COMPUTED_VALUE"""),13250.0)</f>
        <v>13250</v>
      </c>
      <c r="C523" s="1">
        <f>IFERROR(__xludf.DUMMYFUNCTION("""COMPUTED_VALUE"""),13730.0)</f>
        <v>13730</v>
      </c>
      <c r="D523" s="1">
        <f>IFERROR(__xludf.DUMMYFUNCTION("""COMPUTED_VALUE"""),12460.0)</f>
        <v>12460</v>
      </c>
      <c r="E523" s="1">
        <f>IFERROR(__xludf.DUMMYFUNCTION("""COMPUTED_VALUE"""),13040.0)</f>
        <v>13040</v>
      </c>
      <c r="F523" s="1">
        <f>IFERROR(__xludf.DUMMYFUNCTION("""COMPUTED_VALUE"""),1751429.0)</f>
        <v>1751429</v>
      </c>
    </row>
    <row r="524">
      <c r="A524" s="2">
        <f>IFERROR(__xludf.DUMMYFUNCTION("""COMPUTED_VALUE"""),44963.64583333333)</f>
        <v>44963.64583</v>
      </c>
      <c r="B524" s="1">
        <f>IFERROR(__xludf.DUMMYFUNCTION("""COMPUTED_VALUE"""),13100.0)</f>
        <v>13100</v>
      </c>
      <c r="C524" s="1">
        <f>IFERROR(__xludf.DUMMYFUNCTION("""COMPUTED_VALUE"""),13100.0)</f>
        <v>13100</v>
      </c>
      <c r="D524" s="1">
        <f>IFERROR(__xludf.DUMMYFUNCTION("""COMPUTED_VALUE"""),11920.0)</f>
        <v>11920</v>
      </c>
      <c r="E524" s="1">
        <f>IFERROR(__xludf.DUMMYFUNCTION("""COMPUTED_VALUE"""),12140.0)</f>
        <v>12140</v>
      </c>
      <c r="F524" s="1">
        <f>IFERROR(__xludf.DUMMYFUNCTION("""COMPUTED_VALUE"""),970613.0)</f>
        <v>970613</v>
      </c>
    </row>
    <row r="525">
      <c r="A525" s="2">
        <f>IFERROR(__xludf.DUMMYFUNCTION("""COMPUTED_VALUE"""),44964.64583333333)</f>
        <v>44964.64583</v>
      </c>
      <c r="B525" s="1">
        <f>IFERROR(__xludf.DUMMYFUNCTION("""COMPUTED_VALUE"""),12210.0)</f>
        <v>12210</v>
      </c>
      <c r="C525" s="1">
        <f>IFERROR(__xludf.DUMMYFUNCTION("""COMPUTED_VALUE"""),12530.0)</f>
        <v>12530</v>
      </c>
      <c r="D525" s="1">
        <f>IFERROR(__xludf.DUMMYFUNCTION("""COMPUTED_VALUE"""),12020.0)</f>
        <v>12020</v>
      </c>
      <c r="E525" s="1">
        <f>IFERROR(__xludf.DUMMYFUNCTION("""COMPUTED_VALUE"""),12390.0)</f>
        <v>12390</v>
      </c>
      <c r="F525" s="1">
        <f>IFERROR(__xludf.DUMMYFUNCTION("""COMPUTED_VALUE"""),608001.0)</f>
        <v>608001</v>
      </c>
    </row>
    <row r="526">
      <c r="A526" s="2">
        <f>IFERROR(__xludf.DUMMYFUNCTION("""COMPUTED_VALUE"""),44965.64583333333)</f>
        <v>44965.64583</v>
      </c>
      <c r="B526" s="1">
        <f>IFERROR(__xludf.DUMMYFUNCTION("""COMPUTED_VALUE"""),12980.0)</f>
        <v>12980</v>
      </c>
      <c r="C526" s="1">
        <f>IFERROR(__xludf.DUMMYFUNCTION("""COMPUTED_VALUE"""),14100.0)</f>
        <v>14100</v>
      </c>
      <c r="D526" s="1">
        <f>IFERROR(__xludf.DUMMYFUNCTION("""COMPUTED_VALUE"""),12780.0)</f>
        <v>12780</v>
      </c>
      <c r="E526" s="1">
        <f>IFERROR(__xludf.DUMMYFUNCTION("""COMPUTED_VALUE"""),12990.0)</f>
        <v>12990</v>
      </c>
      <c r="F526" s="1">
        <f>IFERROR(__xludf.DUMMYFUNCTION("""COMPUTED_VALUE"""),2270610.0)</f>
        <v>2270610</v>
      </c>
    </row>
    <row r="527">
      <c r="A527" s="2">
        <f>IFERROR(__xludf.DUMMYFUNCTION("""COMPUTED_VALUE"""),44966.64583333333)</f>
        <v>44966.64583</v>
      </c>
      <c r="B527" s="1">
        <f>IFERROR(__xludf.DUMMYFUNCTION("""COMPUTED_VALUE"""),12510.0)</f>
        <v>12510</v>
      </c>
      <c r="C527" s="1">
        <f>IFERROR(__xludf.DUMMYFUNCTION("""COMPUTED_VALUE"""),12980.0)</f>
        <v>12980</v>
      </c>
      <c r="D527" s="1">
        <f>IFERROR(__xludf.DUMMYFUNCTION("""COMPUTED_VALUE"""),12420.0)</f>
        <v>12420</v>
      </c>
      <c r="E527" s="1">
        <f>IFERROR(__xludf.DUMMYFUNCTION("""COMPUTED_VALUE"""),12880.0)</f>
        <v>12880</v>
      </c>
      <c r="F527" s="1">
        <f>IFERROR(__xludf.DUMMYFUNCTION("""COMPUTED_VALUE"""),523150.0)</f>
        <v>523150</v>
      </c>
    </row>
    <row r="528">
      <c r="A528" s="2">
        <f>IFERROR(__xludf.DUMMYFUNCTION("""COMPUTED_VALUE"""),44967.64583333333)</f>
        <v>44967.64583</v>
      </c>
      <c r="B528" s="1">
        <f>IFERROR(__xludf.DUMMYFUNCTION("""COMPUTED_VALUE"""),12750.0)</f>
        <v>12750</v>
      </c>
      <c r="C528" s="1">
        <f>IFERROR(__xludf.DUMMYFUNCTION("""COMPUTED_VALUE"""),12770.0)</f>
        <v>12770</v>
      </c>
      <c r="D528" s="1">
        <f>IFERROR(__xludf.DUMMYFUNCTION("""COMPUTED_VALUE"""),12170.0)</f>
        <v>12170</v>
      </c>
      <c r="E528" s="1">
        <f>IFERROR(__xludf.DUMMYFUNCTION("""COMPUTED_VALUE"""),12200.0)</f>
        <v>12200</v>
      </c>
      <c r="F528" s="1">
        <f>IFERROR(__xludf.DUMMYFUNCTION("""COMPUTED_VALUE"""),507996.0)</f>
        <v>507996</v>
      </c>
    </row>
    <row r="529">
      <c r="A529" s="2">
        <f>IFERROR(__xludf.DUMMYFUNCTION("""COMPUTED_VALUE"""),44970.64583333333)</f>
        <v>44970.64583</v>
      </c>
      <c r="B529" s="1">
        <f>IFERROR(__xludf.DUMMYFUNCTION("""COMPUTED_VALUE"""),12300.0)</f>
        <v>12300</v>
      </c>
      <c r="C529" s="1">
        <f>IFERROR(__xludf.DUMMYFUNCTION("""COMPUTED_VALUE"""),13610.0)</f>
        <v>13610</v>
      </c>
      <c r="D529" s="1">
        <f>IFERROR(__xludf.DUMMYFUNCTION("""COMPUTED_VALUE"""),12000.0)</f>
        <v>12000</v>
      </c>
      <c r="E529" s="1">
        <f>IFERROR(__xludf.DUMMYFUNCTION("""COMPUTED_VALUE"""),13010.0)</f>
        <v>13010</v>
      </c>
      <c r="F529" s="1">
        <f>IFERROR(__xludf.DUMMYFUNCTION("""COMPUTED_VALUE"""),1547512.0)</f>
        <v>1547512</v>
      </c>
    </row>
    <row r="530">
      <c r="A530" s="2">
        <f>IFERROR(__xludf.DUMMYFUNCTION("""COMPUTED_VALUE"""),44971.64583333333)</f>
        <v>44971.64583</v>
      </c>
      <c r="B530" s="1">
        <f>IFERROR(__xludf.DUMMYFUNCTION("""COMPUTED_VALUE"""),13800.0)</f>
        <v>13800</v>
      </c>
      <c r="C530" s="1">
        <f>IFERROR(__xludf.DUMMYFUNCTION("""COMPUTED_VALUE"""),14310.0)</f>
        <v>14310</v>
      </c>
      <c r="D530" s="1">
        <f>IFERROR(__xludf.DUMMYFUNCTION("""COMPUTED_VALUE"""),13170.0)</f>
        <v>13170</v>
      </c>
      <c r="E530" s="1">
        <f>IFERROR(__xludf.DUMMYFUNCTION("""COMPUTED_VALUE"""),13450.0)</f>
        <v>13450</v>
      </c>
      <c r="F530" s="1">
        <f>IFERROR(__xludf.DUMMYFUNCTION("""COMPUTED_VALUE"""),2415980.0)</f>
        <v>2415980</v>
      </c>
    </row>
    <row r="531">
      <c r="A531" s="2">
        <f>IFERROR(__xludf.DUMMYFUNCTION("""COMPUTED_VALUE"""),44972.64583333333)</f>
        <v>44972.64583</v>
      </c>
      <c r="B531" s="1">
        <f>IFERROR(__xludf.DUMMYFUNCTION("""COMPUTED_VALUE"""),13320.0)</f>
        <v>13320</v>
      </c>
      <c r="C531" s="1">
        <f>IFERROR(__xludf.DUMMYFUNCTION("""COMPUTED_VALUE"""),13380.0)</f>
        <v>13380</v>
      </c>
      <c r="D531" s="1">
        <f>IFERROR(__xludf.DUMMYFUNCTION("""COMPUTED_VALUE"""),12300.0)</f>
        <v>12300</v>
      </c>
      <c r="E531" s="1">
        <f>IFERROR(__xludf.DUMMYFUNCTION("""COMPUTED_VALUE"""),12380.0)</f>
        <v>12380</v>
      </c>
      <c r="F531" s="1">
        <f>IFERROR(__xludf.DUMMYFUNCTION("""COMPUTED_VALUE"""),1086147.0)</f>
        <v>1086147</v>
      </c>
    </row>
    <row r="532">
      <c r="A532" s="2">
        <f>IFERROR(__xludf.DUMMYFUNCTION("""COMPUTED_VALUE"""),44973.64583333333)</f>
        <v>44973.64583</v>
      </c>
      <c r="B532" s="1">
        <f>IFERROR(__xludf.DUMMYFUNCTION("""COMPUTED_VALUE"""),12540.0)</f>
        <v>12540</v>
      </c>
      <c r="C532" s="1">
        <f>IFERROR(__xludf.DUMMYFUNCTION("""COMPUTED_VALUE"""),12590.0)</f>
        <v>12590</v>
      </c>
      <c r="D532" s="1">
        <f>IFERROR(__xludf.DUMMYFUNCTION("""COMPUTED_VALUE"""),11500.0)</f>
        <v>11500</v>
      </c>
      <c r="E532" s="1">
        <f>IFERROR(__xludf.DUMMYFUNCTION("""COMPUTED_VALUE"""),12120.0)</f>
        <v>12120</v>
      </c>
      <c r="F532" s="1">
        <f>IFERROR(__xludf.DUMMYFUNCTION("""COMPUTED_VALUE"""),982315.0)</f>
        <v>982315</v>
      </c>
    </row>
    <row r="533">
      <c r="A533" s="2">
        <f>IFERROR(__xludf.DUMMYFUNCTION("""COMPUTED_VALUE"""),44974.64583333333)</f>
        <v>44974.64583</v>
      </c>
      <c r="B533" s="1">
        <f>IFERROR(__xludf.DUMMYFUNCTION("""COMPUTED_VALUE"""),11760.0)</f>
        <v>11760</v>
      </c>
      <c r="C533" s="1">
        <f>IFERROR(__xludf.DUMMYFUNCTION("""COMPUTED_VALUE"""),12840.0)</f>
        <v>12840</v>
      </c>
      <c r="D533" s="1">
        <f>IFERROR(__xludf.DUMMYFUNCTION("""COMPUTED_VALUE"""),11510.0)</f>
        <v>11510</v>
      </c>
      <c r="E533" s="1">
        <f>IFERROR(__xludf.DUMMYFUNCTION("""COMPUTED_VALUE"""),12120.0)</f>
        <v>12120</v>
      </c>
      <c r="F533" s="1">
        <f>IFERROR(__xludf.DUMMYFUNCTION("""COMPUTED_VALUE"""),1060545.0)</f>
        <v>1060545</v>
      </c>
    </row>
    <row r="534">
      <c r="A534" s="2">
        <f>IFERROR(__xludf.DUMMYFUNCTION("""COMPUTED_VALUE"""),44977.64583333333)</f>
        <v>44977.64583</v>
      </c>
      <c r="B534" s="1">
        <f>IFERROR(__xludf.DUMMYFUNCTION("""COMPUTED_VALUE"""),12250.0)</f>
        <v>12250</v>
      </c>
      <c r="C534" s="1">
        <f>IFERROR(__xludf.DUMMYFUNCTION("""COMPUTED_VALUE"""),12650.0)</f>
        <v>12650</v>
      </c>
      <c r="D534" s="1">
        <f>IFERROR(__xludf.DUMMYFUNCTION("""COMPUTED_VALUE"""),12230.0)</f>
        <v>12230</v>
      </c>
      <c r="E534" s="1">
        <f>IFERROR(__xludf.DUMMYFUNCTION("""COMPUTED_VALUE"""),12620.0)</f>
        <v>12620</v>
      </c>
      <c r="F534" s="1">
        <f>IFERROR(__xludf.DUMMYFUNCTION("""COMPUTED_VALUE"""),653305.0)</f>
        <v>653305</v>
      </c>
    </row>
    <row r="535">
      <c r="A535" s="2">
        <f>IFERROR(__xludf.DUMMYFUNCTION("""COMPUTED_VALUE"""),44978.64583333333)</f>
        <v>44978.64583</v>
      </c>
      <c r="B535" s="1">
        <f>IFERROR(__xludf.DUMMYFUNCTION("""COMPUTED_VALUE"""),12850.0)</f>
        <v>12850</v>
      </c>
      <c r="C535" s="1">
        <f>IFERROR(__xludf.DUMMYFUNCTION("""COMPUTED_VALUE"""),12960.0)</f>
        <v>12960</v>
      </c>
      <c r="D535" s="1">
        <f>IFERROR(__xludf.DUMMYFUNCTION("""COMPUTED_VALUE"""),12500.0)</f>
        <v>12500</v>
      </c>
      <c r="E535" s="1">
        <f>IFERROR(__xludf.DUMMYFUNCTION("""COMPUTED_VALUE"""),12630.0)</f>
        <v>12630</v>
      </c>
      <c r="F535" s="1">
        <f>IFERROR(__xludf.DUMMYFUNCTION("""COMPUTED_VALUE"""),651666.0)</f>
        <v>651666</v>
      </c>
    </row>
    <row r="536">
      <c r="A536" s="2">
        <f>IFERROR(__xludf.DUMMYFUNCTION("""COMPUTED_VALUE"""),44979.64583333333)</f>
        <v>44979.64583</v>
      </c>
      <c r="B536" s="1">
        <f>IFERROR(__xludf.DUMMYFUNCTION("""COMPUTED_VALUE"""),12270.0)</f>
        <v>12270</v>
      </c>
      <c r="C536" s="1">
        <f>IFERROR(__xludf.DUMMYFUNCTION("""COMPUTED_VALUE"""),12300.0)</f>
        <v>12300</v>
      </c>
      <c r="D536" s="1">
        <f>IFERROR(__xludf.DUMMYFUNCTION("""COMPUTED_VALUE"""),11840.0)</f>
        <v>11840</v>
      </c>
      <c r="E536" s="1">
        <f>IFERROR(__xludf.DUMMYFUNCTION("""COMPUTED_VALUE"""),11900.0)</f>
        <v>11900</v>
      </c>
      <c r="F536" s="1">
        <f>IFERROR(__xludf.DUMMYFUNCTION("""COMPUTED_VALUE"""),685404.0)</f>
        <v>685404</v>
      </c>
    </row>
    <row r="537">
      <c r="A537" s="2">
        <f>IFERROR(__xludf.DUMMYFUNCTION("""COMPUTED_VALUE"""),44980.64583333333)</f>
        <v>44980.64583</v>
      </c>
      <c r="B537" s="1">
        <f>IFERROR(__xludf.DUMMYFUNCTION("""COMPUTED_VALUE"""),12100.0)</f>
        <v>12100</v>
      </c>
      <c r="C537" s="1">
        <f>IFERROR(__xludf.DUMMYFUNCTION("""COMPUTED_VALUE"""),14730.0)</f>
        <v>14730</v>
      </c>
      <c r="D537" s="1">
        <f>IFERROR(__xludf.DUMMYFUNCTION("""COMPUTED_VALUE"""),11980.0)</f>
        <v>11980</v>
      </c>
      <c r="E537" s="1">
        <f>IFERROR(__xludf.DUMMYFUNCTION("""COMPUTED_VALUE"""),14410.0)</f>
        <v>14410</v>
      </c>
      <c r="F537" s="1">
        <f>IFERROR(__xludf.DUMMYFUNCTION("""COMPUTED_VALUE"""),7997197.0)</f>
        <v>7997197</v>
      </c>
    </row>
    <row r="538">
      <c r="A538" s="2">
        <f>IFERROR(__xludf.DUMMYFUNCTION("""COMPUTED_VALUE"""),44981.64583333333)</f>
        <v>44981.64583</v>
      </c>
      <c r="B538" s="1">
        <f>IFERROR(__xludf.DUMMYFUNCTION("""COMPUTED_VALUE"""),15680.0)</f>
        <v>15680</v>
      </c>
      <c r="C538" s="1">
        <f>IFERROR(__xludf.DUMMYFUNCTION("""COMPUTED_VALUE"""),17150.0)</f>
        <v>17150</v>
      </c>
      <c r="D538" s="1">
        <f>IFERROR(__xludf.DUMMYFUNCTION("""COMPUTED_VALUE"""),15100.0)</f>
        <v>15100</v>
      </c>
      <c r="E538" s="1">
        <f>IFERROR(__xludf.DUMMYFUNCTION("""COMPUTED_VALUE"""),15820.0)</f>
        <v>15820</v>
      </c>
      <c r="F538" s="1">
        <f>IFERROR(__xludf.DUMMYFUNCTION("""COMPUTED_VALUE"""),8590811.0)</f>
        <v>8590811</v>
      </c>
    </row>
    <row r="539">
      <c r="A539" s="2">
        <f>IFERROR(__xludf.DUMMYFUNCTION("""COMPUTED_VALUE"""),44984.64583333333)</f>
        <v>44984.64583</v>
      </c>
      <c r="B539" s="1">
        <f>IFERROR(__xludf.DUMMYFUNCTION("""COMPUTED_VALUE"""),16550.0)</f>
        <v>16550</v>
      </c>
      <c r="C539" s="1">
        <f>IFERROR(__xludf.DUMMYFUNCTION("""COMPUTED_VALUE"""),17380.0)</f>
        <v>17380</v>
      </c>
      <c r="D539" s="1">
        <f>IFERROR(__xludf.DUMMYFUNCTION("""COMPUTED_VALUE"""),15830.0)</f>
        <v>15830</v>
      </c>
      <c r="E539" s="1">
        <f>IFERROR(__xludf.DUMMYFUNCTION("""COMPUTED_VALUE"""),16450.0)</f>
        <v>16450</v>
      </c>
      <c r="F539" s="1">
        <f>IFERROR(__xludf.DUMMYFUNCTION("""COMPUTED_VALUE"""),3414933.0)</f>
        <v>3414933</v>
      </c>
    </row>
    <row r="540">
      <c r="A540" s="2">
        <f>IFERROR(__xludf.DUMMYFUNCTION("""COMPUTED_VALUE"""),44985.64583333333)</f>
        <v>44985.64583</v>
      </c>
      <c r="B540" s="1">
        <f>IFERROR(__xludf.DUMMYFUNCTION("""COMPUTED_VALUE"""),16010.0)</f>
        <v>16010</v>
      </c>
      <c r="C540" s="1">
        <f>IFERROR(__xludf.DUMMYFUNCTION("""COMPUTED_VALUE"""),17940.0)</f>
        <v>17940</v>
      </c>
      <c r="D540" s="1">
        <f>IFERROR(__xludf.DUMMYFUNCTION("""COMPUTED_VALUE"""),15550.0)</f>
        <v>15550</v>
      </c>
      <c r="E540" s="1">
        <f>IFERROR(__xludf.DUMMYFUNCTION("""COMPUTED_VALUE"""),17550.0)</f>
        <v>17550</v>
      </c>
      <c r="F540" s="1">
        <f>IFERROR(__xludf.DUMMYFUNCTION("""COMPUTED_VALUE"""),5408050.0)</f>
        <v>5408050</v>
      </c>
    </row>
    <row r="541">
      <c r="A541" s="2">
        <f>IFERROR(__xludf.DUMMYFUNCTION("""COMPUTED_VALUE"""),44987.64583333333)</f>
        <v>44987.64583</v>
      </c>
      <c r="B541" s="1">
        <f>IFERROR(__xludf.DUMMYFUNCTION("""COMPUTED_VALUE"""),17570.0)</f>
        <v>17570</v>
      </c>
      <c r="C541" s="1">
        <f>IFERROR(__xludf.DUMMYFUNCTION("""COMPUTED_VALUE"""),17580.0)</f>
        <v>17580</v>
      </c>
      <c r="D541" s="1">
        <f>IFERROR(__xludf.DUMMYFUNCTION("""COMPUTED_VALUE"""),16010.0)</f>
        <v>16010</v>
      </c>
      <c r="E541" s="1">
        <f>IFERROR(__xludf.DUMMYFUNCTION("""COMPUTED_VALUE"""),16350.0)</f>
        <v>16350</v>
      </c>
      <c r="F541" s="1">
        <f>IFERROR(__xludf.DUMMYFUNCTION("""COMPUTED_VALUE"""),2044884.0)</f>
        <v>2044884</v>
      </c>
    </row>
    <row r="542">
      <c r="A542" s="2">
        <f>IFERROR(__xludf.DUMMYFUNCTION("""COMPUTED_VALUE"""),44988.64583333333)</f>
        <v>44988.64583</v>
      </c>
      <c r="B542" s="1">
        <f>IFERROR(__xludf.DUMMYFUNCTION("""COMPUTED_VALUE"""),16370.0)</f>
        <v>16370</v>
      </c>
      <c r="C542" s="1">
        <f>IFERROR(__xludf.DUMMYFUNCTION("""COMPUTED_VALUE"""),16420.0)</f>
        <v>16420</v>
      </c>
      <c r="D542" s="1">
        <f>IFERROR(__xludf.DUMMYFUNCTION("""COMPUTED_VALUE"""),15560.0)</f>
        <v>15560</v>
      </c>
      <c r="E542" s="1">
        <f>IFERROR(__xludf.DUMMYFUNCTION("""COMPUTED_VALUE"""),15800.0)</f>
        <v>15800</v>
      </c>
      <c r="F542" s="1">
        <f>IFERROR(__xludf.DUMMYFUNCTION("""COMPUTED_VALUE"""),1068215.0)</f>
        <v>1068215</v>
      </c>
    </row>
    <row r="543">
      <c r="A543" s="2">
        <f>IFERROR(__xludf.DUMMYFUNCTION("""COMPUTED_VALUE"""),44991.64583333333)</f>
        <v>44991.64583</v>
      </c>
      <c r="B543" s="1">
        <f>IFERROR(__xludf.DUMMYFUNCTION("""COMPUTED_VALUE"""),15800.0)</f>
        <v>15800</v>
      </c>
      <c r="C543" s="1">
        <f>IFERROR(__xludf.DUMMYFUNCTION("""COMPUTED_VALUE"""),16220.0)</f>
        <v>16220</v>
      </c>
      <c r="D543" s="1">
        <f>IFERROR(__xludf.DUMMYFUNCTION("""COMPUTED_VALUE"""),15100.0)</f>
        <v>15100</v>
      </c>
      <c r="E543" s="1">
        <f>IFERROR(__xludf.DUMMYFUNCTION("""COMPUTED_VALUE"""),15930.0)</f>
        <v>15930</v>
      </c>
      <c r="F543" s="1">
        <f>IFERROR(__xludf.DUMMYFUNCTION("""COMPUTED_VALUE"""),1277556.0)</f>
        <v>1277556</v>
      </c>
    </row>
    <row r="544">
      <c r="A544" s="2">
        <f>IFERROR(__xludf.DUMMYFUNCTION("""COMPUTED_VALUE"""),44992.64583333333)</f>
        <v>44992.64583</v>
      </c>
      <c r="B544" s="1">
        <f>IFERROR(__xludf.DUMMYFUNCTION("""COMPUTED_VALUE"""),16060.0)</f>
        <v>16060</v>
      </c>
      <c r="C544" s="1">
        <f>IFERROR(__xludf.DUMMYFUNCTION("""COMPUTED_VALUE"""),16880.0)</f>
        <v>16880</v>
      </c>
      <c r="D544" s="1">
        <f>IFERROR(__xludf.DUMMYFUNCTION("""COMPUTED_VALUE"""),15860.0)</f>
        <v>15860</v>
      </c>
      <c r="E544" s="1">
        <f>IFERROR(__xludf.DUMMYFUNCTION("""COMPUTED_VALUE"""),15990.0)</f>
        <v>15990</v>
      </c>
      <c r="F544" s="1">
        <f>IFERROR(__xludf.DUMMYFUNCTION("""COMPUTED_VALUE"""),1236801.0)</f>
        <v>1236801</v>
      </c>
    </row>
    <row r="545">
      <c r="A545" s="2">
        <f>IFERROR(__xludf.DUMMYFUNCTION("""COMPUTED_VALUE"""),44993.64583333333)</f>
        <v>44993.64583</v>
      </c>
      <c r="B545" s="1">
        <f>IFERROR(__xludf.DUMMYFUNCTION("""COMPUTED_VALUE"""),15750.0)</f>
        <v>15750</v>
      </c>
      <c r="C545" s="1">
        <f>IFERROR(__xludf.DUMMYFUNCTION("""COMPUTED_VALUE"""),15880.0)</f>
        <v>15880</v>
      </c>
      <c r="D545" s="1">
        <f>IFERROR(__xludf.DUMMYFUNCTION("""COMPUTED_VALUE"""),14790.0)</f>
        <v>14790</v>
      </c>
      <c r="E545" s="1">
        <f>IFERROR(__xludf.DUMMYFUNCTION("""COMPUTED_VALUE"""),14940.0)</f>
        <v>14940</v>
      </c>
      <c r="F545" s="1">
        <f>IFERROR(__xludf.DUMMYFUNCTION("""COMPUTED_VALUE"""),942891.0)</f>
        <v>942891</v>
      </c>
    </row>
    <row r="546">
      <c r="A546" s="2">
        <f>IFERROR(__xludf.DUMMYFUNCTION("""COMPUTED_VALUE"""),44994.64583333333)</f>
        <v>44994.64583</v>
      </c>
      <c r="B546" s="1">
        <f>IFERROR(__xludf.DUMMYFUNCTION("""COMPUTED_VALUE"""),15050.0)</f>
        <v>15050</v>
      </c>
      <c r="C546" s="1">
        <f>IFERROR(__xludf.DUMMYFUNCTION("""COMPUTED_VALUE"""),15290.0)</f>
        <v>15290</v>
      </c>
      <c r="D546" s="1">
        <f>IFERROR(__xludf.DUMMYFUNCTION("""COMPUTED_VALUE"""),14210.0)</f>
        <v>14210</v>
      </c>
      <c r="E546" s="1">
        <f>IFERROR(__xludf.DUMMYFUNCTION("""COMPUTED_VALUE"""),14590.0)</f>
        <v>14590</v>
      </c>
      <c r="F546" s="1">
        <f>IFERROR(__xludf.DUMMYFUNCTION("""COMPUTED_VALUE"""),717496.0)</f>
        <v>717496</v>
      </c>
    </row>
    <row r="547">
      <c r="A547" s="2">
        <f>IFERROR(__xludf.DUMMYFUNCTION("""COMPUTED_VALUE"""),44995.64583333333)</f>
        <v>44995.64583</v>
      </c>
      <c r="B547" s="1">
        <f>IFERROR(__xludf.DUMMYFUNCTION("""COMPUTED_VALUE"""),14150.0)</f>
        <v>14150</v>
      </c>
      <c r="C547" s="1">
        <f>IFERROR(__xludf.DUMMYFUNCTION("""COMPUTED_VALUE"""),15070.0)</f>
        <v>15070</v>
      </c>
      <c r="D547" s="1">
        <f>IFERROR(__xludf.DUMMYFUNCTION("""COMPUTED_VALUE"""),13600.0)</f>
        <v>13600</v>
      </c>
      <c r="E547" s="1">
        <f>IFERROR(__xludf.DUMMYFUNCTION("""COMPUTED_VALUE"""),15050.0)</f>
        <v>15050</v>
      </c>
      <c r="F547" s="1">
        <f>IFERROR(__xludf.DUMMYFUNCTION("""COMPUTED_VALUE"""),755604.0)</f>
        <v>755604</v>
      </c>
    </row>
    <row r="548">
      <c r="A548" s="2">
        <f>IFERROR(__xludf.DUMMYFUNCTION("""COMPUTED_VALUE"""),44998.64583333333)</f>
        <v>44998.64583</v>
      </c>
      <c r="B548" s="1">
        <f>IFERROR(__xludf.DUMMYFUNCTION("""COMPUTED_VALUE"""),14500.0)</f>
        <v>14500</v>
      </c>
      <c r="C548" s="1">
        <f>IFERROR(__xludf.DUMMYFUNCTION("""COMPUTED_VALUE"""),16440.0)</f>
        <v>16440</v>
      </c>
      <c r="D548" s="1">
        <f>IFERROR(__xludf.DUMMYFUNCTION("""COMPUTED_VALUE"""),14300.0)</f>
        <v>14300</v>
      </c>
      <c r="E548" s="1">
        <f>IFERROR(__xludf.DUMMYFUNCTION("""COMPUTED_VALUE"""),16250.0)</f>
        <v>16250</v>
      </c>
      <c r="F548" s="1">
        <f>IFERROR(__xludf.DUMMYFUNCTION("""COMPUTED_VALUE"""),2570657.0)</f>
        <v>2570657</v>
      </c>
    </row>
    <row r="549">
      <c r="A549" s="2">
        <f>IFERROR(__xludf.DUMMYFUNCTION("""COMPUTED_VALUE"""),44999.64583333333)</f>
        <v>44999.64583</v>
      </c>
      <c r="B549" s="1">
        <f>IFERROR(__xludf.DUMMYFUNCTION("""COMPUTED_VALUE"""),16440.0)</f>
        <v>16440</v>
      </c>
      <c r="C549" s="1">
        <f>IFERROR(__xludf.DUMMYFUNCTION("""COMPUTED_VALUE"""),16700.0)</f>
        <v>16700</v>
      </c>
      <c r="D549" s="1">
        <f>IFERROR(__xludf.DUMMYFUNCTION("""COMPUTED_VALUE"""),15040.0)</f>
        <v>15040</v>
      </c>
      <c r="E549" s="1">
        <f>IFERROR(__xludf.DUMMYFUNCTION("""COMPUTED_VALUE"""),15040.0)</f>
        <v>15040</v>
      </c>
      <c r="F549" s="1">
        <f>IFERROR(__xludf.DUMMYFUNCTION("""COMPUTED_VALUE"""),1410659.0)</f>
        <v>1410659</v>
      </c>
    </row>
    <row r="550">
      <c r="A550" s="2">
        <f>IFERROR(__xludf.DUMMYFUNCTION("""COMPUTED_VALUE"""),45000.64583333333)</f>
        <v>45000.64583</v>
      </c>
      <c r="B550" s="1">
        <f>IFERROR(__xludf.DUMMYFUNCTION("""COMPUTED_VALUE"""),15820.0)</f>
        <v>15820</v>
      </c>
      <c r="C550" s="1">
        <f>IFERROR(__xludf.DUMMYFUNCTION("""COMPUTED_VALUE"""),15820.0)</f>
        <v>15820</v>
      </c>
      <c r="D550" s="1">
        <f>IFERROR(__xludf.DUMMYFUNCTION("""COMPUTED_VALUE"""),15000.0)</f>
        <v>15000</v>
      </c>
      <c r="E550" s="1">
        <f>IFERROR(__xludf.DUMMYFUNCTION("""COMPUTED_VALUE"""),15160.0)</f>
        <v>15160</v>
      </c>
      <c r="F550" s="1">
        <f>IFERROR(__xludf.DUMMYFUNCTION("""COMPUTED_VALUE"""),598543.0)</f>
        <v>598543</v>
      </c>
    </row>
    <row r="551">
      <c r="A551" s="2">
        <f>IFERROR(__xludf.DUMMYFUNCTION("""COMPUTED_VALUE"""),45001.64583333333)</f>
        <v>45001.64583</v>
      </c>
      <c r="B551" s="1">
        <f>IFERROR(__xludf.DUMMYFUNCTION("""COMPUTED_VALUE"""),15150.0)</f>
        <v>15150</v>
      </c>
      <c r="C551" s="1">
        <f>IFERROR(__xludf.DUMMYFUNCTION("""COMPUTED_VALUE"""),15700.0)</f>
        <v>15700</v>
      </c>
      <c r="D551" s="1">
        <f>IFERROR(__xludf.DUMMYFUNCTION("""COMPUTED_VALUE"""),14480.0)</f>
        <v>14480</v>
      </c>
      <c r="E551" s="1">
        <f>IFERROR(__xludf.DUMMYFUNCTION("""COMPUTED_VALUE"""),14610.0)</f>
        <v>14610</v>
      </c>
      <c r="F551" s="1">
        <f>IFERROR(__xludf.DUMMYFUNCTION("""COMPUTED_VALUE"""),830568.0)</f>
        <v>830568</v>
      </c>
    </row>
    <row r="552">
      <c r="A552" s="2">
        <f>IFERROR(__xludf.DUMMYFUNCTION("""COMPUTED_VALUE"""),45002.64583333333)</f>
        <v>45002.64583</v>
      </c>
      <c r="B552" s="1">
        <f>IFERROR(__xludf.DUMMYFUNCTION("""COMPUTED_VALUE"""),15100.0)</f>
        <v>15100</v>
      </c>
      <c r="C552" s="1">
        <f>IFERROR(__xludf.DUMMYFUNCTION("""COMPUTED_VALUE"""),15640.0)</f>
        <v>15640</v>
      </c>
      <c r="D552" s="1">
        <f>IFERROR(__xludf.DUMMYFUNCTION("""COMPUTED_VALUE"""),14690.0)</f>
        <v>14690</v>
      </c>
      <c r="E552" s="1">
        <f>IFERROR(__xludf.DUMMYFUNCTION("""COMPUTED_VALUE"""),15320.0)</f>
        <v>15320</v>
      </c>
      <c r="F552" s="1">
        <f>IFERROR(__xludf.DUMMYFUNCTION("""COMPUTED_VALUE"""),823916.0)</f>
        <v>823916</v>
      </c>
    </row>
    <row r="553">
      <c r="A553" s="2">
        <f>IFERROR(__xludf.DUMMYFUNCTION("""COMPUTED_VALUE"""),45005.64583333333)</f>
        <v>45005.64583</v>
      </c>
      <c r="B553" s="1">
        <f>IFERROR(__xludf.DUMMYFUNCTION("""COMPUTED_VALUE"""),15510.0)</f>
        <v>15510</v>
      </c>
      <c r="C553" s="1">
        <f>IFERROR(__xludf.DUMMYFUNCTION("""COMPUTED_VALUE"""),15600.0)</f>
        <v>15600</v>
      </c>
      <c r="D553" s="1">
        <f>IFERROR(__xludf.DUMMYFUNCTION("""COMPUTED_VALUE"""),14800.0)</f>
        <v>14800</v>
      </c>
      <c r="E553" s="1">
        <f>IFERROR(__xludf.DUMMYFUNCTION("""COMPUTED_VALUE"""),14930.0)</f>
        <v>14930</v>
      </c>
      <c r="F553" s="1">
        <f>IFERROR(__xludf.DUMMYFUNCTION("""COMPUTED_VALUE"""),447351.0)</f>
        <v>447351</v>
      </c>
    </row>
    <row r="554">
      <c r="A554" s="2">
        <f>IFERROR(__xludf.DUMMYFUNCTION("""COMPUTED_VALUE"""),45006.64583333333)</f>
        <v>45006.64583</v>
      </c>
      <c r="B554" s="1">
        <f>IFERROR(__xludf.DUMMYFUNCTION("""COMPUTED_VALUE"""),15060.0)</f>
        <v>15060</v>
      </c>
      <c r="C554" s="1">
        <f>IFERROR(__xludf.DUMMYFUNCTION("""COMPUTED_VALUE"""),15450.0)</f>
        <v>15450</v>
      </c>
      <c r="D554" s="1">
        <f>IFERROR(__xludf.DUMMYFUNCTION("""COMPUTED_VALUE"""),14800.0)</f>
        <v>14800</v>
      </c>
      <c r="E554" s="1">
        <f>IFERROR(__xludf.DUMMYFUNCTION("""COMPUTED_VALUE"""),14800.0)</f>
        <v>14800</v>
      </c>
      <c r="F554" s="1">
        <f>IFERROR(__xludf.DUMMYFUNCTION("""COMPUTED_VALUE"""),620865.0)</f>
        <v>620865</v>
      </c>
    </row>
    <row r="555">
      <c r="A555" s="2">
        <f>IFERROR(__xludf.DUMMYFUNCTION("""COMPUTED_VALUE"""),45007.64583333333)</f>
        <v>45007.64583</v>
      </c>
      <c r="B555" s="1">
        <f>IFERROR(__xludf.DUMMYFUNCTION("""COMPUTED_VALUE"""),14990.0)</f>
        <v>14990</v>
      </c>
      <c r="C555" s="1">
        <f>IFERROR(__xludf.DUMMYFUNCTION("""COMPUTED_VALUE"""),16100.0)</f>
        <v>16100</v>
      </c>
      <c r="D555" s="1">
        <f>IFERROR(__xludf.DUMMYFUNCTION("""COMPUTED_VALUE"""),14950.0)</f>
        <v>14950</v>
      </c>
      <c r="E555" s="1">
        <f>IFERROR(__xludf.DUMMYFUNCTION("""COMPUTED_VALUE"""),15590.0)</f>
        <v>15590</v>
      </c>
      <c r="F555" s="1">
        <f>IFERROR(__xludf.DUMMYFUNCTION("""COMPUTED_VALUE"""),1792919.0)</f>
        <v>1792919</v>
      </c>
    </row>
    <row r="556">
      <c r="A556" s="2">
        <f>IFERROR(__xludf.DUMMYFUNCTION("""COMPUTED_VALUE"""),45008.64583333333)</f>
        <v>45008.64583</v>
      </c>
      <c r="B556" s="1">
        <f>IFERROR(__xludf.DUMMYFUNCTION("""COMPUTED_VALUE"""),15300.0)</f>
        <v>15300</v>
      </c>
      <c r="C556" s="1">
        <f>IFERROR(__xludf.DUMMYFUNCTION("""COMPUTED_VALUE"""),15410.0)</f>
        <v>15410</v>
      </c>
      <c r="D556" s="1">
        <f>IFERROR(__xludf.DUMMYFUNCTION("""COMPUTED_VALUE"""),14800.0)</f>
        <v>14800</v>
      </c>
      <c r="E556" s="1">
        <f>IFERROR(__xludf.DUMMYFUNCTION("""COMPUTED_VALUE"""),14870.0)</f>
        <v>14870</v>
      </c>
      <c r="F556" s="1">
        <f>IFERROR(__xludf.DUMMYFUNCTION("""COMPUTED_VALUE"""),1193255.0)</f>
        <v>1193255</v>
      </c>
    </row>
    <row r="557">
      <c r="A557" s="2">
        <f>IFERROR(__xludf.DUMMYFUNCTION("""COMPUTED_VALUE"""),45009.64583333333)</f>
        <v>45009.64583</v>
      </c>
      <c r="B557" s="1">
        <f>IFERROR(__xludf.DUMMYFUNCTION("""COMPUTED_VALUE"""),15000.0)</f>
        <v>15000</v>
      </c>
      <c r="C557" s="1">
        <f>IFERROR(__xludf.DUMMYFUNCTION("""COMPUTED_VALUE"""),15100.0)</f>
        <v>15100</v>
      </c>
      <c r="D557" s="1">
        <f>IFERROR(__xludf.DUMMYFUNCTION("""COMPUTED_VALUE"""),14050.0)</f>
        <v>14050</v>
      </c>
      <c r="E557" s="1">
        <f>IFERROR(__xludf.DUMMYFUNCTION("""COMPUTED_VALUE"""),14210.0)</f>
        <v>14210</v>
      </c>
      <c r="F557" s="1">
        <f>IFERROR(__xludf.DUMMYFUNCTION("""COMPUTED_VALUE"""),887544.0)</f>
        <v>887544</v>
      </c>
    </row>
    <row r="558">
      <c r="A558" s="2">
        <f>IFERROR(__xludf.DUMMYFUNCTION("""COMPUTED_VALUE"""),45012.64583333333)</f>
        <v>45012.64583</v>
      </c>
      <c r="B558" s="1">
        <f>IFERROR(__xludf.DUMMYFUNCTION("""COMPUTED_VALUE"""),14240.0)</f>
        <v>14240</v>
      </c>
      <c r="C558" s="1">
        <f>IFERROR(__xludf.DUMMYFUNCTION("""COMPUTED_VALUE"""),14240.0)</f>
        <v>14240</v>
      </c>
      <c r="D558" s="1">
        <f>IFERROR(__xludf.DUMMYFUNCTION("""COMPUTED_VALUE"""),13510.0)</f>
        <v>13510</v>
      </c>
      <c r="E558" s="1">
        <f>IFERROR(__xludf.DUMMYFUNCTION("""COMPUTED_VALUE"""),13820.0)</f>
        <v>13820</v>
      </c>
      <c r="F558" s="1">
        <f>IFERROR(__xludf.DUMMYFUNCTION("""COMPUTED_VALUE"""),506970.0)</f>
        <v>506970</v>
      </c>
    </row>
    <row r="559">
      <c r="A559" s="2">
        <f>IFERROR(__xludf.DUMMYFUNCTION("""COMPUTED_VALUE"""),45013.64583333333)</f>
        <v>45013.64583</v>
      </c>
      <c r="B559" s="1">
        <f>IFERROR(__xludf.DUMMYFUNCTION("""COMPUTED_VALUE"""),13940.0)</f>
        <v>13940</v>
      </c>
      <c r="C559" s="1">
        <f>IFERROR(__xludf.DUMMYFUNCTION("""COMPUTED_VALUE"""),14230.0)</f>
        <v>14230</v>
      </c>
      <c r="D559" s="1">
        <f>IFERROR(__xludf.DUMMYFUNCTION("""COMPUTED_VALUE"""),13610.0)</f>
        <v>13610</v>
      </c>
      <c r="E559" s="1">
        <f>IFERROR(__xludf.DUMMYFUNCTION("""COMPUTED_VALUE"""),13830.0)</f>
        <v>13830</v>
      </c>
      <c r="F559" s="1">
        <f>IFERROR(__xludf.DUMMYFUNCTION("""COMPUTED_VALUE"""),412535.0)</f>
        <v>412535</v>
      </c>
    </row>
    <row r="560">
      <c r="A560" s="2">
        <f>IFERROR(__xludf.DUMMYFUNCTION("""COMPUTED_VALUE"""),45014.64583333333)</f>
        <v>45014.64583</v>
      </c>
      <c r="B560" s="1">
        <f>IFERROR(__xludf.DUMMYFUNCTION("""COMPUTED_VALUE"""),13830.0)</f>
        <v>13830</v>
      </c>
      <c r="C560" s="1">
        <f>IFERROR(__xludf.DUMMYFUNCTION("""COMPUTED_VALUE"""),13860.0)</f>
        <v>13860</v>
      </c>
      <c r="D560" s="1">
        <f>IFERROR(__xludf.DUMMYFUNCTION("""COMPUTED_VALUE"""),13200.0)</f>
        <v>13200</v>
      </c>
      <c r="E560" s="1">
        <f>IFERROR(__xludf.DUMMYFUNCTION("""COMPUTED_VALUE"""),13420.0)</f>
        <v>13420</v>
      </c>
      <c r="F560" s="1">
        <f>IFERROR(__xludf.DUMMYFUNCTION("""COMPUTED_VALUE"""),542868.0)</f>
        <v>542868</v>
      </c>
    </row>
    <row r="561">
      <c r="A561" s="2">
        <f>IFERROR(__xludf.DUMMYFUNCTION("""COMPUTED_VALUE"""),45015.64583333333)</f>
        <v>45015.64583</v>
      </c>
      <c r="B561" s="1">
        <f>IFERROR(__xludf.DUMMYFUNCTION("""COMPUTED_VALUE"""),13480.0)</f>
        <v>13480</v>
      </c>
      <c r="C561" s="1">
        <f>IFERROR(__xludf.DUMMYFUNCTION("""COMPUTED_VALUE"""),13570.0)</f>
        <v>13570</v>
      </c>
      <c r="D561" s="1">
        <f>IFERROR(__xludf.DUMMYFUNCTION("""COMPUTED_VALUE"""),13040.0)</f>
        <v>13040</v>
      </c>
      <c r="E561" s="1">
        <f>IFERROR(__xludf.DUMMYFUNCTION("""COMPUTED_VALUE"""),13180.0)</f>
        <v>13180</v>
      </c>
      <c r="F561" s="1">
        <f>IFERROR(__xludf.DUMMYFUNCTION("""COMPUTED_VALUE"""),430961.0)</f>
        <v>430961</v>
      </c>
    </row>
    <row r="562">
      <c r="A562" s="2">
        <f>IFERROR(__xludf.DUMMYFUNCTION("""COMPUTED_VALUE"""),45016.64583333333)</f>
        <v>45016.64583</v>
      </c>
      <c r="B562" s="1">
        <f>IFERROR(__xludf.DUMMYFUNCTION("""COMPUTED_VALUE"""),13750.0)</f>
        <v>13750</v>
      </c>
      <c r="C562" s="1">
        <f>IFERROR(__xludf.DUMMYFUNCTION("""COMPUTED_VALUE"""),13750.0)</f>
        <v>13750</v>
      </c>
      <c r="D562" s="1">
        <f>IFERROR(__xludf.DUMMYFUNCTION("""COMPUTED_VALUE"""),12880.0)</f>
        <v>12880</v>
      </c>
      <c r="E562" s="1">
        <f>IFERROR(__xludf.DUMMYFUNCTION("""COMPUTED_VALUE"""),12900.0)</f>
        <v>12900</v>
      </c>
      <c r="F562" s="1">
        <f>IFERROR(__xludf.DUMMYFUNCTION("""COMPUTED_VALUE"""),570948.0)</f>
        <v>570948</v>
      </c>
    </row>
    <row r="563">
      <c r="A563" s="2">
        <f>IFERROR(__xludf.DUMMYFUNCTION("""COMPUTED_VALUE"""),45019.64583333333)</f>
        <v>45019.64583</v>
      </c>
      <c r="B563" s="1">
        <f>IFERROR(__xludf.DUMMYFUNCTION("""COMPUTED_VALUE"""),13050.0)</f>
        <v>13050</v>
      </c>
      <c r="C563" s="1">
        <f>IFERROR(__xludf.DUMMYFUNCTION("""COMPUTED_VALUE"""),13240.0)</f>
        <v>13240</v>
      </c>
      <c r="D563" s="1">
        <f>IFERROR(__xludf.DUMMYFUNCTION("""COMPUTED_VALUE"""),12800.0)</f>
        <v>12800</v>
      </c>
      <c r="E563" s="1">
        <f>IFERROR(__xludf.DUMMYFUNCTION("""COMPUTED_VALUE"""),13130.0)</f>
        <v>13130</v>
      </c>
      <c r="F563" s="1">
        <f>IFERROR(__xludf.DUMMYFUNCTION("""COMPUTED_VALUE"""),363257.0)</f>
        <v>363257</v>
      </c>
    </row>
    <row r="564">
      <c r="A564" s="2">
        <f>IFERROR(__xludf.DUMMYFUNCTION("""COMPUTED_VALUE"""),45020.64583333333)</f>
        <v>45020.64583</v>
      </c>
      <c r="B564" s="1">
        <f>IFERROR(__xludf.DUMMYFUNCTION("""COMPUTED_VALUE"""),13250.0)</f>
        <v>13250</v>
      </c>
      <c r="C564" s="1">
        <f>IFERROR(__xludf.DUMMYFUNCTION("""COMPUTED_VALUE"""),13460.0)</f>
        <v>13460</v>
      </c>
      <c r="D564" s="1">
        <f>IFERROR(__xludf.DUMMYFUNCTION("""COMPUTED_VALUE"""),12820.0)</f>
        <v>12820</v>
      </c>
      <c r="E564" s="1">
        <f>IFERROR(__xludf.DUMMYFUNCTION("""COMPUTED_VALUE"""),12820.0)</f>
        <v>12820</v>
      </c>
      <c r="F564" s="1">
        <f>IFERROR(__xludf.DUMMYFUNCTION("""COMPUTED_VALUE"""),408570.0)</f>
        <v>408570</v>
      </c>
    </row>
    <row r="565">
      <c r="A565" s="2">
        <f>IFERROR(__xludf.DUMMYFUNCTION("""COMPUTED_VALUE"""),45021.64583333333)</f>
        <v>45021.64583</v>
      </c>
      <c r="B565" s="1">
        <f>IFERROR(__xludf.DUMMYFUNCTION("""COMPUTED_VALUE"""),12850.0)</f>
        <v>12850</v>
      </c>
      <c r="C565" s="1">
        <f>IFERROR(__xludf.DUMMYFUNCTION("""COMPUTED_VALUE"""),12890.0)</f>
        <v>12890</v>
      </c>
      <c r="D565" s="1">
        <f>IFERROR(__xludf.DUMMYFUNCTION("""COMPUTED_VALUE"""),12490.0)</f>
        <v>12490</v>
      </c>
      <c r="E565" s="1">
        <f>IFERROR(__xludf.DUMMYFUNCTION("""COMPUTED_VALUE"""),12700.0)</f>
        <v>12700</v>
      </c>
      <c r="F565" s="1">
        <f>IFERROR(__xludf.DUMMYFUNCTION("""COMPUTED_VALUE"""),423384.0)</f>
        <v>423384</v>
      </c>
    </row>
    <row r="566">
      <c r="A566" s="2">
        <f>IFERROR(__xludf.DUMMYFUNCTION("""COMPUTED_VALUE"""),45022.64583333333)</f>
        <v>45022.64583</v>
      </c>
      <c r="B566" s="1">
        <f>IFERROR(__xludf.DUMMYFUNCTION("""COMPUTED_VALUE"""),12450.0)</f>
        <v>12450</v>
      </c>
      <c r="C566" s="1">
        <f>IFERROR(__xludf.DUMMYFUNCTION("""COMPUTED_VALUE"""),12520.0)</f>
        <v>12520</v>
      </c>
      <c r="D566" s="1">
        <f>IFERROR(__xludf.DUMMYFUNCTION("""COMPUTED_VALUE"""),12050.0)</f>
        <v>12050</v>
      </c>
      <c r="E566" s="1">
        <f>IFERROR(__xludf.DUMMYFUNCTION("""COMPUTED_VALUE"""),12110.0)</f>
        <v>12110</v>
      </c>
      <c r="F566" s="1">
        <f>IFERROR(__xludf.DUMMYFUNCTION("""COMPUTED_VALUE"""),425563.0)</f>
        <v>425563</v>
      </c>
    </row>
    <row r="567">
      <c r="A567" s="2">
        <f>IFERROR(__xludf.DUMMYFUNCTION("""COMPUTED_VALUE"""),45023.64583333333)</f>
        <v>45023.64583</v>
      </c>
      <c r="B567" s="1">
        <f>IFERROR(__xludf.DUMMYFUNCTION("""COMPUTED_VALUE"""),12170.0)</f>
        <v>12170</v>
      </c>
      <c r="C567" s="1">
        <f>IFERROR(__xludf.DUMMYFUNCTION("""COMPUTED_VALUE"""),12260.0)</f>
        <v>12260</v>
      </c>
      <c r="D567" s="1">
        <f>IFERROR(__xludf.DUMMYFUNCTION("""COMPUTED_VALUE"""),11940.0)</f>
        <v>11940</v>
      </c>
      <c r="E567" s="1">
        <f>IFERROR(__xludf.DUMMYFUNCTION("""COMPUTED_VALUE"""),12090.0)</f>
        <v>12090</v>
      </c>
      <c r="F567" s="1">
        <f>IFERROR(__xludf.DUMMYFUNCTION("""COMPUTED_VALUE"""),287509.0)</f>
        <v>287509</v>
      </c>
    </row>
    <row r="568">
      <c r="A568" s="2">
        <f>IFERROR(__xludf.DUMMYFUNCTION("""COMPUTED_VALUE"""),45026.64583333333)</f>
        <v>45026.64583</v>
      </c>
      <c r="B568" s="1">
        <f>IFERROR(__xludf.DUMMYFUNCTION("""COMPUTED_VALUE"""),12380.0)</f>
        <v>12380</v>
      </c>
      <c r="C568" s="1">
        <f>IFERROR(__xludf.DUMMYFUNCTION("""COMPUTED_VALUE"""),12450.0)</f>
        <v>12450</v>
      </c>
      <c r="D568" s="1">
        <f>IFERROR(__xludf.DUMMYFUNCTION("""COMPUTED_VALUE"""),11520.0)</f>
        <v>11520</v>
      </c>
      <c r="E568" s="1">
        <f>IFERROR(__xludf.DUMMYFUNCTION("""COMPUTED_VALUE"""),11700.0)</f>
        <v>11700</v>
      </c>
      <c r="F568" s="1">
        <f>IFERROR(__xludf.DUMMYFUNCTION("""COMPUTED_VALUE"""),561786.0)</f>
        <v>561786</v>
      </c>
    </row>
    <row r="569">
      <c r="A569" s="2">
        <f>IFERROR(__xludf.DUMMYFUNCTION("""COMPUTED_VALUE"""),45027.64583333333)</f>
        <v>45027.64583</v>
      </c>
      <c r="B569" s="1">
        <f>IFERROR(__xludf.DUMMYFUNCTION("""COMPUTED_VALUE"""),11600.0)</f>
        <v>11600</v>
      </c>
      <c r="C569" s="1">
        <f>IFERROR(__xludf.DUMMYFUNCTION("""COMPUTED_VALUE"""),11940.0)</f>
        <v>11940</v>
      </c>
      <c r="D569" s="1">
        <f>IFERROR(__xludf.DUMMYFUNCTION("""COMPUTED_VALUE"""),11310.0)</f>
        <v>11310</v>
      </c>
      <c r="E569" s="1">
        <f>IFERROR(__xludf.DUMMYFUNCTION("""COMPUTED_VALUE"""),11790.0)</f>
        <v>11790</v>
      </c>
      <c r="F569" s="1">
        <f>IFERROR(__xludf.DUMMYFUNCTION("""COMPUTED_VALUE"""),486744.0)</f>
        <v>486744</v>
      </c>
    </row>
    <row r="570">
      <c r="A570" s="2">
        <f>IFERROR(__xludf.DUMMYFUNCTION("""COMPUTED_VALUE"""),45028.64583333333)</f>
        <v>45028.64583</v>
      </c>
      <c r="B570" s="1">
        <f>IFERROR(__xludf.DUMMYFUNCTION("""COMPUTED_VALUE"""),11770.0)</f>
        <v>11770</v>
      </c>
      <c r="C570" s="1">
        <f>IFERROR(__xludf.DUMMYFUNCTION("""COMPUTED_VALUE"""),11770.0)</f>
        <v>11770</v>
      </c>
      <c r="D570" s="1">
        <f>IFERROR(__xludf.DUMMYFUNCTION("""COMPUTED_VALUE"""),11280.0)</f>
        <v>11280</v>
      </c>
      <c r="E570" s="1">
        <f>IFERROR(__xludf.DUMMYFUNCTION("""COMPUTED_VALUE"""),11290.0)</f>
        <v>11290</v>
      </c>
      <c r="F570" s="1">
        <f>IFERROR(__xludf.DUMMYFUNCTION("""COMPUTED_VALUE"""),345473.0)</f>
        <v>345473</v>
      </c>
    </row>
    <row r="571">
      <c r="A571" s="2">
        <f>IFERROR(__xludf.DUMMYFUNCTION("""COMPUTED_VALUE"""),45029.64583333333)</f>
        <v>45029.64583</v>
      </c>
      <c r="B571" s="1">
        <f>IFERROR(__xludf.DUMMYFUNCTION("""COMPUTED_VALUE"""),11220.0)</f>
        <v>11220</v>
      </c>
      <c r="C571" s="1">
        <f>IFERROR(__xludf.DUMMYFUNCTION("""COMPUTED_VALUE"""),11630.0)</f>
        <v>11630</v>
      </c>
      <c r="D571" s="1">
        <f>IFERROR(__xludf.DUMMYFUNCTION("""COMPUTED_VALUE"""),10940.0)</f>
        <v>10940</v>
      </c>
      <c r="E571" s="1">
        <f>IFERROR(__xludf.DUMMYFUNCTION("""COMPUTED_VALUE"""),11510.0)</f>
        <v>11510</v>
      </c>
      <c r="F571" s="1">
        <f>IFERROR(__xludf.DUMMYFUNCTION("""COMPUTED_VALUE"""),399545.0)</f>
        <v>399545</v>
      </c>
    </row>
    <row r="572">
      <c r="A572" s="2">
        <f>IFERROR(__xludf.DUMMYFUNCTION("""COMPUTED_VALUE"""),45030.64583333333)</f>
        <v>45030.64583</v>
      </c>
      <c r="B572" s="1">
        <f>IFERROR(__xludf.DUMMYFUNCTION("""COMPUTED_VALUE"""),11600.0)</f>
        <v>11600</v>
      </c>
      <c r="C572" s="1">
        <f>IFERROR(__xludf.DUMMYFUNCTION("""COMPUTED_VALUE"""),12300.0)</f>
        <v>12300</v>
      </c>
      <c r="D572" s="1">
        <f>IFERROR(__xludf.DUMMYFUNCTION("""COMPUTED_VALUE"""),11600.0)</f>
        <v>11600</v>
      </c>
      <c r="E572" s="1">
        <f>IFERROR(__xludf.DUMMYFUNCTION("""COMPUTED_VALUE"""),12000.0)</f>
        <v>12000</v>
      </c>
      <c r="F572" s="1">
        <f>IFERROR(__xludf.DUMMYFUNCTION("""COMPUTED_VALUE"""),647450.0)</f>
        <v>647450</v>
      </c>
    </row>
    <row r="573">
      <c r="A573" s="2">
        <f>IFERROR(__xludf.DUMMYFUNCTION("""COMPUTED_VALUE"""),45033.64583333333)</f>
        <v>45033.64583</v>
      </c>
      <c r="B573" s="1">
        <f>IFERROR(__xludf.DUMMYFUNCTION("""COMPUTED_VALUE"""),12200.0)</f>
        <v>12200</v>
      </c>
      <c r="C573" s="1">
        <f>IFERROR(__xludf.DUMMYFUNCTION("""COMPUTED_VALUE"""),12310.0)</f>
        <v>12310</v>
      </c>
      <c r="D573" s="1">
        <f>IFERROR(__xludf.DUMMYFUNCTION("""COMPUTED_VALUE"""),11700.0)</f>
        <v>11700</v>
      </c>
      <c r="E573" s="1">
        <f>IFERROR(__xludf.DUMMYFUNCTION("""COMPUTED_VALUE"""),11860.0)</f>
        <v>11860</v>
      </c>
      <c r="F573" s="1">
        <f>IFERROR(__xludf.DUMMYFUNCTION("""COMPUTED_VALUE"""),260047.0)</f>
        <v>260047</v>
      </c>
    </row>
    <row r="574">
      <c r="A574" s="2">
        <f>IFERROR(__xludf.DUMMYFUNCTION("""COMPUTED_VALUE"""),45034.64583333333)</f>
        <v>45034.64583</v>
      </c>
      <c r="B574" s="1">
        <f>IFERROR(__xludf.DUMMYFUNCTION("""COMPUTED_VALUE"""),11900.0)</f>
        <v>11900</v>
      </c>
      <c r="C574" s="1">
        <f>IFERROR(__xludf.DUMMYFUNCTION("""COMPUTED_VALUE"""),11900.0)</f>
        <v>11900</v>
      </c>
      <c r="D574" s="1">
        <f>IFERROR(__xludf.DUMMYFUNCTION("""COMPUTED_VALUE"""),11400.0)</f>
        <v>11400</v>
      </c>
      <c r="E574" s="1">
        <f>IFERROR(__xludf.DUMMYFUNCTION("""COMPUTED_VALUE"""),11420.0)</f>
        <v>11420</v>
      </c>
      <c r="F574" s="1">
        <f>IFERROR(__xludf.DUMMYFUNCTION("""COMPUTED_VALUE"""),221736.0)</f>
        <v>221736</v>
      </c>
    </row>
    <row r="575">
      <c r="A575" s="2">
        <f>IFERROR(__xludf.DUMMYFUNCTION("""COMPUTED_VALUE"""),45035.64583333333)</f>
        <v>45035.64583</v>
      </c>
      <c r="B575" s="1">
        <f>IFERROR(__xludf.DUMMYFUNCTION("""COMPUTED_VALUE"""),11430.0)</f>
        <v>11430</v>
      </c>
      <c r="C575" s="1">
        <f>IFERROR(__xludf.DUMMYFUNCTION("""COMPUTED_VALUE"""),11970.0)</f>
        <v>11970</v>
      </c>
      <c r="D575" s="1">
        <f>IFERROR(__xludf.DUMMYFUNCTION("""COMPUTED_VALUE"""),11430.0)</f>
        <v>11430</v>
      </c>
      <c r="E575" s="1">
        <f>IFERROR(__xludf.DUMMYFUNCTION("""COMPUTED_VALUE"""),11550.0)</f>
        <v>11550</v>
      </c>
      <c r="F575" s="1">
        <f>IFERROR(__xludf.DUMMYFUNCTION("""COMPUTED_VALUE"""),245959.0)</f>
        <v>245959</v>
      </c>
    </row>
    <row r="576">
      <c r="A576" s="2">
        <f>IFERROR(__xludf.DUMMYFUNCTION("""COMPUTED_VALUE"""),45036.64583333333)</f>
        <v>45036.64583</v>
      </c>
      <c r="B576" s="1">
        <f>IFERROR(__xludf.DUMMYFUNCTION("""COMPUTED_VALUE"""),11540.0)</f>
        <v>11540</v>
      </c>
      <c r="C576" s="1">
        <f>IFERROR(__xludf.DUMMYFUNCTION("""COMPUTED_VALUE"""),11540.0)</f>
        <v>11540</v>
      </c>
      <c r="D576" s="1">
        <f>IFERROR(__xludf.DUMMYFUNCTION("""COMPUTED_VALUE"""),11060.0)</f>
        <v>11060</v>
      </c>
      <c r="E576" s="1">
        <f>IFERROR(__xludf.DUMMYFUNCTION("""COMPUTED_VALUE"""),11090.0)</f>
        <v>11090</v>
      </c>
      <c r="F576" s="1">
        <f>IFERROR(__xludf.DUMMYFUNCTION("""COMPUTED_VALUE"""),209172.0)</f>
        <v>209172</v>
      </c>
    </row>
    <row r="577">
      <c r="A577" s="2">
        <f>IFERROR(__xludf.DUMMYFUNCTION("""COMPUTED_VALUE"""),45037.64583333333)</f>
        <v>45037.64583</v>
      </c>
      <c r="B577" s="1">
        <f>IFERROR(__xludf.DUMMYFUNCTION("""COMPUTED_VALUE"""),10870.0)</f>
        <v>10870</v>
      </c>
      <c r="C577" s="1">
        <f>IFERROR(__xludf.DUMMYFUNCTION("""COMPUTED_VALUE"""),11710.0)</f>
        <v>11710</v>
      </c>
      <c r="D577" s="1">
        <f>IFERROR(__xludf.DUMMYFUNCTION("""COMPUTED_VALUE"""),10850.0)</f>
        <v>10850</v>
      </c>
      <c r="E577" s="1">
        <f>IFERROR(__xludf.DUMMYFUNCTION("""COMPUTED_VALUE"""),11360.0)</f>
        <v>11360</v>
      </c>
      <c r="F577" s="1">
        <f>IFERROR(__xludf.DUMMYFUNCTION("""COMPUTED_VALUE"""),337633.0)</f>
        <v>337633</v>
      </c>
    </row>
    <row r="578">
      <c r="A578" s="2">
        <f>IFERROR(__xludf.DUMMYFUNCTION("""COMPUTED_VALUE"""),45040.64583333333)</f>
        <v>45040.64583</v>
      </c>
      <c r="B578" s="1">
        <f>IFERROR(__xludf.DUMMYFUNCTION("""COMPUTED_VALUE"""),11310.0)</f>
        <v>11310</v>
      </c>
      <c r="C578" s="1">
        <f>IFERROR(__xludf.DUMMYFUNCTION("""COMPUTED_VALUE"""),11320.0)</f>
        <v>11320</v>
      </c>
      <c r="D578" s="1">
        <f>IFERROR(__xludf.DUMMYFUNCTION("""COMPUTED_VALUE"""),11040.0)</f>
        <v>11040</v>
      </c>
      <c r="E578" s="1">
        <f>IFERROR(__xludf.DUMMYFUNCTION("""COMPUTED_VALUE"""),11150.0)</f>
        <v>11150</v>
      </c>
      <c r="F578" s="1">
        <f>IFERROR(__xludf.DUMMYFUNCTION("""COMPUTED_VALUE"""),134185.0)</f>
        <v>134185</v>
      </c>
    </row>
    <row r="579">
      <c r="A579" s="2">
        <f>IFERROR(__xludf.DUMMYFUNCTION("""COMPUTED_VALUE"""),45041.64583333333)</f>
        <v>45041.64583</v>
      </c>
      <c r="B579" s="1">
        <f>IFERROR(__xludf.DUMMYFUNCTION("""COMPUTED_VALUE"""),11110.0)</f>
        <v>11110</v>
      </c>
      <c r="C579" s="1">
        <f>IFERROR(__xludf.DUMMYFUNCTION("""COMPUTED_VALUE"""),11600.0)</f>
        <v>11600</v>
      </c>
      <c r="D579" s="1">
        <f>IFERROR(__xludf.DUMMYFUNCTION("""COMPUTED_VALUE"""),10860.0)</f>
        <v>10860</v>
      </c>
      <c r="E579" s="1">
        <f>IFERROR(__xludf.DUMMYFUNCTION("""COMPUTED_VALUE"""),11070.0)</f>
        <v>11070</v>
      </c>
      <c r="F579" s="1">
        <f>IFERROR(__xludf.DUMMYFUNCTION("""COMPUTED_VALUE"""),190208.0)</f>
        <v>190208</v>
      </c>
    </row>
    <row r="580">
      <c r="A580" s="2">
        <f>IFERROR(__xludf.DUMMYFUNCTION("""COMPUTED_VALUE"""),45042.64583333333)</f>
        <v>45042.64583</v>
      </c>
      <c r="B580" s="1">
        <f>IFERROR(__xludf.DUMMYFUNCTION("""COMPUTED_VALUE"""),11000.0)</f>
        <v>11000</v>
      </c>
      <c r="C580" s="1">
        <f>IFERROR(__xludf.DUMMYFUNCTION("""COMPUTED_VALUE"""),11470.0)</f>
        <v>11470</v>
      </c>
      <c r="D580" s="1">
        <f>IFERROR(__xludf.DUMMYFUNCTION("""COMPUTED_VALUE"""),10670.0)</f>
        <v>10670</v>
      </c>
      <c r="E580" s="1">
        <f>IFERROR(__xludf.DUMMYFUNCTION("""COMPUTED_VALUE"""),11070.0)</f>
        <v>11070</v>
      </c>
      <c r="F580" s="1">
        <f>IFERROR(__xludf.DUMMYFUNCTION("""COMPUTED_VALUE"""),188013.0)</f>
        <v>188013</v>
      </c>
    </row>
    <row r="581">
      <c r="A581" s="2">
        <f>IFERROR(__xludf.DUMMYFUNCTION("""COMPUTED_VALUE"""),45043.64583333333)</f>
        <v>45043.64583</v>
      </c>
      <c r="B581" s="1">
        <f>IFERROR(__xludf.DUMMYFUNCTION("""COMPUTED_VALUE"""),11390.0)</f>
        <v>11390</v>
      </c>
      <c r="C581" s="1">
        <f>IFERROR(__xludf.DUMMYFUNCTION("""COMPUTED_VALUE"""),11580.0)</f>
        <v>11580</v>
      </c>
      <c r="D581" s="1">
        <f>IFERROR(__xludf.DUMMYFUNCTION("""COMPUTED_VALUE"""),10980.0)</f>
        <v>10980</v>
      </c>
      <c r="E581" s="1">
        <f>IFERROR(__xludf.DUMMYFUNCTION("""COMPUTED_VALUE"""),11050.0)</f>
        <v>11050</v>
      </c>
      <c r="F581" s="1">
        <f>IFERROR(__xludf.DUMMYFUNCTION("""COMPUTED_VALUE"""),196343.0)</f>
        <v>196343</v>
      </c>
    </row>
    <row r="582">
      <c r="A582" s="2">
        <f>IFERROR(__xludf.DUMMYFUNCTION("""COMPUTED_VALUE"""),45044.64583333333)</f>
        <v>45044.64583</v>
      </c>
      <c r="B582" s="1">
        <f>IFERROR(__xludf.DUMMYFUNCTION("""COMPUTED_VALUE"""),11270.0)</f>
        <v>11270</v>
      </c>
      <c r="C582" s="1">
        <f>IFERROR(__xludf.DUMMYFUNCTION("""COMPUTED_VALUE"""),11600.0)</f>
        <v>11600</v>
      </c>
      <c r="D582" s="1">
        <f>IFERROR(__xludf.DUMMYFUNCTION("""COMPUTED_VALUE"""),10920.0)</f>
        <v>10920</v>
      </c>
      <c r="E582" s="1">
        <f>IFERROR(__xludf.DUMMYFUNCTION("""COMPUTED_VALUE"""),10970.0)</f>
        <v>10970</v>
      </c>
      <c r="F582" s="1">
        <f>IFERROR(__xludf.DUMMYFUNCTION("""COMPUTED_VALUE"""),332612.0)</f>
        <v>332612</v>
      </c>
    </row>
    <row r="583">
      <c r="A583" s="2">
        <f>IFERROR(__xludf.DUMMYFUNCTION("""COMPUTED_VALUE"""),45048.64583333333)</f>
        <v>45048.64583</v>
      </c>
      <c r="B583" s="1">
        <f>IFERROR(__xludf.DUMMYFUNCTION("""COMPUTED_VALUE"""),10970.0)</f>
        <v>10970</v>
      </c>
      <c r="C583" s="1">
        <f>IFERROR(__xludf.DUMMYFUNCTION("""COMPUTED_VALUE"""),10970.0)</f>
        <v>10970</v>
      </c>
      <c r="D583" s="1">
        <f>IFERROR(__xludf.DUMMYFUNCTION("""COMPUTED_VALUE"""),10180.0)</f>
        <v>10180</v>
      </c>
      <c r="E583" s="1">
        <f>IFERROR(__xludf.DUMMYFUNCTION("""COMPUTED_VALUE"""),10710.0)</f>
        <v>10710</v>
      </c>
      <c r="F583" s="1">
        <f>IFERROR(__xludf.DUMMYFUNCTION("""COMPUTED_VALUE"""),301221.0)</f>
        <v>301221</v>
      </c>
    </row>
    <row r="584">
      <c r="A584" s="2">
        <f>IFERROR(__xludf.DUMMYFUNCTION("""COMPUTED_VALUE"""),45049.64583333333)</f>
        <v>45049.64583</v>
      </c>
      <c r="B584" s="1">
        <f>IFERROR(__xludf.DUMMYFUNCTION("""COMPUTED_VALUE"""),10710.0)</f>
        <v>10710</v>
      </c>
      <c r="C584" s="1">
        <f>IFERROR(__xludf.DUMMYFUNCTION("""COMPUTED_VALUE"""),10910.0)</f>
        <v>10910</v>
      </c>
      <c r="D584" s="1">
        <f>IFERROR(__xludf.DUMMYFUNCTION("""COMPUTED_VALUE"""),10460.0)</f>
        <v>10460</v>
      </c>
      <c r="E584" s="1">
        <f>IFERROR(__xludf.DUMMYFUNCTION("""COMPUTED_VALUE"""),10600.0)</f>
        <v>10600</v>
      </c>
      <c r="F584" s="1">
        <f>IFERROR(__xludf.DUMMYFUNCTION("""COMPUTED_VALUE"""),132815.0)</f>
        <v>132815</v>
      </c>
    </row>
    <row r="585">
      <c r="A585" s="2">
        <f>IFERROR(__xludf.DUMMYFUNCTION("""COMPUTED_VALUE"""),45050.64583333333)</f>
        <v>45050.64583</v>
      </c>
      <c r="B585" s="1">
        <f>IFERROR(__xludf.DUMMYFUNCTION("""COMPUTED_VALUE"""),10590.0)</f>
        <v>10590</v>
      </c>
      <c r="C585" s="1">
        <f>IFERROR(__xludf.DUMMYFUNCTION("""COMPUTED_VALUE"""),10680.0)</f>
        <v>10680</v>
      </c>
      <c r="D585" s="1">
        <f>IFERROR(__xludf.DUMMYFUNCTION("""COMPUTED_VALUE"""),10400.0)</f>
        <v>10400</v>
      </c>
      <c r="E585" s="1">
        <f>IFERROR(__xludf.DUMMYFUNCTION("""COMPUTED_VALUE"""),10570.0)</f>
        <v>10570</v>
      </c>
      <c r="F585" s="1">
        <f>IFERROR(__xludf.DUMMYFUNCTION("""COMPUTED_VALUE"""),147239.0)</f>
        <v>147239</v>
      </c>
    </row>
    <row r="586">
      <c r="A586" s="2">
        <f>IFERROR(__xludf.DUMMYFUNCTION("""COMPUTED_VALUE"""),45054.64583333333)</f>
        <v>45054.64583</v>
      </c>
      <c r="B586" s="1">
        <f>IFERROR(__xludf.DUMMYFUNCTION("""COMPUTED_VALUE"""),10580.0)</f>
        <v>10580</v>
      </c>
      <c r="C586" s="1">
        <f>IFERROR(__xludf.DUMMYFUNCTION("""COMPUTED_VALUE"""),11050.0)</f>
        <v>11050</v>
      </c>
      <c r="D586" s="1">
        <f>IFERROR(__xludf.DUMMYFUNCTION("""COMPUTED_VALUE"""),10580.0)</f>
        <v>10580</v>
      </c>
      <c r="E586" s="1">
        <f>IFERROR(__xludf.DUMMYFUNCTION("""COMPUTED_VALUE"""),10810.0)</f>
        <v>10810</v>
      </c>
      <c r="F586" s="1">
        <f>IFERROR(__xludf.DUMMYFUNCTION("""COMPUTED_VALUE"""),161858.0)</f>
        <v>161858</v>
      </c>
    </row>
    <row r="587">
      <c r="A587" s="2">
        <f>IFERROR(__xludf.DUMMYFUNCTION("""COMPUTED_VALUE"""),45055.64583333333)</f>
        <v>45055.64583</v>
      </c>
      <c r="B587" s="1">
        <f>IFERROR(__xludf.DUMMYFUNCTION("""COMPUTED_VALUE"""),10900.0)</f>
        <v>10900</v>
      </c>
      <c r="C587" s="1">
        <f>IFERROR(__xludf.DUMMYFUNCTION("""COMPUTED_VALUE"""),11150.0)</f>
        <v>11150</v>
      </c>
      <c r="D587" s="1">
        <f>IFERROR(__xludf.DUMMYFUNCTION("""COMPUTED_VALUE"""),10740.0)</f>
        <v>10740</v>
      </c>
      <c r="E587" s="1">
        <f>IFERROR(__xludf.DUMMYFUNCTION("""COMPUTED_VALUE"""),10870.0)</f>
        <v>10870</v>
      </c>
      <c r="F587" s="1">
        <f>IFERROR(__xludf.DUMMYFUNCTION("""COMPUTED_VALUE"""),155833.0)</f>
        <v>155833</v>
      </c>
    </row>
    <row r="588">
      <c r="A588" s="2">
        <f>IFERROR(__xludf.DUMMYFUNCTION("""COMPUTED_VALUE"""),45056.64583333333)</f>
        <v>45056.64583</v>
      </c>
      <c r="B588" s="1">
        <f>IFERROR(__xludf.DUMMYFUNCTION("""COMPUTED_VALUE"""),11000.0)</f>
        <v>11000</v>
      </c>
      <c r="C588" s="1">
        <f>IFERROR(__xludf.DUMMYFUNCTION("""COMPUTED_VALUE"""),11670.0)</f>
        <v>11670</v>
      </c>
      <c r="D588" s="1">
        <f>IFERROR(__xludf.DUMMYFUNCTION("""COMPUTED_VALUE"""),10820.0)</f>
        <v>10820</v>
      </c>
      <c r="E588" s="1">
        <f>IFERROR(__xludf.DUMMYFUNCTION("""COMPUTED_VALUE"""),11510.0)</f>
        <v>11510</v>
      </c>
      <c r="F588" s="1">
        <f>IFERROR(__xludf.DUMMYFUNCTION("""COMPUTED_VALUE"""),481385.0)</f>
        <v>481385</v>
      </c>
    </row>
    <row r="589">
      <c r="A589" s="2">
        <f>IFERROR(__xludf.DUMMYFUNCTION("""COMPUTED_VALUE"""),45057.64583333333)</f>
        <v>45057.64583</v>
      </c>
      <c r="B589" s="1">
        <f>IFERROR(__xludf.DUMMYFUNCTION("""COMPUTED_VALUE"""),11770.0)</f>
        <v>11770</v>
      </c>
      <c r="C589" s="1">
        <f>IFERROR(__xludf.DUMMYFUNCTION("""COMPUTED_VALUE"""),11880.0)</f>
        <v>11880</v>
      </c>
      <c r="D589" s="1">
        <f>IFERROR(__xludf.DUMMYFUNCTION("""COMPUTED_VALUE"""),11010.0)</f>
        <v>11010</v>
      </c>
      <c r="E589" s="1">
        <f>IFERROR(__xludf.DUMMYFUNCTION("""COMPUTED_VALUE"""),11030.0)</f>
        <v>11030</v>
      </c>
      <c r="F589" s="1">
        <f>IFERROR(__xludf.DUMMYFUNCTION("""COMPUTED_VALUE"""),334024.0)</f>
        <v>334024</v>
      </c>
    </row>
    <row r="590">
      <c r="A590" s="2">
        <f>IFERROR(__xludf.DUMMYFUNCTION("""COMPUTED_VALUE"""),45058.64583333333)</f>
        <v>45058.64583</v>
      </c>
      <c r="B590" s="1">
        <f>IFERROR(__xludf.DUMMYFUNCTION("""COMPUTED_VALUE"""),11030.0)</f>
        <v>11030</v>
      </c>
      <c r="C590" s="1">
        <f>IFERROR(__xludf.DUMMYFUNCTION("""COMPUTED_VALUE"""),11030.0)</f>
        <v>11030</v>
      </c>
      <c r="D590" s="1">
        <f>IFERROR(__xludf.DUMMYFUNCTION("""COMPUTED_VALUE"""),10510.0)</f>
        <v>10510</v>
      </c>
      <c r="E590" s="1">
        <f>IFERROR(__xludf.DUMMYFUNCTION("""COMPUTED_VALUE"""),10530.0)</f>
        <v>10530</v>
      </c>
      <c r="F590" s="1">
        <f>IFERROR(__xludf.DUMMYFUNCTION("""COMPUTED_VALUE"""),180949.0)</f>
        <v>180949</v>
      </c>
    </row>
    <row r="591">
      <c r="A591" s="2">
        <f>IFERROR(__xludf.DUMMYFUNCTION("""COMPUTED_VALUE"""),45061.64583333333)</f>
        <v>45061.64583</v>
      </c>
      <c r="B591" s="1">
        <f>IFERROR(__xludf.DUMMYFUNCTION("""COMPUTED_VALUE"""),10900.0)</f>
        <v>10900</v>
      </c>
      <c r="C591" s="1">
        <f>IFERROR(__xludf.DUMMYFUNCTION("""COMPUTED_VALUE"""),10900.0)</f>
        <v>10900</v>
      </c>
      <c r="D591" s="1">
        <f>IFERROR(__xludf.DUMMYFUNCTION("""COMPUTED_VALUE"""),10200.0)</f>
        <v>10200</v>
      </c>
      <c r="E591" s="1">
        <f>IFERROR(__xludf.DUMMYFUNCTION("""COMPUTED_VALUE"""),10440.0)</f>
        <v>10440</v>
      </c>
      <c r="F591" s="1">
        <f>IFERROR(__xludf.DUMMYFUNCTION("""COMPUTED_VALUE"""),181066.0)</f>
        <v>181066</v>
      </c>
    </row>
    <row r="592">
      <c r="A592" s="2">
        <f>IFERROR(__xludf.DUMMYFUNCTION("""COMPUTED_VALUE"""),45062.64583333333)</f>
        <v>45062.64583</v>
      </c>
      <c r="B592" s="1">
        <f>IFERROR(__xludf.DUMMYFUNCTION("""COMPUTED_VALUE"""),10350.0)</f>
        <v>10350</v>
      </c>
      <c r="C592" s="1">
        <f>IFERROR(__xludf.DUMMYFUNCTION("""COMPUTED_VALUE"""),10540.0)</f>
        <v>10540</v>
      </c>
      <c r="D592" s="1">
        <f>IFERROR(__xludf.DUMMYFUNCTION("""COMPUTED_VALUE"""),10200.0)</f>
        <v>10200</v>
      </c>
      <c r="E592" s="1">
        <f>IFERROR(__xludf.DUMMYFUNCTION("""COMPUTED_VALUE"""),10220.0)</f>
        <v>10220</v>
      </c>
      <c r="F592" s="1">
        <f>IFERROR(__xludf.DUMMYFUNCTION("""COMPUTED_VALUE"""),118273.0)</f>
        <v>118273</v>
      </c>
    </row>
    <row r="593">
      <c r="A593" s="2">
        <f>IFERROR(__xludf.DUMMYFUNCTION("""COMPUTED_VALUE"""),45063.64583333333)</f>
        <v>45063.64583</v>
      </c>
      <c r="B593" s="1">
        <f>IFERROR(__xludf.DUMMYFUNCTION("""COMPUTED_VALUE"""),10220.0)</f>
        <v>10220</v>
      </c>
      <c r="C593" s="1">
        <f>IFERROR(__xludf.DUMMYFUNCTION("""COMPUTED_VALUE"""),10350.0)</f>
        <v>10350</v>
      </c>
      <c r="D593" s="1">
        <f>IFERROR(__xludf.DUMMYFUNCTION("""COMPUTED_VALUE"""),10030.0)</f>
        <v>10030</v>
      </c>
      <c r="E593" s="1">
        <f>IFERROR(__xludf.DUMMYFUNCTION("""COMPUTED_VALUE"""),10260.0)</f>
        <v>10260</v>
      </c>
      <c r="F593" s="1">
        <f>IFERROR(__xludf.DUMMYFUNCTION("""COMPUTED_VALUE"""),87220.0)</f>
        <v>87220</v>
      </c>
    </row>
    <row r="594">
      <c r="A594" s="2">
        <f>IFERROR(__xludf.DUMMYFUNCTION("""COMPUTED_VALUE"""),45064.64583333333)</f>
        <v>45064.64583</v>
      </c>
      <c r="B594" s="1">
        <f>IFERROR(__xludf.DUMMYFUNCTION("""COMPUTED_VALUE"""),10310.0)</f>
        <v>10310</v>
      </c>
      <c r="C594" s="1">
        <f>IFERROR(__xludf.DUMMYFUNCTION("""COMPUTED_VALUE"""),10580.0)</f>
        <v>10580</v>
      </c>
      <c r="D594" s="1">
        <f>IFERROR(__xludf.DUMMYFUNCTION("""COMPUTED_VALUE"""),10310.0)</f>
        <v>10310</v>
      </c>
      <c r="E594" s="1">
        <f>IFERROR(__xludf.DUMMYFUNCTION("""COMPUTED_VALUE"""),10490.0)</f>
        <v>10490</v>
      </c>
      <c r="F594" s="1">
        <f>IFERROR(__xludf.DUMMYFUNCTION("""COMPUTED_VALUE"""),112347.0)</f>
        <v>112347</v>
      </c>
    </row>
    <row r="595">
      <c r="A595" s="2">
        <f>IFERROR(__xludf.DUMMYFUNCTION("""COMPUTED_VALUE"""),45065.64583333333)</f>
        <v>45065.64583</v>
      </c>
      <c r="B595" s="1">
        <f>IFERROR(__xludf.DUMMYFUNCTION("""COMPUTED_VALUE"""),10690.0)</f>
        <v>10690</v>
      </c>
      <c r="C595" s="1">
        <f>IFERROR(__xludf.DUMMYFUNCTION("""COMPUTED_VALUE"""),11080.0)</f>
        <v>11080</v>
      </c>
      <c r="D595" s="1">
        <f>IFERROR(__xludf.DUMMYFUNCTION("""COMPUTED_VALUE"""),10530.0)</f>
        <v>10530</v>
      </c>
      <c r="E595" s="1">
        <f>IFERROR(__xludf.DUMMYFUNCTION("""COMPUTED_VALUE"""),10950.0)</f>
        <v>10950</v>
      </c>
      <c r="F595" s="1">
        <f>IFERROR(__xludf.DUMMYFUNCTION("""COMPUTED_VALUE"""),330537.0)</f>
        <v>330537</v>
      </c>
    </row>
    <row r="596">
      <c r="A596" s="2">
        <f>IFERROR(__xludf.DUMMYFUNCTION("""COMPUTED_VALUE"""),45068.64583333333)</f>
        <v>45068.64583</v>
      </c>
      <c r="B596" s="1">
        <f>IFERROR(__xludf.DUMMYFUNCTION("""COMPUTED_VALUE"""),11280.0)</f>
        <v>11280</v>
      </c>
      <c r="C596" s="1">
        <f>IFERROR(__xludf.DUMMYFUNCTION("""COMPUTED_VALUE"""),11280.0)</f>
        <v>11280</v>
      </c>
      <c r="D596" s="1">
        <f>IFERROR(__xludf.DUMMYFUNCTION("""COMPUTED_VALUE"""),10700.0)</f>
        <v>10700</v>
      </c>
      <c r="E596" s="1">
        <f>IFERROR(__xludf.DUMMYFUNCTION("""COMPUTED_VALUE"""),10750.0)</f>
        <v>10750</v>
      </c>
      <c r="F596" s="1">
        <f>IFERROR(__xludf.DUMMYFUNCTION("""COMPUTED_VALUE"""),172395.0)</f>
        <v>172395</v>
      </c>
    </row>
    <row r="597">
      <c r="A597" s="2">
        <f>IFERROR(__xludf.DUMMYFUNCTION("""COMPUTED_VALUE"""),45069.64583333333)</f>
        <v>45069.64583</v>
      </c>
      <c r="B597" s="1">
        <f>IFERROR(__xludf.DUMMYFUNCTION("""COMPUTED_VALUE"""),10750.0)</f>
        <v>10750</v>
      </c>
      <c r="C597" s="1">
        <f>IFERROR(__xludf.DUMMYFUNCTION("""COMPUTED_VALUE"""),11090.0)</f>
        <v>11090</v>
      </c>
      <c r="D597" s="1">
        <f>IFERROR(__xludf.DUMMYFUNCTION("""COMPUTED_VALUE"""),10730.0)</f>
        <v>10730</v>
      </c>
      <c r="E597" s="1">
        <f>IFERROR(__xludf.DUMMYFUNCTION("""COMPUTED_VALUE"""),10840.0)</f>
        <v>10840</v>
      </c>
      <c r="F597" s="1">
        <f>IFERROR(__xludf.DUMMYFUNCTION("""COMPUTED_VALUE"""),103111.0)</f>
        <v>103111</v>
      </c>
    </row>
    <row r="598">
      <c r="A598" s="2">
        <f>IFERROR(__xludf.DUMMYFUNCTION("""COMPUTED_VALUE"""),45070.64583333333)</f>
        <v>45070.64583</v>
      </c>
      <c r="B598" s="1">
        <f>IFERROR(__xludf.DUMMYFUNCTION("""COMPUTED_VALUE"""),10840.0)</f>
        <v>10840</v>
      </c>
      <c r="C598" s="1">
        <f>IFERROR(__xludf.DUMMYFUNCTION("""COMPUTED_VALUE"""),10840.0)</f>
        <v>10840</v>
      </c>
      <c r="D598" s="1">
        <f>IFERROR(__xludf.DUMMYFUNCTION("""COMPUTED_VALUE"""),10440.0)</f>
        <v>10440</v>
      </c>
      <c r="E598" s="1">
        <f>IFERROR(__xludf.DUMMYFUNCTION("""COMPUTED_VALUE"""),10450.0)</f>
        <v>10450</v>
      </c>
      <c r="F598" s="1">
        <f>IFERROR(__xludf.DUMMYFUNCTION("""COMPUTED_VALUE"""),167565.0)</f>
        <v>167565</v>
      </c>
    </row>
    <row r="599">
      <c r="A599" s="2">
        <f>IFERROR(__xludf.DUMMYFUNCTION("""COMPUTED_VALUE"""),45071.64583333333)</f>
        <v>45071.64583</v>
      </c>
      <c r="B599" s="1">
        <f>IFERROR(__xludf.DUMMYFUNCTION("""COMPUTED_VALUE"""),10660.0)</f>
        <v>10660</v>
      </c>
      <c r="C599" s="1">
        <f>IFERROR(__xludf.DUMMYFUNCTION("""COMPUTED_VALUE"""),10860.0)</f>
        <v>10860</v>
      </c>
      <c r="D599" s="1">
        <f>IFERROR(__xludf.DUMMYFUNCTION("""COMPUTED_VALUE"""),10410.0)</f>
        <v>10410</v>
      </c>
      <c r="E599" s="1">
        <f>IFERROR(__xludf.DUMMYFUNCTION("""COMPUTED_VALUE"""),10420.0)</f>
        <v>10420</v>
      </c>
      <c r="F599" s="1">
        <f>IFERROR(__xludf.DUMMYFUNCTION("""COMPUTED_VALUE"""),147924.0)</f>
        <v>147924</v>
      </c>
    </row>
    <row r="600">
      <c r="A600" s="2">
        <f>IFERROR(__xludf.DUMMYFUNCTION("""COMPUTED_VALUE"""),45072.64583333333)</f>
        <v>45072.64583</v>
      </c>
      <c r="B600" s="1">
        <f>IFERROR(__xludf.DUMMYFUNCTION("""COMPUTED_VALUE"""),10620.0)</f>
        <v>10620</v>
      </c>
      <c r="C600" s="1">
        <f>IFERROR(__xludf.DUMMYFUNCTION("""COMPUTED_VALUE"""),10630.0)</f>
        <v>10630</v>
      </c>
      <c r="D600" s="1">
        <f>IFERROR(__xludf.DUMMYFUNCTION("""COMPUTED_VALUE"""),10210.0)</f>
        <v>10210</v>
      </c>
      <c r="E600" s="1">
        <f>IFERROR(__xludf.DUMMYFUNCTION("""COMPUTED_VALUE"""),10220.0)</f>
        <v>10220</v>
      </c>
      <c r="F600" s="1">
        <f>IFERROR(__xludf.DUMMYFUNCTION("""COMPUTED_VALUE"""),110745.0)</f>
        <v>110745</v>
      </c>
    </row>
    <row r="601">
      <c r="A601" s="2">
        <f>IFERROR(__xludf.DUMMYFUNCTION("""COMPUTED_VALUE"""),45076.64583333333)</f>
        <v>45076.64583</v>
      </c>
      <c r="B601" s="1">
        <f>IFERROR(__xludf.DUMMYFUNCTION("""COMPUTED_VALUE"""),10300.0)</f>
        <v>10300</v>
      </c>
      <c r="C601" s="1">
        <f>IFERROR(__xludf.DUMMYFUNCTION("""COMPUTED_VALUE"""),10500.0)</f>
        <v>10500</v>
      </c>
      <c r="D601" s="1">
        <f>IFERROR(__xludf.DUMMYFUNCTION("""COMPUTED_VALUE"""),10290.0)</f>
        <v>10290</v>
      </c>
      <c r="E601" s="1">
        <f>IFERROR(__xludf.DUMMYFUNCTION("""COMPUTED_VALUE"""),10350.0)</f>
        <v>10350</v>
      </c>
      <c r="F601" s="1">
        <f>IFERROR(__xludf.DUMMYFUNCTION("""COMPUTED_VALUE"""),104492.0)</f>
        <v>104492</v>
      </c>
    </row>
    <row r="602">
      <c r="A602" s="2">
        <f>IFERROR(__xludf.DUMMYFUNCTION("""COMPUTED_VALUE"""),45077.64583333333)</f>
        <v>45077.64583</v>
      </c>
      <c r="B602" s="1">
        <f>IFERROR(__xludf.DUMMYFUNCTION("""COMPUTED_VALUE"""),10350.0)</f>
        <v>10350</v>
      </c>
      <c r="C602" s="1">
        <f>IFERROR(__xludf.DUMMYFUNCTION("""COMPUTED_VALUE"""),10440.0)</f>
        <v>10440</v>
      </c>
      <c r="D602" s="1">
        <f>IFERROR(__xludf.DUMMYFUNCTION("""COMPUTED_VALUE"""),10120.0)</f>
        <v>10120</v>
      </c>
      <c r="E602" s="1">
        <f>IFERROR(__xludf.DUMMYFUNCTION("""COMPUTED_VALUE"""),10210.0)</f>
        <v>10210</v>
      </c>
      <c r="F602" s="1">
        <f>IFERROR(__xludf.DUMMYFUNCTION("""COMPUTED_VALUE"""),94842.0)</f>
        <v>94842</v>
      </c>
    </row>
    <row r="603">
      <c r="A603" s="2">
        <f>IFERROR(__xludf.DUMMYFUNCTION("""COMPUTED_VALUE"""),45078.64583333333)</f>
        <v>45078.64583</v>
      </c>
      <c r="B603" s="1">
        <f>IFERROR(__xludf.DUMMYFUNCTION("""COMPUTED_VALUE"""),10140.0)</f>
        <v>10140</v>
      </c>
      <c r="C603" s="1">
        <f>IFERROR(__xludf.DUMMYFUNCTION("""COMPUTED_VALUE"""),10190.0)</f>
        <v>10190</v>
      </c>
      <c r="D603" s="1">
        <f>IFERROR(__xludf.DUMMYFUNCTION("""COMPUTED_VALUE"""),10060.0)</f>
        <v>10060</v>
      </c>
      <c r="E603" s="1">
        <f>IFERROR(__xludf.DUMMYFUNCTION("""COMPUTED_VALUE"""),10100.0)</f>
        <v>10100</v>
      </c>
      <c r="F603" s="1">
        <f>IFERROR(__xludf.DUMMYFUNCTION("""COMPUTED_VALUE"""),95782.0)</f>
        <v>95782</v>
      </c>
    </row>
    <row r="604">
      <c r="A604" s="2">
        <f>IFERROR(__xludf.DUMMYFUNCTION("""COMPUTED_VALUE"""),45079.64583333333)</f>
        <v>45079.64583</v>
      </c>
      <c r="B604" s="1">
        <f>IFERROR(__xludf.DUMMYFUNCTION("""COMPUTED_VALUE"""),10180.0)</f>
        <v>10180</v>
      </c>
      <c r="C604" s="1">
        <f>IFERROR(__xludf.DUMMYFUNCTION("""COMPUTED_VALUE"""),10320.0)</f>
        <v>10320</v>
      </c>
      <c r="D604" s="1">
        <f>IFERROR(__xludf.DUMMYFUNCTION("""COMPUTED_VALUE"""),10060.0)</f>
        <v>10060</v>
      </c>
      <c r="E604" s="1">
        <f>IFERROR(__xludf.DUMMYFUNCTION("""COMPUTED_VALUE"""),10310.0)</f>
        <v>10310</v>
      </c>
      <c r="F604" s="1">
        <f>IFERROR(__xludf.DUMMYFUNCTION("""COMPUTED_VALUE"""),85138.0)</f>
        <v>85138</v>
      </c>
    </row>
    <row r="605">
      <c r="A605" s="2">
        <f>IFERROR(__xludf.DUMMYFUNCTION("""COMPUTED_VALUE"""),45082.64583333333)</f>
        <v>45082.64583</v>
      </c>
      <c r="B605" s="1">
        <f>IFERROR(__xludf.DUMMYFUNCTION("""COMPUTED_VALUE"""),10320.0)</f>
        <v>10320</v>
      </c>
      <c r="C605" s="1">
        <f>IFERROR(__xludf.DUMMYFUNCTION("""COMPUTED_VALUE"""),10540.0)</f>
        <v>10540</v>
      </c>
      <c r="D605" s="1">
        <f>IFERROR(__xludf.DUMMYFUNCTION("""COMPUTED_VALUE"""),10120.0)</f>
        <v>10120</v>
      </c>
      <c r="E605" s="1">
        <f>IFERROR(__xludf.DUMMYFUNCTION("""COMPUTED_VALUE"""),10500.0)</f>
        <v>10500</v>
      </c>
      <c r="F605" s="1">
        <f>IFERROR(__xludf.DUMMYFUNCTION("""COMPUTED_VALUE"""),111460.0)</f>
        <v>111460</v>
      </c>
    </row>
    <row r="606">
      <c r="A606" s="2">
        <f>IFERROR(__xludf.DUMMYFUNCTION("""COMPUTED_VALUE"""),45084.64583333333)</f>
        <v>45084.64583</v>
      </c>
      <c r="B606" s="1">
        <f>IFERROR(__xludf.DUMMYFUNCTION("""COMPUTED_VALUE"""),10750.0)</f>
        <v>10750</v>
      </c>
      <c r="C606" s="1">
        <f>IFERROR(__xludf.DUMMYFUNCTION("""COMPUTED_VALUE"""),10990.0)</f>
        <v>10990</v>
      </c>
      <c r="D606" s="1">
        <f>IFERROR(__xludf.DUMMYFUNCTION("""COMPUTED_VALUE"""),10520.0)</f>
        <v>10520</v>
      </c>
      <c r="E606" s="1">
        <f>IFERROR(__xludf.DUMMYFUNCTION("""COMPUTED_VALUE"""),10600.0)</f>
        <v>10600</v>
      </c>
      <c r="F606" s="1">
        <f>IFERROR(__xludf.DUMMYFUNCTION("""COMPUTED_VALUE"""),200540.0)</f>
        <v>200540</v>
      </c>
    </row>
    <row r="607">
      <c r="A607" s="2">
        <f>IFERROR(__xludf.DUMMYFUNCTION("""COMPUTED_VALUE"""),45085.64583333333)</f>
        <v>45085.64583</v>
      </c>
      <c r="B607" s="1">
        <f>IFERROR(__xludf.DUMMYFUNCTION("""COMPUTED_VALUE"""),10600.0)</f>
        <v>10600</v>
      </c>
      <c r="C607" s="1">
        <f>IFERROR(__xludf.DUMMYFUNCTION("""COMPUTED_VALUE"""),10600.0)</f>
        <v>10600</v>
      </c>
      <c r="D607" s="1">
        <f>IFERROR(__xludf.DUMMYFUNCTION("""COMPUTED_VALUE"""),10320.0)</f>
        <v>10320</v>
      </c>
      <c r="E607" s="1">
        <f>IFERROR(__xludf.DUMMYFUNCTION("""COMPUTED_VALUE"""),10320.0)</f>
        <v>10320</v>
      </c>
      <c r="F607" s="1">
        <f>IFERROR(__xludf.DUMMYFUNCTION("""COMPUTED_VALUE"""),75396.0)</f>
        <v>75396</v>
      </c>
    </row>
    <row r="608">
      <c r="A608" s="2">
        <f>IFERROR(__xludf.DUMMYFUNCTION("""COMPUTED_VALUE"""),45086.64583333333)</f>
        <v>45086.64583</v>
      </c>
      <c r="B608" s="1">
        <f>IFERROR(__xludf.DUMMYFUNCTION("""COMPUTED_VALUE"""),10420.0)</f>
        <v>10420</v>
      </c>
      <c r="C608" s="1">
        <f>IFERROR(__xludf.DUMMYFUNCTION("""COMPUTED_VALUE"""),11000.0)</f>
        <v>11000</v>
      </c>
      <c r="D608" s="1">
        <f>IFERROR(__xludf.DUMMYFUNCTION("""COMPUTED_VALUE"""),10420.0)</f>
        <v>10420</v>
      </c>
      <c r="E608" s="1">
        <f>IFERROR(__xludf.DUMMYFUNCTION("""COMPUTED_VALUE"""),10680.0)</f>
        <v>10680</v>
      </c>
      <c r="F608" s="1">
        <f>IFERROR(__xludf.DUMMYFUNCTION("""COMPUTED_VALUE"""),274444.0)</f>
        <v>274444</v>
      </c>
    </row>
    <row r="609">
      <c r="A609" s="2">
        <f>IFERROR(__xludf.DUMMYFUNCTION("""COMPUTED_VALUE"""),45089.64583333333)</f>
        <v>45089.64583</v>
      </c>
      <c r="B609" s="1">
        <f>IFERROR(__xludf.DUMMYFUNCTION("""COMPUTED_VALUE"""),10730.0)</f>
        <v>10730</v>
      </c>
      <c r="C609" s="1">
        <f>IFERROR(__xludf.DUMMYFUNCTION("""COMPUTED_VALUE"""),11290.0)</f>
        <v>11290</v>
      </c>
      <c r="D609" s="1">
        <f>IFERROR(__xludf.DUMMYFUNCTION("""COMPUTED_VALUE"""),10610.0)</f>
        <v>10610</v>
      </c>
      <c r="E609" s="1">
        <f>IFERROR(__xludf.DUMMYFUNCTION("""COMPUTED_VALUE"""),11250.0)</f>
        <v>11250</v>
      </c>
      <c r="F609" s="1">
        <f>IFERROR(__xludf.DUMMYFUNCTION("""COMPUTED_VALUE"""),572501.0)</f>
        <v>572501</v>
      </c>
    </row>
    <row r="610">
      <c r="A610" s="2">
        <f>IFERROR(__xludf.DUMMYFUNCTION("""COMPUTED_VALUE"""),45090.64583333333)</f>
        <v>45090.64583</v>
      </c>
      <c r="B610" s="1">
        <f>IFERROR(__xludf.DUMMYFUNCTION("""COMPUTED_VALUE"""),11300.0)</f>
        <v>11300</v>
      </c>
      <c r="C610" s="1">
        <f>IFERROR(__xludf.DUMMYFUNCTION("""COMPUTED_VALUE"""),11410.0)</f>
        <v>11410</v>
      </c>
      <c r="D610" s="1">
        <f>IFERROR(__xludf.DUMMYFUNCTION("""COMPUTED_VALUE"""),11050.0)</f>
        <v>11050</v>
      </c>
      <c r="E610" s="1">
        <f>IFERROR(__xludf.DUMMYFUNCTION("""COMPUTED_VALUE"""),11360.0)</f>
        <v>11360</v>
      </c>
      <c r="F610" s="1">
        <f>IFERROR(__xludf.DUMMYFUNCTION("""COMPUTED_VALUE"""),268976.0)</f>
        <v>268976</v>
      </c>
    </row>
    <row r="611">
      <c r="A611" s="2">
        <f>IFERROR(__xludf.DUMMYFUNCTION("""COMPUTED_VALUE"""),45091.64583333333)</f>
        <v>45091.64583</v>
      </c>
      <c r="B611" s="1">
        <f>IFERROR(__xludf.DUMMYFUNCTION("""COMPUTED_VALUE"""),11420.0)</f>
        <v>11420</v>
      </c>
      <c r="C611" s="1">
        <f>IFERROR(__xludf.DUMMYFUNCTION("""COMPUTED_VALUE"""),11790.0)</f>
        <v>11790</v>
      </c>
      <c r="D611" s="1">
        <f>IFERROR(__xludf.DUMMYFUNCTION("""COMPUTED_VALUE"""),11200.0)</f>
        <v>11200</v>
      </c>
      <c r="E611" s="1">
        <f>IFERROR(__xludf.DUMMYFUNCTION("""COMPUTED_VALUE"""),11500.0)</f>
        <v>11500</v>
      </c>
      <c r="F611" s="1">
        <f>IFERROR(__xludf.DUMMYFUNCTION("""COMPUTED_VALUE"""),377094.0)</f>
        <v>377094</v>
      </c>
    </row>
    <row r="612">
      <c r="A612" s="2">
        <f>IFERROR(__xludf.DUMMYFUNCTION("""COMPUTED_VALUE"""),45092.64583333333)</f>
        <v>45092.64583</v>
      </c>
      <c r="B612" s="1">
        <f>IFERROR(__xludf.DUMMYFUNCTION("""COMPUTED_VALUE"""),11690.0)</f>
        <v>11690</v>
      </c>
      <c r="C612" s="1">
        <f>IFERROR(__xludf.DUMMYFUNCTION("""COMPUTED_VALUE"""),11850.0)</f>
        <v>11850</v>
      </c>
      <c r="D612" s="1">
        <f>IFERROR(__xludf.DUMMYFUNCTION("""COMPUTED_VALUE"""),11230.0)</f>
        <v>11230</v>
      </c>
      <c r="E612" s="1">
        <f>IFERROR(__xludf.DUMMYFUNCTION("""COMPUTED_VALUE"""),11380.0)</f>
        <v>11380</v>
      </c>
      <c r="F612" s="1">
        <f>IFERROR(__xludf.DUMMYFUNCTION("""COMPUTED_VALUE"""),219312.0)</f>
        <v>219312</v>
      </c>
    </row>
    <row r="613">
      <c r="A613" s="2">
        <f>IFERROR(__xludf.DUMMYFUNCTION("""COMPUTED_VALUE"""),45093.64583333333)</f>
        <v>45093.64583</v>
      </c>
      <c r="B613" s="1">
        <f>IFERROR(__xludf.DUMMYFUNCTION("""COMPUTED_VALUE"""),11350.0)</f>
        <v>11350</v>
      </c>
      <c r="C613" s="1">
        <f>IFERROR(__xludf.DUMMYFUNCTION("""COMPUTED_VALUE"""),11450.0)</f>
        <v>11450</v>
      </c>
      <c r="D613" s="1">
        <f>IFERROR(__xludf.DUMMYFUNCTION("""COMPUTED_VALUE"""),10840.0)</f>
        <v>10840</v>
      </c>
      <c r="E613" s="1">
        <f>IFERROR(__xludf.DUMMYFUNCTION("""COMPUTED_VALUE"""),10840.0)</f>
        <v>10840</v>
      </c>
      <c r="F613" s="1">
        <f>IFERROR(__xludf.DUMMYFUNCTION("""COMPUTED_VALUE"""),208315.0)</f>
        <v>208315</v>
      </c>
    </row>
    <row r="614">
      <c r="A614" s="2">
        <f>IFERROR(__xludf.DUMMYFUNCTION("""COMPUTED_VALUE"""),45096.64583333333)</f>
        <v>45096.64583</v>
      </c>
      <c r="B614" s="1">
        <f>IFERROR(__xludf.DUMMYFUNCTION("""COMPUTED_VALUE"""),10850.0)</f>
        <v>10850</v>
      </c>
      <c r="C614" s="1">
        <f>IFERROR(__xludf.DUMMYFUNCTION("""COMPUTED_VALUE"""),10920.0)</f>
        <v>10920</v>
      </c>
      <c r="D614" s="1">
        <f>IFERROR(__xludf.DUMMYFUNCTION("""COMPUTED_VALUE"""),10500.0)</f>
        <v>10500</v>
      </c>
      <c r="E614" s="1">
        <f>IFERROR(__xludf.DUMMYFUNCTION("""COMPUTED_VALUE"""),10560.0)</f>
        <v>10560</v>
      </c>
      <c r="F614" s="1">
        <f>IFERROR(__xludf.DUMMYFUNCTION("""COMPUTED_VALUE"""),99782.0)</f>
        <v>99782</v>
      </c>
    </row>
    <row r="615">
      <c r="A615" s="2">
        <f>IFERROR(__xludf.DUMMYFUNCTION("""COMPUTED_VALUE"""),45097.64583333333)</f>
        <v>45097.64583</v>
      </c>
      <c r="B615" s="1">
        <f>IFERROR(__xludf.DUMMYFUNCTION("""COMPUTED_VALUE"""),10510.0)</f>
        <v>10510</v>
      </c>
      <c r="C615" s="1">
        <f>IFERROR(__xludf.DUMMYFUNCTION("""COMPUTED_VALUE"""),10640.0)</f>
        <v>10640</v>
      </c>
      <c r="D615" s="1">
        <f>IFERROR(__xludf.DUMMYFUNCTION("""COMPUTED_VALUE"""),10360.0)</f>
        <v>10360</v>
      </c>
      <c r="E615" s="1">
        <f>IFERROR(__xludf.DUMMYFUNCTION("""COMPUTED_VALUE"""),10590.0)</f>
        <v>10590</v>
      </c>
      <c r="F615" s="1">
        <f>IFERROR(__xludf.DUMMYFUNCTION("""COMPUTED_VALUE"""),111060.0)</f>
        <v>111060</v>
      </c>
    </row>
    <row r="616">
      <c r="A616" s="2">
        <f>IFERROR(__xludf.DUMMYFUNCTION("""COMPUTED_VALUE"""),45098.64583333333)</f>
        <v>45098.64583</v>
      </c>
      <c r="B616" s="1">
        <f>IFERROR(__xludf.DUMMYFUNCTION("""COMPUTED_VALUE"""),10590.0)</f>
        <v>10590</v>
      </c>
      <c r="C616" s="1">
        <f>IFERROR(__xludf.DUMMYFUNCTION("""COMPUTED_VALUE"""),10790.0)</f>
        <v>10790</v>
      </c>
      <c r="D616" s="1">
        <f>IFERROR(__xludf.DUMMYFUNCTION("""COMPUTED_VALUE"""),10310.0)</f>
        <v>10310</v>
      </c>
      <c r="E616" s="1">
        <f>IFERROR(__xludf.DUMMYFUNCTION("""COMPUTED_VALUE"""),10310.0)</f>
        <v>10310</v>
      </c>
      <c r="F616" s="1">
        <f>IFERROR(__xludf.DUMMYFUNCTION("""COMPUTED_VALUE"""),121747.0)</f>
        <v>121747</v>
      </c>
    </row>
    <row r="617">
      <c r="A617" s="2">
        <f>IFERROR(__xludf.DUMMYFUNCTION("""COMPUTED_VALUE"""),45099.64583333333)</f>
        <v>45099.64583</v>
      </c>
      <c r="B617" s="1">
        <f>IFERROR(__xludf.DUMMYFUNCTION("""COMPUTED_VALUE"""),10280.0)</f>
        <v>10280</v>
      </c>
      <c r="C617" s="1">
        <f>IFERROR(__xludf.DUMMYFUNCTION("""COMPUTED_VALUE"""),10400.0)</f>
        <v>10400</v>
      </c>
      <c r="D617" s="1">
        <f>IFERROR(__xludf.DUMMYFUNCTION("""COMPUTED_VALUE"""),10190.0)</f>
        <v>10190</v>
      </c>
      <c r="E617" s="1">
        <f>IFERROR(__xludf.DUMMYFUNCTION("""COMPUTED_VALUE"""),10240.0)</f>
        <v>10240</v>
      </c>
      <c r="F617" s="1">
        <f>IFERROR(__xludf.DUMMYFUNCTION("""COMPUTED_VALUE"""),74703.0)</f>
        <v>74703</v>
      </c>
    </row>
    <row r="618">
      <c r="A618" s="2">
        <f>IFERROR(__xludf.DUMMYFUNCTION("""COMPUTED_VALUE"""),45100.64583333333)</f>
        <v>45100.64583</v>
      </c>
      <c r="B618" s="1">
        <f>IFERROR(__xludf.DUMMYFUNCTION("""COMPUTED_VALUE"""),10260.0)</f>
        <v>10260</v>
      </c>
      <c r="C618" s="1">
        <f>IFERROR(__xludf.DUMMYFUNCTION("""COMPUTED_VALUE"""),10350.0)</f>
        <v>10350</v>
      </c>
      <c r="D618" s="1">
        <f>IFERROR(__xludf.DUMMYFUNCTION("""COMPUTED_VALUE"""),10060.0)</f>
        <v>10060</v>
      </c>
      <c r="E618" s="1">
        <f>IFERROR(__xludf.DUMMYFUNCTION("""COMPUTED_VALUE"""),10080.0)</f>
        <v>10080</v>
      </c>
      <c r="F618" s="1">
        <f>IFERROR(__xludf.DUMMYFUNCTION("""COMPUTED_VALUE"""),107022.0)</f>
        <v>107022</v>
      </c>
    </row>
    <row r="619">
      <c r="A619" s="2">
        <f>IFERROR(__xludf.DUMMYFUNCTION("""COMPUTED_VALUE"""),45103.64583333333)</f>
        <v>45103.64583</v>
      </c>
      <c r="B619" s="1">
        <f>IFERROR(__xludf.DUMMYFUNCTION("""COMPUTED_VALUE"""),10080.0)</f>
        <v>10080</v>
      </c>
      <c r="C619" s="1">
        <f>IFERROR(__xludf.DUMMYFUNCTION("""COMPUTED_VALUE"""),10190.0)</f>
        <v>10190</v>
      </c>
      <c r="D619" s="1">
        <f>IFERROR(__xludf.DUMMYFUNCTION("""COMPUTED_VALUE"""),9780.0)</f>
        <v>9780</v>
      </c>
      <c r="E619" s="1">
        <f>IFERROR(__xludf.DUMMYFUNCTION("""COMPUTED_VALUE"""),10000.0)</f>
        <v>10000</v>
      </c>
      <c r="F619" s="1">
        <f>IFERROR(__xludf.DUMMYFUNCTION("""COMPUTED_VALUE"""),119044.0)</f>
        <v>119044</v>
      </c>
    </row>
    <row r="620">
      <c r="A620" s="2">
        <f>IFERROR(__xludf.DUMMYFUNCTION("""COMPUTED_VALUE"""),45104.64583333333)</f>
        <v>45104.64583</v>
      </c>
      <c r="B620" s="1">
        <f>IFERROR(__xludf.DUMMYFUNCTION("""COMPUTED_VALUE"""),10000.0)</f>
        <v>10000</v>
      </c>
      <c r="C620" s="1">
        <f>IFERROR(__xludf.DUMMYFUNCTION("""COMPUTED_VALUE"""),10060.0)</f>
        <v>10060</v>
      </c>
      <c r="D620" s="1">
        <f>IFERROR(__xludf.DUMMYFUNCTION("""COMPUTED_VALUE"""),9750.0)</f>
        <v>9750</v>
      </c>
      <c r="E620" s="1">
        <f>IFERROR(__xludf.DUMMYFUNCTION("""COMPUTED_VALUE"""),9770.0)</f>
        <v>9770</v>
      </c>
      <c r="F620" s="1">
        <f>IFERROR(__xludf.DUMMYFUNCTION("""COMPUTED_VALUE"""),112348.0)</f>
        <v>112348</v>
      </c>
    </row>
    <row r="621">
      <c r="A621" s="2">
        <f>IFERROR(__xludf.DUMMYFUNCTION("""COMPUTED_VALUE"""),45105.64583333333)</f>
        <v>45105.64583</v>
      </c>
      <c r="B621" s="1">
        <f>IFERROR(__xludf.DUMMYFUNCTION("""COMPUTED_VALUE"""),9780.0)</f>
        <v>9780</v>
      </c>
      <c r="C621" s="1">
        <f>IFERROR(__xludf.DUMMYFUNCTION("""COMPUTED_VALUE"""),9900.0)</f>
        <v>9900</v>
      </c>
      <c r="D621" s="1">
        <f>IFERROR(__xludf.DUMMYFUNCTION("""COMPUTED_VALUE"""),9480.0)</f>
        <v>9480</v>
      </c>
      <c r="E621" s="1">
        <f>IFERROR(__xludf.DUMMYFUNCTION("""COMPUTED_VALUE"""),9520.0)</f>
        <v>9520</v>
      </c>
      <c r="F621" s="1">
        <f>IFERROR(__xludf.DUMMYFUNCTION("""COMPUTED_VALUE"""),131677.0)</f>
        <v>131677</v>
      </c>
    </row>
    <row r="622">
      <c r="A622" s="2">
        <f>IFERROR(__xludf.DUMMYFUNCTION("""COMPUTED_VALUE"""),45106.64583333333)</f>
        <v>45106.64583</v>
      </c>
      <c r="B622" s="1">
        <f>IFERROR(__xludf.DUMMYFUNCTION("""COMPUTED_VALUE"""),9500.0)</f>
        <v>9500</v>
      </c>
      <c r="C622" s="1">
        <f>IFERROR(__xludf.DUMMYFUNCTION("""COMPUTED_VALUE"""),9580.0)</f>
        <v>9580</v>
      </c>
      <c r="D622" s="1">
        <f>IFERROR(__xludf.DUMMYFUNCTION("""COMPUTED_VALUE"""),9110.0)</f>
        <v>9110</v>
      </c>
      <c r="E622" s="1">
        <f>IFERROR(__xludf.DUMMYFUNCTION("""COMPUTED_VALUE"""),9120.0)</f>
        <v>9120</v>
      </c>
      <c r="F622" s="1">
        <f>IFERROR(__xludf.DUMMYFUNCTION("""COMPUTED_VALUE"""),138560.0)</f>
        <v>138560</v>
      </c>
    </row>
    <row r="623">
      <c r="A623" s="2">
        <f>IFERROR(__xludf.DUMMYFUNCTION("""COMPUTED_VALUE"""),45107.64583333333)</f>
        <v>45107.64583</v>
      </c>
      <c r="B623" s="1">
        <f>IFERROR(__xludf.DUMMYFUNCTION("""COMPUTED_VALUE"""),9130.0)</f>
        <v>9130</v>
      </c>
      <c r="C623" s="1">
        <f>IFERROR(__xludf.DUMMYFUNCTION("""COMPUTED_VALUE"""),9380.0)</f>
        <v>9380</v>
      </c>
      <c r="D623" s="1">
        <f>IFERROR(__xludf.DUMMYFUNCTION("""COMPUTED_VALUE"""),9030.0)</f>
        <v>9030</v>
      </c>
      <c r="E623" s="1">
        <f>IFERROR(__xludf.DUMMYFUNCTION("""COMPUTED_VALUE"""),9190.0)</f>
        <v>9190</v>
      </c>
      <c r="F623" s="1">
        <f>IFERROR(__xludf.DUMMYFUNCTION("""COMPUTED_VALUE"""),80595.0)</f>
        <v>80595</v>
      </c>
    </row>
    <row r="624">
      <c r="A624" s="2">
        <f>IFERROR(__xludf.DUMMYFUNCTION("""COMPUTED_VALUE"""),45110.64583333333)</f>
        <v>45110.64583</v>
      </c>
      <c r="B624" s="1">
        <f>IFERROR(__xludf.DUMMYFUNCTION("""COMPUTED_VALUE"""),9190.0)</f>
        <v>9190</v>
      </c>
      <c r="C624" s="1">
        <f>IFERROR(__xludf.DUMMYFUNCTION("""COMPUTED_VALUE"""),9490.0)</f>
        <v>9490</v>
      </c>
      <c r="D624" s="1">
        <f>IFERROR(__xludf.DUMMYFUNCTION("""COMPUTED_VALUE"""),9190.0)</f>
        <v>9190</v>
      </c>
      <c r="E624" s="1">
        <f>IFERROR(__xludf.DUMMYFUNCTION("""COMPUTED_VALUE"""),9330.0)</f>
        <v>9330</v>
      </c>
      <c r="F624" s="1">
        <f>IFERROR(__xludf.DUMMYFUNCTION("""COMPUTED_VALUE"""),73395.0)</f>
        <v>73395</v>
      </c>
    </row>
    <row r="625">
      <c r="A625" s="2">
        <f>IFERROR(__xludf.DUMMYFUNCTION("""COMPUTED_VALUE"""),45111.64583333333)</f>
        <v>45111.64583</v>
      </c>
      <c r="B625" s="1">
        <f>IFERROR(__xludf.DUMMYFUNCTION("""COMPUTED_VALUE"""),9340.0)</f>
        <v>9340</v>
      </c>
      <c r="C625" s="1">
        <f>IFERROR(__xludf.DUMMYFUNCTION("""COMPUTED_VALUE"""),9400.0)</f>
        <v>9400</v>
      </c>
      <c r="D625" s="1">
        <f>IFERROR(__xludf.DUMMYFUNCTION("""COMPUTED_VALUE"""),8960.0)</f>
        <v>8960</v>
      </c>
      <c r="E625" s="1">
        <f>IFERROR(__xludf.DUMMYFUNCTION("""COMPUTED_VALUE"""),9040.0)</f>
        <v>9040</v>
      </c>
      <c r="F625" s="1">
        <f>IFERROR(__xludf.DUMMYFUNCTION("""COMPUTED_VALUE"""),112040.0)</f>
        <v>112040</v>
      </c>
    </row>
    <row r="626">
      <c r="A626" s="2">
        <f>IFERROR(__xludf.DUMMYFUNCTION("""COMPUTED_VALUE"""),45112.64583333333)</f>
        <v>45112.64583</v>
      </c>
      <c r="B626" s="1">
        <f>IFERROR(__xludf.DUMMYFUNCTION("""COMPUTED_VALUE"""),9000.0)</f>
        <v>9000</v>
      </c>
      <c r="C626" s="1">
        <f>IFERROR(__xludf.DUMMYFUNCTION("""COMPUTED_VALUE"""),9130.0)</f>
        <v>9130</v>
      </c>
      <c r="D626" s="1">
        <f>IFERROR(__xludf.DUMMYFUNCTION("""COMPUTED_VALUE"""),8980.0)</f>
        <v>8980</v>
      </c>
      <c r="E626" s="1">
        <f>IFERROR(__xludf.DUMMYFUNCTION("""COMPUTED_VALUE"""),8980.0)</f>
        <v>8980</v>
      </c>
      <c r="F626" s="1">
        <f>IFERROR(__xludf.DUMMYFUNCTION("""COMPUTED_VALUE"""),91100.0)</f>
        <v>91100</v>
      </c>
    </row>
    <row r="627">
      <c r="A627" s="2">
        <f>IFERROR(__xludf.DUMMYFUNCTION("""COMPUTED_VALUE"""),45113.64583333333)</f>
        <v>45113.64583</v>
      </c>
      <c r="B627" s="1">
        <f>IFERROR(__xludf.DUMMYFUNCTION("""COMPUTED_VALUE"""),8900.0)</f>
        <v>8900</v>
      </c>
      <c r="C627" s="1">
        <f>IFERROR(__xludf.DUMMYFUNCTION("""COMPUTED_VALUE"""),8940.0)</f>
        <v>8940</v>
      </c>
      <c r="D627" s="1">
        <f>IFERROR(__xludf.DUMMYFUNCTION("""COMPUTED_VALUE"""),8590.0)</f>
        <v>8590</v>
      </c>
      <c r="E627" s="1">
        <f>IFERROR(__xludf.DUMMYFUNCTION("""COMPUTED_VALUE"""),8610.0)</f>
        <v>8610</v>
      </c>
      <c r="F627" s="1">
        <f>IFERROR(__xludf.DUMMYFUNCTION("""COMPUTED_VALUE"""),135905.0)</f>
        <v>135905</v>
      </c>
    </row>
    <row r="628">
      <c r="A628" s="2">
        <f>IFERROR(__xludf.DUMMYFUNCTION("""COMPUTED_VALUE"""),45114.64583333333)</f>
        <v>45114.64583</v>
      </c>
      <c r="B628" s="1">
        <f>IFERROR(__xludf.DUMMYFUNCTION("""COMPUTED_VALUE"""),8570.0)</f>
        <v>8570</v>
      </c>
      <c r="C628" s="1">
        <f>IFERROR(__xludf.DUMMYFUNCTION("""COMPUTED_VALUE"""),8740.0)</f>
        <v>8740</v>
      </c>
      <c r="D628" s="1">
        <f>IFERROR(__xludf.DUMMYFUNCTION("""COMPUTED_VALUE"""),8410.0)</f>
        <v>8410</v>
      </c>
      <c r="E628" s="1">
        <f>IFERROR(__xludf.DUMMYFUNCTION("""COMPUTED_VALUE"""),8420.0)</f>
        <v>8420</v>
      </c>
      <c r="F628" s="1">
        <f>IFERROR(__xludf.DUMMYFUNCTION("""COMPUTED_VALUE"""),96292.0)</f>
        <v>96292</v>
      </c>
    </row>
    <row r="629">
      <c r="A629" s="2">
        <f>IFERROR(__xludf.DUMMYFUNCTION("""COMPUTED_VALUE"""),45117.64583333333)</f>
        <v>45117.64583</v>
      </c>
      <c r="B629" s="1">
        <f>IFERROR(__xludf.DUMMYFUNCTION("""COMPUTED_VALUE"""),8620.0)</f>
        <v>8620</v>
      </c>
      <c r="C629" s="1">
        <f>IFERROR(__xludf.DUMMYFUNCTION("""COMPUTED_VALUE"""),9990.0)</f>
        <v>9990</v>
      </c>
      <c r="D629" s="1">
        <f>IFERROR(__xludf.DUMMYFUNCTION("""COMPUTED_VALUE"""),8620.0)</f>
        <v>8620</v>
      </c>
      <c r="E629" s="1">
        <f>IFERROR(__xludf.DUMMYFUNCTION("""COMPUTED_VALUE"""),9040.0)</f>
        <v>9040</v>
      </c>
      <c r="F629" s="1">
        <f>IFERROR(__xludf.DUMMYFUNCTION("""COMPUTED_VALUE"""),661939.0)</f>
        <v>661939</v>
      </c>
    </row>
    <row r="630">
      <c r="A630" s="2">
        <f>IFERROR(__xludf.DUMMYFUNCTION("""COMPUTED_VALUE"""),45118.64583333333)</f>
        <v>45118.64583</v>
      </c>
      <c r="B630" s="1">
        <f>IFERROR(__xludf.DUMMYFUNCTION("""COMPUTED_VALUE"""),9050.0)</f>
        <v>9050</v>
      </c>
      <c r="C630" s="1">
        <f>IFERROR(__xludf.DUMMYFUNCTION("""COMPUTED_VALUE"""),9180.0)</f>
        <v>9180</v>
      </c>
      <c r="D630" s="1">
        <f>IFERROR(__xludf.DUMMYFUNCTION("""COMPUTED_VALUE"""),8910.0)</f>
        <v>8910</v>
      </c>
      <c r="E630" s="1">
        <f>IFERROR(__xludf.DUMMYFUNCTION("""COMPUTED_VALUE"""),9030.0)</f>
        <v>9030</v>
      </c>
      <c r="F630" s="1">
        <f>IFERROR(__xludf.DUMMYFUNCTION("""COMPUTED_VALUE"""),109381.0)</f>
        <v>109381</v>
      </c>
    </row>
    <row r="631">
      <c r="A631" s="2">
        <f>IFERROR(__xludf.DUMMYFUNCTION("""COMPUTED_VALUE"""),45119.64583333333)</f>
        <v>45119.64583</v>
      </c>
      <c r="B631" s="1">
        <f>IFERROR(__xludf.DUMMYFUNCTION("""COMPUTED_VALUE"""),9150.0)</f>
        <v>9150</v>
      </c>
      <c r="C631" s="1">
        <f>IFERROR(__xludf.DUMMYFUNCTION("""COMPUTED_VALUE"""),9150.0)</f>
        <v>9150</v>
      </c>
      <c r="D631" s="1">
        <f>IFERROR(__xludf.DUMMYFUNCTION("""COMPUTED_VALUE"""),8830.0)</f>
        <v>8830</v>
      </c>
      <c r="E631" s="1">
        <f>IFERROR(__xludf.DUMMYFUNCTION("""COMPUTED_VALUE"""),8910.0)</f>
        <v>8910</v>
      </c>
      <c r="F631" s="1">
        <f>IFERROR(__xludf.DUMMYFUNCTION("""COMPUTED_VALUE"""),85606.0)</f>
        <v>85606</v>
      </c>
    </row>
    <row r="632">
      <c r="A632" s="2">
        <f>IFERROR(__xludf.DUMMYFUNCTION("""COMPUTED_VALUE"""),45120.64583333333)</f>
        <v>45120.64583</v>
      </c>
      <c r="B632" s="1">
        <f>IFERROR(__xludf.DUMMYFUNCTION("""COMPUTED_VALUE"""),8970.0)</f>
        <v>8970</v>
      </c>
      <c r="C632" s="1">
        <f>IFERROR(__xludf.DUMMYFUNCTION("""COMPUTED_VALUE"""),9370.0)</f>
        <v>9370</v>
      </c>
      <c r="D632" s="1">
        <f>IFERROR(__xludf.DUMMYFUNCTION("""COMPUTED_VALUE"""),8970.0)</f>
        <v>8970</v>
      </c>
      <c r="E632" s="1">
        <f>IFERROR(__xludf.DUMMYFUNCTION("""COMPUTED_VALUE"""),9210.0)</f>
        <v>9210</v>
      </c>
      <c r="F632" s="1">
        <f>IFERROR(__xludf.DUMMYFUNCTION("""COMPUTED_VALUE"""),139532.0)</f>
        <v>139532</v>
      </c>
    </row>
    <row r="633">
      <c r="A633" s="2">
        <f>IFERROR(__xludf.DUMMYFUNCTION("""COMPUTED_VALUE"""),45121.64583333333)</f>
        <v>45121.64583</v>
      </c>
      <c r="B633" s="1">
        <f>IFERROR(__xludf.DUMMYFUNCTION("""COMPUTED_VALUE"""),9250.0)</f>
        <v>9250</v>
      </c>
      <c r="C633" s="1">
        <f>IFERROR(__xludf.DUMMYFUNCTION("""COMPUTED_VALUE"""),9330.0)</f>
        <v>9330</v>
      </c>
      <c r="D633" s="1">
        <f>IFERROR(__xludf.DUMMYFUNCTION("""COMPUTED_VALUE"""),9110.0)</f>
        <v>9110</v>
      </c>
      <c r="E633" s="1">
        <f>IFERROR(__xludf.DUMMYFUNCTION("""COMPUTED_VALUE"""),9230.0)</f>
        <v>9230</v>
      </c>
      <c r="F633" s="1">
        <f>IFERROR(__xludf.DUMMYFUNCTION("""COMPUTED_VALUE"""),89024.0)</f>
        <v>89024</v>
      </c>
    </row>
    <row r="634">
      <c r="A634" s="2">
        <f>IFERROR(__xludf.DUMMYFUNCTION("""COMPUTED_VALUE"""),45124.64583333333)</f>
        <v>45124.64583</v>
      </c>
      <c r="B634" s="1">
        <f>IFERROR(__xludf.DUMMYFUNCTION("""COMPUTED_VALUE"""),9220.0)</f>
        <v>9220</v>
      </c>
      <c r="C634" s="1">
        <f>IFERROR(__xludf.DUMMYFUNCTION("""COMPUTED_VALUE"""),11990.0)</f>
        <v>11990</v>
      </c>
      <c r="D634" s="1">
        <f>IFERROR(__xludf.DUMMYFUNCTION("""COMPUTED_VALUE"""),9220.0)</f>
        <v>9220</v>
      </c>
      <c r="E634" s="1">
        <f>IFERROR(__xludf.DUMMYFUNCTION("""COMPUTED_VALUE"""),11990.0)</f>
        <v>11990</v>
      </c>
      <c r="F634" s="1">
        <f>IFERROR(__xludf.DUMMYFUNCTION("""COMPUTED_VALUE"""),3762239.0)</f>
        <v>3762239</v>
      </c>
    </row>
    <row r="635">
      <c r="A635" s="2">
        <f>IFERROR(__xludf.DUMMYFUNCTION("""COMPUTED_VALUE"""),45125.64583333333)</f>
        <v>45125.64583</v>
      </c>
      <c r="B635" s="1">
        <f>IFERROR(__xludf.DUMMYFUNCTION("""COMPUTED_VALUE"""),11720.0)</f>
        <v>11720</v>
      </c>
      <c r="C635" s="1">
        <f>IFERROR(__xludf.DUMMYFUNCTION("""COMPUTED_VALUE"""),13760.0)</f>
        <v>13760</v>
      </c>
      <c r="D635" s="1">
        <f>IFERROR(__xludf.DUMMYFUNCTION("""COMPUTED_VALUE"""),11420.0)</f>
        <v>11420</v>
      </c>
      <c r="E635" s="1">
        <f>IFERROR(__xludf.DUMMYFUNCTION("""COMPUTED_VALUE"""),12500.0)</f>
        <v>12500</v>
      </c>
      <c r="F635" s="1">
        <f>IFERROR(__xludf.DUMMYFUNCTION("""COMPUTED_VALUE"""),7001951.0)</f>
        <v>7001951</v>
      </c>
    </row>
    <row r="636">
      <c r="A636" s="2">
        <f>IFERROR(__xludf.DUMMYFUNCTION("""COMPUTED_VALUE"""),45126.64583333333)</f>
        <v>45126.64583</v>
      </c>
      <c r="B636" s="1">
        <f>IFERROR(__xludf.DUMMYFUNCTION("""COMPUTED_VALUE"""),12400.0)</f>
        <v>12400</v>
      </c>
      <c r="C636" s="1">
        <f>IFERROR(__xludf.DUMMYFUNCTION("""COMPUTED_VALUE"""),13500.0)</f>
        <v>13500</v>
      </c>
      <c r="D636" s="1">
        <f>IFERROR(__xludf.DUMMYFUNCTION("""COMPUTED_VALUE"""),12390.0)</f>
        <v>12390</v>
      </c>
      <c r="E636" s="1">
        <f>IFERROR(__xludf.DUMMYFUNCTION("""COMPUTED_VALUE"""),12680.0)</f>
        <v>12680</v>
      </c>
      <c r="F636" s="1">
        <f>IFERROR(__xludf.DUMMYFUNCTION("""COMPUTED_VALUE"""),3117650.0)</f>
        <v>3117650</v>
      </c>
    </row>
    <row r="637">
      <c r="A637" s="2">
        <f>IFERROR(__xludf.DUMMYFUNCTION("""COMPUTED_VALUE"""),45127.64583333333)</f>
        <v>45127.64583</v>
      </c>
      <c r="B637" s="1">
        <f>IFERROR(__xludf.DUMMYFUNCTION("""COMPUTED_VALUE"""),12560.0)</f>
        <v>12560</v>
      </c>
      <c r="C637" s="1">
        <f>IFERROR(__xludf.DUMMYFUNCTION("""COMPUTED_VALUE"""),13110.0)</f>
        <v>13110</v>
      </c>
      <c r="D637" s="1">
        <f>IFERROR(__xludf.DUMMYFUNCTION("""COMPUTED_VALUE"""),12000.0)</f>
        <v>12000</v>
      </c>
      <c r="E637" s="1">
        <f>IFERROR(__xludf.DUMMYFUNCTION("""COMPUTED_VALUE"""),12210.0)</f>
        <v>12210</v>
      </c>
      <c r="F637" s="1">
        <f>IFERROR(__xludf.DUMMYFUNCTION("""COMPUTED_VALUE"""),925859.0)</f>
        <v>925859</v>
      </c>
    </row>
    <row r="638">
      <c r="A638" s="2">
        <f>IFERROR(__xludf.DUMMYFUNCTION("""COMPUTED_VALUE"""),45128.64583333333)</f>
        <v>45128.64583</v>
      </c>
      <c r="B638" s="1">
        <f>IFERROR(__xludf.DUMMYFUNCTION("""COMPUTED_VALUE"""),11910.0)</f>
        <v>11910</v>
      </c>
      <c r="C638" s="1">
        <f>IFERROR(__xludf.DUMMYFUNCTION("""COMPUTED_VALUE"""),12400.0)</f>
        <v>12400</v>
      </c>
      <c r="D638" s="1">
        <f>IFERROR(__xludf.DUMMYFUNCTION("""COMPUTED_VALUE"""),11630.0)</f>
        <v>11630</v>
      </c>
      <c r="E638" s="1">
        <f>IFERROR(__xludf.DUMMYFUNCTION("""COMPUTED_VALUE"""),11890.0)</f>
        <v>11890</v>
      </c>
      <c r="F638" s="1">
        <f>IFERROR(__xludf.DUMMYFUNCTION("""COMPUTED_VALUE"""),751494.0)</f>
        <v>751494</v>
      </c>
    </row>
    <row r="639">
      <c r="A639" s="2">
        <f>IFERROR(__xludf.DUMMYFUNCTION("""COMPUTED_VALUE"""),45131.64583333333)</f>
        <v>45131.64583</v>
      </c>
      <c r="B639" s="1">
        <f>IFERROR(__xludf.DUMMYFUNCTION("""COMPUTED_VALUE"""),11900.0)</f>
        <v>11900</v>
      </c>
      <c r="C639" s="1">
        <f>IFERROR(__xludf.DUMMYFUNCTION("""COMPUTED_VALUE"""),11970.0)</f>
        <v>11970</v>
      </c>
      <c r="D639" s="1">
        <f>IFERROR(__xludf.DUMMYFUNCTION("""COMPUTED_VALUE"""),11140.0)</f>
        <v>11140</v>
      </c>
      <c r="E639" s="1">
        <f>IFERROR(__xludf.DUMMYFUNCTION("""COMPUTED_VALUE"""),11360.0)</f>
        <v>11360</v>
      </c>
      <c r="F639" s="1">
        <f>IFERROR(__xludf.DUMMYFUNCTION("""COMPUTED_VALUE"""),706465.0)</f>
        <v>706465</v>
      </c>
    </row>
    <row r="640">
      <c r="A640" s="2">
        <f>IFERROR(__xludf.DUMMYFUNCTION("""COMPUTED_VALUE"""),45132.64583333333)</f>
        <v>45132.64583</v>
      </c>
      <c r="B640" s="1">
        <f>IFERROR(__xludf.DUMMYFUNCTION("""COMPUTED_VALUE"""),11360.0)</f>
        <v>11360</v>
      </c>
      <c r="C640" s="1">
        <f>IFERROR(__xludf.DUMMYFUNCTION("""COMPUTED_VALUE"""),11640.0)</f>
        <v>11640</v>
      </c>
      <c r="D640" s="1">
        <f>IFERROR(__xludf.DUMMYFUNCTION("""COMPUTED_VALUE"""),11000.0)</f>
        <v>11000</v>
      </c>
      <c r="E640" s="1">
        <f>IFERROR(__xludf.DUMMYFUNCTION("""COMPUTED_VALUE"""),11000.0)</f>
        <v>11000</v>
      </c>
      <c r="F640" s="1">
        <f>IFERROR(__xludf.DUMMYFUNCTION("""COMPUTED_VALUE"""),774899.0)</f>
        <v>774899</v>
      </c>
    </row>
    <row r="641">
      <c r="A641" s="2">
        <f>IFERROR(__xludf.DUMMYFUNCTION("""COMPUTED_VALUE"""),45133.64583333333)</f>
        <v>45133.64583</v>
      </c>
      <c r="B641" s="1">
        <f>IFERROR(__xludf.DUMMYFUNCTION("""COMPUTED_VALUE"""),11070.0)</f>
        <v>11070</v>
      </c>
      <c r="C641" s="1">
        <f>IFERROR(__xludf.DUMMYFUNCTION("""COMPUTED_VALUE"""),11200.0)</f>
        <v>11200</v>
      </c>
      <c r="D641" s="1">
        <f>IFERROR(__xludf.DUMMYFUNCTION("""COMPUTED_VALUE"""),10000.0)</f>
        <v>10000</v>
      </c>
      <c r="E641" s="1">
        <f>IFERROR(__xludf.DUMMYFUNCTION("""COMPUTED_VALUE"""),10140.0)</f>
        <v>10140</v>
      </c>
      <c r="F641" s="1">
        <f>IFERROR(__xludf.DUMMYFUNCTION("""COMPUTED_VALUE"""),700707.0)</f>
        <v>700707</v>
      </c>
    </row>
    <row r="642">
      <c r="A642" s="2">
        <f>IFERROR(__xludf.DUMMYFUNCTION("""COMPUTED_VALUE"""),45134.64583333333)</f>
        <v>45134.64583</v>
      </c>
      <c r="B642" s="1">
        <f>IFERROR(__xludf.DUMMYFUNCTION("""COMPUTED_VALUE"""),10210.0)</f>
        <v>10210</v>
      </c>
      <c r="C642" s="1">
        <f>IFERROR(__xludf.DUMMYFUNCTION("""COMPUTED_VALUE"""),10750.0)</f>
        <v>10750</v>
      </c>
      <c r="D642" s="1">
        <f>IFERROR(__xludf.DUMMYFUNCTION("""COMPUTED_VALUE"""),10160.0)</f>
        <v>10160</v>
      </c>
      <c r="E642" s="1">
        <f>IFERROR(__xludf.DUMMYFUNCTION("""COMPUTED_VALUE"""),10590.0)</f>
        <v>10590</v>
      </c>
      <c r="F642" s="1">
        <f>IFERROR(__xludf.DUMMYFUNCTION("""COMPUTED_VALUE"""),493593.0)</f>
        <v>493593</v>
      </c>
    </row>
    <row r="643">
      <c r="A643" s="2">
        <f>IFERROR(__xludf.DUMMYFUNCTION("""COMPUTED_VALUE"""),45135.64583333333)</f>
        <v>45135.64583</v>
      </c>
      <c r="B643" s="1">
        <f>IFERROR(__xludf.DUMMYFUNCTION("""COMPUTED_VALUE"""),10850.0)</f>
        <v>10850</v>
      </c>
      <c r="C643" s="1">
        <f>IFERROR(__xludf.DUMMYFUNCTION("""COMPUTED_VALUE"""),11650.0)</f>
        <v>11650</v>
      </c>
      <c r="D643" s="1">
        <f>IFERROR(__xludf.DUMMYFUNCTION("""COMPUTED_VALUE"""),10510.0)</f>
        <v>10510</v>
      </c>
      <c r="E643" s="1">
        <f>IFERROR(__xludf.DUMMYFUNCTION("""COMPUTED_VALUE"""),10950.0)</f>
        <v>10950</v>
      </c>
      <c r="F643" s="1">
        <f>IFERROR(__xludf.DUMMYFUNCTION("""COMPUTED_VALUE"""),1099118.0)</f>
        <v>1099118</v>
      </c>
    </row>
    <row r="644">
      <c r="A644" s="2">
        <f>IFERROR(__xludf.DUMMYFUNCTION("""COMPUTED_VALUE"""),45138.64583333333)</f>
        <v>45138.64583</v>
      </c>
      <c r="B644" s="1">
        <f>IFERROR(__xludf.DUMMYFUNCTION("""COMPUTED_VALUE"""),11170.0)</f>
        <v>11170</v>
      </c>
      <c r="C644" s="1">
        <f>IFERROR(__xludf.DUMMYFUNCTION("""COMPUTED_VALUE"""),14230.0)</f>
        <v>14230</v>
      </c>
      <c r="D644" s="1">
        <f>IFERROR(__xludf.DUMMYFUNCTION("""COMPUTED_VALUE"""),11170.0)</f>
        <v>11170</v>
      </c>
      <c r="E644" s="1">
        <f>IFERROR(__xludf.DUMMYFUNCTION("""COMPUTED_VALUE"""),14230.0)</f>
        <v>14230</v>
      </c>
      <c r="F644" s="1">
        <f>IFERROR(__xludf.DUMMYFUNCTION("""COMPUTED_VALUE"""),5493205.0)</f>
        <v>5493205</v>
      </c>
    </row>
    <row r="645">
      <c r="A645" s="2">
        <f>IFERROR(__xludf.DUMMYFUNCTION("""COMPUTED_VALUE"""),45139.64583333333)</f>
        <v>45139.64583</v>
      </c>
      <c r="B645" s="1">
        <f>IFERROR(__xludf.DUMMYFUNCTION("""COMPUTED_VALUE"""),14650.0)</f>
        <v>14650</v>
      </c>
      <c r="C645" s="1">
        <f>IFERROR(__xludf.DUMMYFUNCTION("""COMPUTED_VALUE"""),16400.0)</f>
        <v>16400</v>
      </c>
      <c r="D645" s="1">
        <f>IFERROR(__xludf.DUMMYFUNCTION("""COMPUTED_VALUE"""),14550.0)</f>
        <v>14550</v>
      </c>
      <c r="E645" s="1">
        <f>IFERROR(__xludf.DUMMYFUNCTION("""COMPUTED_VALUE"""),14970.0)</f>
        <v>14970</v>
      </c>
      <c r="F645" s="1">
        <f>IFERROR(__xludf.DUMMYFUNCTION("""COMPUTED_VALUE"""),9914378.0)</f>
        <v>9914378</v>
      </c>
    </row>
    <row r="646">
      <c r="A646" s="2">
        <f>IFERROR(__xludf.DUMMYFUNCTION("""COMPUTED_VALUE"""),45140.64583333333)</f>
        <v>45140.64583</v>
      </c>
      <c r="B646" s="1">
        <f>IFERROR(__xludf.DUMMYFUNCTION("""COMPUTED_VALUE"""),14820.0)</f>
        <v>14820</v>
      </c>
      <c r="C646" s="1">
        <f>IFERROR(__xludf.DUMMYFUNCTION("""COMPUTED_VALUE"""),15430.0)</f>
        <v>15430</v>
      </c>
      <c r="D646" s="1">
        <f>IFERROR(__xludf.DUMMYFUNCTION("""COMPUTED_VALUE"""),14580.0)</f>
        <v>14580</v>
      </c>
      <c r="E646" s="1">
        <f>IFERROR(__xludf.DUMMYFUNCTION("""COMPUTED_VALUE"""),15430.0)</f>
        <v>15430</v>
      </c>
      <c r="F646" s="1">
        <f>IFERROR(__xludf.DUMMYFUNCTION("""COMPUTED_VALUE"""),2843284.0)</f>
        <v>2843284</v>
      </c>
    </row>
    <row r="647">
      <c r="A647" s="2">
        <f>IFERROR(__xludf.DUMMYFUNCTION("""COMPUTED_VALUE"""),45141.64583333333)</f>
        <v>45141.64583</v>
      </c>
      <c r="B647" s="1">
        <f>IFERROR(__xludf.DUMMYFUNCTION("""COMPUTED_VALUE"""),14880.0)</f>
        <v>14880</v>
      </c>
      <c r="C647" s="1">
        <f>IFERROR(__xludf.DUMMYFUNCTION("""COMPUTED_VALUE"""),14890.0)</f>
        <v>14890</v>
      </c>
      <c r="D647" s="1">
        <f>IFERROR(__xludf.DUMMYFUNCTION("""COMPUTED_VALUE"""),13400.0)</f>
        <v>13400</v>
      </c>
      <c r="E647" s="1">
        <f>IFERROR(__xludf.DUMMYFUNCTION("""COMPUTED_VALUE"""),13860.0)</f>
        <v>13860</v>
      </c>
      <c r="F647" s="1">
        <f>IFERROR(__xludf.DUMMYFUNCTION("""COMPUTED_VALUE"""),1864786.0)</f>
        <v>1864786</v>
      </c>
    </row>
    <row r="648">
      <c r="A648" s="2">
        <f>IFERROR(__xludf.DUMMYFUNCTION("""COMPUTED_VALUE"""),45142.64583333333)</f>
        <v>45142.64583</v>
      </c>
      <c r="B648" s="1">
        <f>IFERROR(__xludf.DUMMYFUNCTION("""COMPUTED_VALUE"""),14280.0)</f>
        <v>14280</v>
      </c>
      <c r="C648" s="1">
        <f>IFERROR(__xludf.DUMMYFUNCTION("""COMPUTED_VALUE"""),15610.0)</f>
        <v>15610</v>
      </c>
      <c r="D648" s="1">
        <f>IFERROR(__xludf.DUMMYFUNCTION("""COMPUTED_VALUE"""),14000.0)</f>
        <v>14000</v>
      </c>
      <c r="E648" s="1">
        <f>IFERROR(__xludf.DUMMYFUNCTION("""COMPUTED_VALUE"""),15150.0)</f>
        <v>15150</v>
      </c>
      <c r="F648" s="1">
        <f>IFERROR(__xludf.DUMMYFUNCTION("""COMPUTED_VALUE"""),3672327.0)</f>
        <v>3672327</v>
      </c>
    </row>
    <row r="649">
      <c r="A649" s="2">
        <f>IFERROR(__xludf.DUMMYFUNCTION("""COMPUTED_VALUE"""),45145.64583333333)</f>
        <v>45145.64583</v>
      </c>
      <c r="B649" s="1">
        <f>IFERROR(__xludf.DUMMYFUNCTION("""COMPUTED_VALUE"""),15190.0)</f>
        <v>15190</v>
      </c>
      <c r="C649" s="1">
        <f>IFERROR(__xludf.DUMMYFUNCTION("""COMPUTED_VALUE"""),16430.0)</f>
        <v>16430</v>
      </c>
      <c r="D649" s="1">
        <f>IFERROR(__xludf.DUMMYFUNCTION("""COMPUTED_VALUE"""),14520.0)</f>
        <v>14520</v>
      </c>
      <c r="E649" s="1">
        <f>IFERROR(__xludf.DUMMYFUNCTION("""COMPUTED_VALUE"""),15400.0)</f>
        <v>15400</v>
      </c>
      <c r="F649" s="1">
        <f>IFERROR(__xludf.DUMMYFUNCTION("""COMPUTED_VALUE"""),3801296.0)</f>
        <v>3801296</v>
      </c>
    </row>
    <row r="650">
      <c r="A650" s="2">
        <f>IFERROR(__xludf.DUMMYFUNCTION("""COMPUTED_VALUE"""),45146.64583333333)</f>
        <v>45146.64583</v>
      </c>
      <c r="B650" s="1">
        <f>IFERROR(__xludf.DUMMYFUNCTION("""COMPUTED_VALUE"""),15530.0)</f>
        <v>15530</v>
      </c>
      <c r="C650" s="1">
        <f>IFERROR(__xludf.DUMMYFUNCTION("""COMPUTED_VALUE"""),15890.0)</f>
        <v>15890</v>
      </c>
      <c r="D650" s="1">
        <f>IFERROR(__xludf.DUMMYFUNCTION("""COMPUTED_VALUE"""),14300.0)</f>
        <v>14300</v>
      </c>
      <c r="E650" s="1">
        <f>IFERROR(__xludf.DUMMYFUNCTION("""COMPUTED_VALUE"""),14620.0)</f>
        <v>14620</v>
      </c>
      <c r="F650" s="1">
        <f>IFERROR(__xludf.DUMMYFUNCTION("""COMPUTED_VALUE"""),1492447.0)</f>
        <v>1492447</v>
      </c>
    </row>
    <row r="651">
      <c r="A651" s="2">
        <f>IFERROR(__xludf.DUMMYFUNCTION("""COMPUTED_VALUE"""),45147.64583333333)</f>
        <v>45147.64583</v>
      </c>
      <c r="B651" s="1">
        <f>IFERROR(__xludf.DUMMYFUNCTION("""COMPUTED_VALUE"""),14710.0)</f>
        <v>14710</v>
      </c>
      <c r="C651" s="1">
        <f>IFERROR(__xludf.DUMMYFUNCTION("""COMPUTED_VALUE"""),15880.0)</f>
        <v>15880</v>
      </c>
      <c r="D651" s="1">
        <f>IFERROR(__xludf.DUMMYFUNCTION("""COMPUTED_VALUE"""),14490.0)</f>
        <v>14490</v>
      </c>
      <c r="E651" s="1">
        <f>IFERROR(__xludf.DUMMYFUNCTION("""COMPUTED_VALUE"""),15200.0)</f>
        <v>15200</v>
      </c>
      <c r="F651" s="1">
        <f>IFERROR(__xludf.DUMMYFUNCTION("""COMPUTED_VALUE"""),1883449.0)</f>
        <v>1883449</v>
      </c>
    </row>
    <row r="652">
      <c r="A652" s="2">
        <f>IFERROR(__xludf.DUMMYFUNCTION("""COMPUTED_VALUE"""),45148.64583333333)</f>
        <v>45148.64583</v>
      </c>
      <c r="B652" s="1">
        <f>IFERROR(__xludf.DUMMYFUNCTION("""COMPUTED_VALUE"""),14810.0)</f>
        <v>14810</v>
      </c>
      <c r="C652" s="1">
        <f>IFERROR(__xludf.DUMMYFUNCTION("""COMPUTED_VALUE"""),14810.0)</f>
        <v>14810</v>
      </c>
      <c r="D652" s="1">
        <f>IFERROR(__xludf.DUMMYFUNCTION("""COMPUTED_VALUE"""),13610.0)</f>
        <v>13610</v>
      </c>
      <c r="E652" s="1">
        <f>IFERROR(__xludf.DUMMYFUNCTION("""COMPUTED_VALUE"""),14100.0)</f>
        <v>14100</v>
      </c>
      <c r="F652" s="1">
        <f>IFERROR(__xludf.DUMMYFUNCTION("""COMPUTED_VALUE"""),1280160.0)</f>
        <v>1280160</v>
      </c>
    </row>
    <row r="653">
      <c r="A653" s="2">
        <f>IFERROR(__xludf.DUMMYFUNCTION("""COMPUTED_VALUE"""),45149.64583333333)</f>
        <v>45149.64583</v>
      </c>
      <c r="B653" s="1">
        <f>IFERROR(__xludf.DUMMYFUNCTION("""COMPUTED_VALUE"""),13890.0)</f>
        <v>13890</v>
      </c>
      <c r="C653" s="1">
        <f>IFERROR(__xludf.DUMMYFUNCTION("""COMPUTED_VALUE"""),14610.0)</f>
        <v>14610</v>
      </c>
      <c r="D653" s="1">
        <f>IFERROR(__xludf.DUMMYFUNCTION("""COMPUTED_VALUE"""),13810.0)</f>
        <v>13810</v>
      </c>
      <c r="E653" s="1">
        <f>IFERROR(__xludf.DUMMYFUNCTION("""COMPUTED_VALUE"""),14220.0)</f>
        <v>14220</v>
      </c>
      <c r="F653" s="1">
        <f>IFERROR(__xludf.DUMMYFUNCTION("""COMPUTED_VALUE"""),656220.0)</f>
        <v>656220</v>
      </c>
    </row>
    <row r="654">
      <c r="A654" s="2">
        <f>IFERROR(__xludf.DUMMYFUNCTION("""COMPUTED_VALUE"""),45152.64583333333)</f>
        <v>45152.64583</v>
      </c>
      <c r="B654" s="1">
        <f>IFERROR(__xludf.DUMMYFUNCTION("""COMPUTED_VALUE"""),14280.0)</f>
        <v>14280</v>
      </c>
      <c r="C654" s="1">
        <f>IFERROR(__xludf.DUMMYFUNCTION("""COMPUTED_VALUE"""),14540.0)</f>
        <v>14540</v>
      </c>
      <c r="D654" s="1">
        <f>IFERROR(__xludf.DUMMYFUNCTION("""COMPUTED_VALUE"""),13780.0)</f>
        <v>13780</v>
      </c>
      <c r="E654" s="1">
        <f>IFERROR(__xludf.DUMMYFUNCTION("""COMPUTED_VALUE"""),13990.0)</f>
        <v>13990</v>
      </c>
      <c r="F654" s="1">
        <f>IFERROR(__xludf.DUMMYFUNCTION("""COMPUTED_VALUE"""),538442.0)</f>
        <v>538442</v>
      </c>
    </row>
    <row r="655">
      <c r="A655" s="2">
        <f>IFERROR(__xludf.DUMMYFUNCTION("""COMPUTED_VALUE"""),45154.64583333333)</f>
        <v>45154.64583</v>
      </c>
      <c r="B655" s="1">
        <f>IFERROR(__xludf.DUMMYFUNCTION("""COMPUTED_VALUE"""),13980.0)</f>
        <v>13980</v>
      </c>
      <c r="C655" s="1">
        <f>IFERROR(__xludf.DUMMYFUNCTION("""COMPUTED_VALUE"""),14160.0)</f>
        <v>14160</v>
      </c>
      <c r="D655" s="1">
        <f>IFERROR(__xludf.DUMMYFUNCTION("""COMPUTED_VALUE"""),13280.0)</f>
        <v>13280</v>
      </c>
      <c r="E655" s="1">
        <f>IFERROR(__xludf.DUMMYFUNCTION("""COMPUTED_VALUE"""),13500.0)</f>
        <v>13500</v>
      </c>
      <c r="F655" s="1">
        <f>IFERROR(__xludf.DUMMYFUNCTION("""COMPUTED_VALUE"""),637823.0)</f>
        <v>637823</v>
      </c>
    </row>
    <row r="656">
      <c r="A656" s="2">
        <f>IFERROR(__xludf.DUMMYFUNCTION("""COMPUTED_VALUE"""),45155.64583333333)</f>
        <v>45155.64583</v>
      </c>
      <c r="B656" s="1">
        <f>IFERROR(__xludf.DUMMYFUNCTION("""COMPUTED_VALUE"""),13480.0)</f>
        <v>13480</v>
      </c>
      <c r="C656" s="1">
        <f>IFERROR(__xludf.DUMMYFUNCTION("""COMPUTED_VALUE"""),13490.0)</f>
        <v>13490</v>
      </c>
      <c r="D656" s="1">
        <f>IFERROR(__xludf.DUMMYFUNCTION("""COMPUTED_VALUE"""),12140.0)</f>
        <v>12140</v>
      </c>
      <c r="E656" s="1">
        <f>IFERROR(__xludf.DUMMYFUNCTION("""COMPUTED_VALUE"""),12790.0)</f>
        <v>12790</v>
      </c>
      <c r="F656" s="1">
        <f>IFERROR(__xludf.DUMMYFUNCTION("""COMPUTED_VALUE"""),608839.0)</f>
        <v>608839</v>
      </c>
    </row>
    <row r="657">
      <c r="A657" s="2">
        <f>IFERROR(__xludf.DUMMYFUNCTION("""COMPUTED_VALUE"""),45156.64583333333)</f>
        <v>45156.64583</v>
      </c>
      <c r="B657" s="1">
        <f>IFERROR(__xludf.DUMMYFUNCTION("""COMPUTED_VALUE"""),12650.0)</f>
        <v>12650</v>
      </c>
      <c r="C657" s="1">
        <f>IFERROR(__xludf.DUMMYFUNCTION("""COMPUTED_VALUE"""),14300.0)</f>
        <v>14300</v>
      </c>
      <c r="D657" s="1">
        <f>IFERROR(__xludf.DUMMYFUNCTION("""COMPUTED_VALUE"""),12350.0)</f>
        <v>12350</v>
      </c>
      <c r="E657" s="1">
        <f>IFERROR(__xludf.DUMMYFUNCTION("""COMPUTED_VALUE"""),14020.0)</f>
        <v>14020</v>
      </c>
      <c r="F657" s="1">
        <f>IFERROR(__xludf.DUMMYFUNCTION("""COMPUTED_VALUE"""),1551405.0)</f>
        <v>1551405</v>
      </c>
    </row>
    <row r="658">
      <c r="A658" s="2">
        <f>IFERROR(__xludf.DUMMYFUNCTION("""COMPUTED_VALUE"""),45159.64583333333)</f>
        <v>45159.64583</v>
      </c>
      <c r="B658" s="1">
        <f>IFERROR(__xludf.DUMMYFUNCTION("""COMPUTED_VALUE"""),14080.0)</f>
        <v>14080</v>
      </c>
      <c r="C658" s="1">
        <f>IFERROR(__xludf.DUMMYFUNCTION("""COMPUTED_VALUE"""),15100.0)</f>
        <v>15100</v>
      </c>
      <c r="D658" s="1">
        <f>IFERROR(__xludf.DUMMYFUNCTION("""COMPUTED_VALUE"""),13790.0)</f>
        <v>13790</v>
      </c>
      <c r="E658" s="1">
        <f>IFERROR(__xludf.DUMMYFUNCTION("""COMPUTED_VALUE"""),14700.0)</f>
        <v>14700</v>
      </c>
      <c r="F658" s="1">
        <f>IFERROR(__xludf.DUMMYFUNCTION("""COMPUTED_VALUE"""),1608049.0)</f>
        <v>1608049</v>
      </c>
    </row>
    <row r="659">
      <c r="A659" s="2">
        <f>IFERROR(__xludf.DUMMYFUNCTION("""COMPUTED_VALUE"""),45160.64583333333)</f>
        <v>45160.64583</v>
      </c>
      <c r="B659" s="1">
        <f>IFERROR(__xludf.DUMMYFUNCTION("""COMPUTED_VALUE"""),14700.0)</f>
        <v>14700</v>
      </c>
      <c r="C659" s="1">
        <f>IFERROR(__xludf.DUMMYFUNCTION("""COMPUTED_VALUE"""),14710.0)</f>
        <v>14710</v>
      </c>
      <c r="D659" s="1">
        <f>IFERROR(__xludf.DUMMYFUNCTION("""COMPUTED_VALUE"""),13830.0)</f>
        <v>13830</v>
      </c>
      <c r="E659" s="1">
        <f>IFERROR(__xludf.DUMMYFUNCTION("""COMPUTED_VALUE"""),14170.0)</f>
        <v>14170</v>
      </c>
      <c r="F659" s="1">
        <f>IFERROR(__xludf.DUMMYFUNCTION("""COMPUTED_VALUE"""),867039.0)</f>
        <v>867039</v>
      </c>
    </row>
    <row r="660">
      <c r="A660" s="2">
        <f>IFERROR(__xludf.DUMMYFUNCTION("""COMPUTED_VALUE"""),45161.64583333333)</f>
        <v>45161.64583</v>
      </c>
      <c r="B660" s="1">
        <f>IFERROR(__xludf.DUMMYFUNCTION("""COMPUTED_VALUE"""),14250.0)</f>
        <v>14250</v>
      </c>
      <c r="C660" s="1">
        <f>IFERROR(__xludf.DUMMYFUNCTION("""COMPUTED_VALUE"""),14390.0)</f>
        <v>14390</v>
      </c>
      <c r="D660" s="1">
        <f>IFERROR(__xludf.DUMMYFUNCTION("""COMPUTED_VALUE"""),13170.0)</f>
        <v>13170</v>
      </c>
      <c r="E660" s="1">
        <f>IFERROR(__xludf.DUMMYFUNCTION("""COMPUTED_VALUE"""),13300.0)</f>
        <v>13300</v>
      </c>
      <c r="F660" s="1">
        <f>IFERROR(__xludf.DUMMYFUNCTION("""COMPUTED_VALUE"""),827539.0)</f>
        <v>827539</v>
      </c>
    </row>
    <row r="661">
      <c r="A661" s="2">
        <f>IFERROR(__xludf.DUMMYFUNCTION("""COMPUTED_VALUE"""),45162.64583333333)</f>
        <v>45162.64583</v>
      </c>
      <c r="B661" s="1">
        <f>IFERROR(__xludf.DUMMYFUNCTION("""COMPUTED_VALUE"""),13620.0)</f>
        <v>13620</v>
      </c>
      <c r="C661" s="1">
        <f>IFERROR(__xludf.DUMMYFUNCTION("""COMPUTED_VALUE"""),15790.0)</f>
        <v>15790</v>
      </c>
      <c r="D661" s="1">
        <f>IFERROR(__xludf.DUMMYFUNCTION("""COMPUTED_VALUE"""),13400.0)</f>
        <v>13400</v>
      </c>
      <c r="E661" s="1">
        <f>IFERROR(__xludf.DUMMYFUNCTION("""COMPUTED_VALUE"""),15010.0)</f>
        <v>15010</v>
      </c>
      <c r="F661" s="1">
        <f>IFERROR(__xludf.DUMMYFUNCTION("""COMPUTED_VALUE"""),6939570.0)</f>
        <v>6939570</v>
      </c>
    </row>
    <row r="662">
      <c r="A662" s="2">
        <f>IFERROR(__xludf.DUMMYFUNCTION("""COMPUTED_VALUE"""),45163.64583333333)</f>
        <v>45163.64583</v>
      </c>
      <c r="B662" s="1">
        <f>IFERROR(__xludf.DUMMYFUNCTION("""COMPUTED_VALUE"""),13880.0)</f>
        <v>13880</v>
      </c>
      <c r="C662" s="1">
        <f>IFERROR(__xludf.DUMMYFUNCTION("""COMPUTED_VALUE"""),14020.0)</f>
        <v>14020</v>
      </c>
      <c r="D662" s="1">
        <f>IFERROR(__xludf.DUMMYFUNCTION("""COMPUTED_VALUE"""),13300.0)</f>
        <v>13300</v>
      </c>
      <c r="E662" s="1">
        <f>IFERROR(__xludf.DUMMYFUNCTION("""COMPUTED_VALUE"""),13320.0)</f>
        <v>13320</v>
      </c>
      <c r="F662" s="1">
        <f>IFERROR(__xludf.DUMMYFUNCTION("""COMPUTED_VALUE"""),1347480.0)</f>
        <v>1347480</v>
      </c>
    </row>
    <row r="663">
      <c r="A663" s="2">
        <f>IFERROR(__xludf.DUMMYFUNCTION("""COMPUTED_VALUE"""),45166.64583333333)</f>
        <v>45166.64583</v>
      </c>
      <c r="B663" s="1">
        <f>IFERROR(__xludf.DUMMYFUNCTION("""COMPUTED_VALUE"""),13420.0)</f>
        <v>13420</v>
      </c>
      <c r="C663" s="1">
        <f>IFERROR(__xludf.DUMMYFUNCTION("""COMPUTED_VALUE"""),13490.0)</f>
        <v>13490</v>
      </c>
      <c r="D663" s="1">
        <f>IFERROR(__xludf.DUMMYFUNCTION("""COMPUTED_VALUE"""),12790.0)</f>
        <v>12790</v>
      </c>
      <c r="E663" s="1">
        <f>IFERROR(__xludf.DUMMYFUNCTION("""COMPUTED_VALUE"""),12800.0)</f>
        <v>12800</v>
      </c>
      <c r="F663" s="1">
        <f>IFERROR(__xludf.DUMMYFUNCTION("""COMPUTED_VALUE"""),695142.0)</f>
        <v>695142</v>
      </c>
    </row>
    <row r="664">
      <c r="A664" s="2">
        <f>IFERROR(__xludf.DUMMYFUNCTION("""COMPUTED_VALUE"""),45167.64583333333)</f>
        <v>45167.64583</v>
      </c>
      <c r="B664" s="1">
        <f>IFERROR(__xludf.DUMMYFUNCTION("""COMPUTED_VALUE"""),13030.0)</f>
        <v>13030</v>
      </c>
      <c r="C664" s="1">
        <f>IFERROR(__xludf.DUMMYFUNCTION("""COMPUTED_VALUE"""),13350.0)</f>
        <v>13350</v>
      </c>
      <c r="D664" s="1">
        <f>IFERROR(__xludf.DUMMYFUNCTION("""COMPUTED_VALUE"""),12810.0)</f>
        <v>12810</v>
      </c>
      <c r="E664" s="1">
        <f>IFERROR(__xludf.DUMMYFUNCTION("""COMPUTED_VALUE"""),13040.0)</f>
        <v>13040</v>
      </c>
      <c r="F664" s="1">
        <f>IFERROR(__xludf.DUMMYFUNCTION("""COMPUTED_VALUE"""),704926.0)</f>
        <v>704926</v>
      </c>
    </row>
    <row r="665">
      <c r="A665" s="2">
        <f>IFERROR(__xludf.DUMMYFUNCTION("""COMPUTED_VALUE"""),45168.64583333333)</f>
        <v>45168.64583</v>
      </c>
      <c r="B665" s="1">
        <f>IFERROR(__xludf.DUMMYFUNCTION("""COMPUTED_VALUE"""),13390.0)</f>
        <v>13390</v>
      </c>
      <c r="C665" s="1">
        <f>IFERROR(__xludf.DUMMYFUNCTION("""COMPUTED_VALUE"""),13430.0)</f>
        <v>13430</v>
      </c>
      <c r="D665" s="1">
        <f>IFERROR(__xludf.DUMMYFUNCTION("""COMPUTED_VALUE"""),13040.0)</f>
        <v>13040</v>
      </c>
      <c r="E665" s="1">
        <f>IFERROR(__xludf.DUMMYFUNCTION("""COMPUTED_VALUE"""),13050.0)</f>
        <v>13050</v>
      </c>
      <c r="F665" s="1">
        <f>IFERROR(__xludf.DUMMYFUNCTION("""COMPUTED_VALUE"""),646904.0)</f>
        <v>646904</v>
      </c>
    </row>
    <row r="666">
      <c r="A666" s="2">
        <f>IFERROR(__xludf.DUMMYFUNCTION("""COMPUTED_VALUE"""),45169.64583333333)</f>
        <v>45169.64583</v>
      </c>
      <c r="B666" s="1">
        <f>IFERROR(__xludf.DUMMYFUNCTION("""COMPUTED_VALUE"""),13190.0)</f>
        <v>13190</v>
      </c>
      <c r="C666" s="1">
        <f>IFERROR(__xludf.DUMMYFUNCTION("""COMPUTED_VALUE"""),13280.0)</f>
        <v>13280</v>
      </c>
      <c r="D666" s="1">
        <f>IFERROR(__xludf.DUMMYFUNCTION("""COMPUTED_VALUE"""),12880.0)</f>
        <v>12880</v>
      </c>
      <c r="E666" s="1">
        <f>IFERROR(__xludf.DUMMYFUNCTION("""COMPUTED_VALUE"""),12880.0)</f>
        <v>12880</v>
      </c>
      <c r="F666" s="1">
        <f>IFERROR(__xludf.DUMMYFUNCTION("""COMPUTED_VALUE"""),396397.0)</f>
        <v>396397</v>
      </c>
    </row>
    <row r="667">
      <c r="A667" s="2">
        <f>IFERROR(__xludf.DUMMYFUNCTION("""COMPUTED_VALUE"""),45170.64583333333)</f>
        <v>45170.64583</v>
      </c>
      <c r="B667" s="1">
        <f>IFERROR(__xludf.DUMMYFUNCTION("""COMPUTED_VALUE"""),12850.0)</f>
        <v>12850</v>
      </c>
      <c r="C667" s="1">
        <f>IFERROR(__xludf.DUMMYFUNCTION("""COMPUTED_VALUE"""),13130.0)</f>
        <v>13130</v>
      </c>
      <c r="D667" s="1">
        <f>IFERROR(__xludf.DUMMYFUNCTION("""COMPUTED_VALUE"""),12500.0)</f>
        <v>12500</v>
      </c>
      <c r="E667" s="1">
        <f>IFERROR(__xludf.DUMMYFUNCTION("""COMPUTED_VALUE"""),12500.0)</f>
        <v>12500</v>
      </c>
      <c r="F667" s="1">
        <f>IFERROR(__xludf.DUMMYFUNCTION("""COMPUTED_VALUE"""),473598.0)</f>
        <v>473598</v>
      </c>
    </row>
    <row r="668">
      <c r="A668" s="2">
        <f>IFERROR(__xludf.DUMMYFUNCTION("""COMPUTED_VALUE"""),45173.64583333333)</f>
        <v>45173.64583</v>
      </c>
      <c r="B668" s="1">
        <f>IFERROR(__xludf.DUMMYFUNCTION("""COMPUTED_VALUE"""),12500.0)</f>
        <v>12500</v>
      </c>
      <c r="C668" s="1">
        <f>IFERROR(__xludf.DUMMYFUNCTION("""COMPUTED_VALUE"""),12690.0)</f>
        <v>12690</v>
      </c>
      <c r="D668" s="1">
        <f>IFERROR(__xludf.DUMMYFUNCTION("""COMPUTED_VALUE"""),12060.0)</f>
        <v>12060</v>
      </c>
      <c r="E668" s="1">
        <f>IFERROR(__xludf.DUMMYFUNCTION("""COMPUTED_VALUE"""),12680.0)</f>
        <v>12680</v>
      </c>
      <c r="F668" s="1">
        <f>IFERROR(__xludf.DUMMYFUNCTION("""COMPUTED_VALUE"""),430115.0)</f>
        <v>430115</v>
      </c>
    </row>
    <row r="669">
      <c r="A669" s="2">
        <f>IFERROR(__xludf.DUMMYFUNCTION("""COMPUTED_VALUE"""),45174.64583333333)</f>
        <v>45174.64583</v>
      </c>
      <c r="B669" s="1">
        <f>IFERROR(__xludf.DUMMYFUNCTION("""COMPUTED_VALUE"""),12800.0)</f>
        <v>12800</v>
      </c>
      <c r="C669" s="1">
        <f>IFERROR(__xludf.DUMMYFUNCTION("""COMPUTED_VALUE"""),12810.0)</f>
        <v>12810</v>
      </c>
      <c r="D669" s="1">
        <f>IFERROR(__xludf.DUMMYFUNCTION("""COMPUTED_VALUE"""),12400.0)</f>
        <v>12400</v>
      </c>
      <c r="E669" s="1">
        <f>IFERROR(__xludf.DUMMYFUNCTION("""COMPUTED_VALUE"""),12700.0)</f>
        <v>12700</v>
      </c>
      <c r="F669" s="1">
        <f>IFERROR(__xludf.DUMMYFUNCTION("""COMPUTED_VALUE"""),267894.0)</f>
        <v>267894</v>
      </c>
    </row>
    <row r="670">
      <c r="A670" s="2">
        <f>IFERROR(__xludf.DUMMYFUNCTION("""COMPUTED_VALUE"""),45175.64583333333)</f>
        <v>45175.64583</v>
      </c>
      <c r="B670" s="1">
        <f>IFERROR(__xludf.DUMMYFUNCTION("""COMPUTED_VALUE"""),12910.0)</f>
        <v>12910</v>
      </c>
      <c r="C670" s="1">
        <f>IFERROR(__xludf.DUMMYFUNCTION("""COMPUTED_VALUE"""),13420.0)</f>
        <v>13420</v>
      </c>
      <c r="D670" s="1">
        <f>IFERROR(__xludf.DUMMYFUNCTION("""COMPUTED_VALUE"""),12810.0)</f>
        <v>12810</v>
      </c>
      <c r="E670" s="1">
        <f>IFERROR(__xludf.DUMMYFUNCTION("""COMPUTED_VALUE"""),13220.0)</f>
        <v>13220</v>
      </c>
      <c r="F670" s="1">
        <f>IFERROR(__xludf.DUMMYFUNCTION("""COMPUTED_VALUE"""),928060.0)</f>
        <v>928060</v>
      </c>
    </row>
    <row r="671">
      <c r="A671" s="2">
        <f>IFERROR(__xludf.DUMMYFUNCTION("""COMPUTED_VALUE"""),45176.64583333333)</f>
        <v>45176.64583</v>
      </c>
      <c r="B671" s="1">
        <f>IFERROR(__xludf.DUMMYFUNCTION("""COMPUTED_VALUE"""),13680.0)</f>
        <v>13680</v>
      </c>
      <c r="C671" s="1">
        <f>IFERROR(__xludf.DUMMYFUNCTION("""COMPUTED_VALUE"""),14200.0)</f>
        <v>14200</v>
      </c>
      <c r="D671" s="1">
        <f>IFERROR(__xludf.DUMMYFUNCTION("""COMPUTED_VALUE"""),13200.0)</f>
        <v>13200</v>
      </c>
      <c r="E671" s="1">
        <f>IFERROR(__xludf.DUMMYFUNCTION("""COMPUTED_VALUE"""),13340.0)</f>
        <v>13340</v>
      </c>
      <c r="F671" s="1">
        <f>IFERROR(__xludf.DUMMYFUNCTION("""COMPUTED_VALUE"""),2365395.0)</f>
        <v>2365395</v>
      </c>
    </row>
    <row r="672">
      <c r="A672" s="2">
        <f>IFERROR(__xludf.DUMMYFUNCTION("""COMPUTED_VALUE"""),45177.64583333333)</f>
        <v>45177.64583</v>
      </c>
      <c r="B672" s="1">
        <f>IFERROR(__xludf.DUMMYFUNCTION("""COMPUTED_VALUE"""),13310.0)</f>
        <v>13310</v>
      </c>
      <c r="C672" s="1">
        <f>IFERROR(__xludf.DUMMYFUNCTION("""COMPUTED_VALUE"""),13670.0)</f>
        <v>13670</v>
      </c>
      <c r="D672" s="1">
        <f>IFERROR(__xludf.DUMMYFUNCTION("""COMPUTED_VALUE"""),12610.0)</f>
        <v>12610</v>
      </c>
      <c r="E672" s="1">
        <f>IFERROR(__xludf.DUMMYFUNCTION("""COMPUTED_VALUE"""),12700.0)</f>
        <v>12700</v>
      </c>
      <c r="F672" s="1">
        <f>IFERROR(__xludf.DUMMYFUNCTION("""COMPUTED_VALUE"""),544406.0)</f>
        <v>544406</v>
      </c>
    </row>
    <row r="673">
      <c r="A673" s="2">
        <f>IFERROR(__xludf.DUMMYFUNCTION("""COMPUTED_VALUE"""),45180.64583333333)</f>
        <v>45180.64583</v>
      </c>
      <c r="B673" s="1">
        <f>IFERROR(__xludf.DUMMYFUNCTION("""COMPUTED_VALUE"""),12500.0)</f>
        <v>12500</v>
      </c>
      <c r="C673" s="1">
        <f>IFERROR(__xludf.DUMMYFUNCTION("""COMPUTED_VALUE"""),12880.0)</f>
        <v>12880</v>
      </c>
      <c r="D673" s="1">
        <f>IFERROR(__xludf.DUMMYFUNCTION("""COMPUTED_VALUE"""),12310.0)</f>
        <v>12310</v>
      </c>
      <c r="E673" s="1">
        <f>IFERROR(__xludf.DUMMYFUNCTION("""COMPUTED_VALUE"""),12570.0)</f>
        <v>12570</v>
      </c>
      <c r="F673" s="1">
        <f>IFERROR(__xludf.DUMMYFUNCTION("""COMPUTED_VALUE"""),377412.0)</f>
        <v>377412</v>
      </c>
    </row>
    <row r="674">
      <c r="A674" s="2">
        <f>IFERROR(__xludf.DUMMYFUNCTION("""COMPUTED_VALUE"""),45181.64583333333)</f>
        <v>45181.64583</v>
      </c>
      <c r="B674" s="1">
        <f>IFERROR(__xludf.DUMMYFUNCTION("""COMPUTED_VALUE"""),10100.0)</f>
        <v>10100</v>
      </c>
      <c r="C674" s="1">
        <f>IFERROR(__xludf.DUMMYFUNCTION("""COMPUTED_VALUE"""),11000.0)</f>
        <v>11000</v>
      </c>
      <c r="D674" s="1">
        <f>IFERROR(__xludf.DUMMYFUNCTION("""COMPUTED_VALUE"""),10060.0)</f>
        <v>10060</v>
      </c>
      <c r="E674" s="1">
        <f>IFERROR(__xludf.DUMMYFUNCTION("""COMPUTED_VALUE"""),10060.0)</f>
        <v>10060</v>
      </c>
      <c r="F674" s="1">
        <f>IFERROR(__xludf.DUMMYFUNCTION("""COMPUTED_VALUE"""),1656152.0)</f>
        <v>1656152</v>
      </c>
    </row>
    <row r="675">
      <c r="A675" s="2">
        <f>IFERROR(__xludf.DUMMYFUNCTION("""COMPUTED_VALUE"""),45182.64583333333)</f>
        <v>45182.64583</v>
      </c>
      <c r="B675" s="1">
        <f>IFERROR(__xludf.DUMMYFUNCTION("""COMPUTED_VALUE"""),9980.0)</f>
        <v>9980</v>
      </c>
      <c r="C675" s="1">
        <f>IFERROR(__xludf.DUMMYFUNCTION("""COMPUTED_VALUE"""),10050.0)</f>
        <v>10050</v>
      </c>
      <c r="D675" s="1">
        <f>IFERROR(__xludf.DUMMYFUNCTION("""COMPUTED_VALUE"""),9360.0)</f>
        <v>9360</v>
      </c>
      <c r="E675" s="1">
        <f>IFERROR(__xludf.DUMMYFUNCTION("""COMPUTED_VALUE"""),9400.0)</f>
        <v>9400</v>
      </c>
      <c r="F675" s="1">
        <f>IFERROR(__xludf.DUMMYFUNCTION("""COMPUTED_VALUE"""),562183.0)</f>
        <v>562183</v>
      </c>
    </row>
    <row r="676">
      <c r="A676" s="2">
        <f>IFERROR(__xludf.DUMMYFUNCTION("""COMPUTED_VALUE"""),45183.64583333333)</f>
        <v>45183.64583</v>
      </c>
      <c r="B676" s="1">
        <f>IFERROR(__xludf.DUMMYFUNCTION("""COMPUTED_VALUE"""),9420.0)</f>
        <v>9420</v>
      </c>
      <c r="C676" s="1">
        <f>IFERROR(__xludf.DUMMYFUNCTION("""COMPUTED_VALUE"""),9590.0)</f>
        <v>9590</v>
      </c>
      <c r="D676" s="1">
        <f>IFERROR(__xludf.DUMMYFUNCTION("""COMPUTED_VALUE"""),9140.0)</f>
        <v>9140</v>
      </c>
      <c r="E676" s="1">
        <f>IFERROR(__xludf.DUMMYFUNCTION("""COMPUTED_VALUE"""),9410.0)</f>
        <v>9410</v>
      </c>
      <c r="F676" s="1">
        <f>IFERROR(__xludf.DUMMYFUNCTION("""COMPUTED_VALUE"""),300815.0)</f>
        <v>300815</v>
      </c>
    </row>
    <row r="677">
      <c r="A677" s="2">
        <f>IFERROR(__xludf.DUMMYFUNCTION("""COMPUTED_VALUE"""),45184.64583333333)</f>
        <v>45184.64583</v>
      </c>
      <c r="B677" s="1">
        <f>IFERROR(__xludf.DUMMYFUNCTION("""COMPUTED_VALUE"""),9460.0)</f>
        <v>9460</v>
      </c>
      <c r="C677" s="1">
        <f>IFERROR(__xludf.DUMMYFUNCTION("""COMPUTED_VALUE"""),9580.0)</f>
        <v>9580</v>
      </c>
      <c r="D677" s="1">
        <f>IFERROR(__xludf.DUMMYFUNCTION("""COMPUTED_VALUE"""),9330.0)</f>
        <v>9330</v>
      </c>
      <c r="E677" s="1">
        <f>IFERROR(__xludf.DUMMYFUNCTION("""COMPUTED_VALUE"""),9450.0)</f>
        <v>9450</v>
      </c>
      <c r="F677" s="1">
        <f>IFERROR(__xludf.DUMMYFUNCTION("""COMPUTED_VALUE"""),213621.0)</f>
        <v>213621</v>
      </c>
    </row>
    <row r="678">
      <c r="A678" s="2">
        <f>IFERROR(__xludf.DUMMYFUNCTION("""COMPUTED_VALUE"""),45187.64583333333)</f>
        <v>45187.64583</v>
      </c>
      <c r="B678" s="1">
        <f>IFERROR(__xludf.DUMMYFUNCTION("""COMPUTED_VALUE"""),9400.0)</f>
        <v>9400</v>
      </c>
      <c r="C678" s="1">
        <f>IFERROR(__xludf.DUMMYFUNCTION("""COMPUTED_VALUE"""),9750.0)</f>
        <v>9750</v>
      </c>
      <c r="D678" s="1">
        <f>IFERROR(__xludf.DUMMYFUNCTION("""COMPUTED_VALUE"""),9350.0)</f>
        <v>9350</v>
      </c>
      <c r="E678" s="1">
        <f>IFERROR(__xludf.DUMMYFUNCTION("""COMPUTED_VALUE"""),9540.0)</f>
        <v>9540</v>
      </c>
      <c r="F678" s="1">
        <f>IFERROR(__xludf.DUMMYFUNCTION("""COMPUTED_VALUE"""),238451.0)</f>
        <v>238451</v>
      </c>
    </row>
    <row r="679">
      <c r="A679" s="2">
        <f>IFERROR(__xludf.DUMMYFUNCTION("""COMPUTED_VALUE"""),45188.64583333333)</f>
        <v>45188.64583</v>
      </c>
      <c r="B679" s="1">
        <f>IFERROR(__xludf.DUMMYFUNCTION("""COMPUTED_VALUE"""),9550.0)</f>
        <v>9550</v>
      </c>
      <c r="C679" s="1">
        <f>IFERROR(__xludf.DUMMYFUNCTION("""COMPUTED_VALUE"""),9600.0)</f>
        <v>9600</v>
      </c>
      <c r="D679" s="1">
        <f>IFERROR(__xludf.DUMMYFUNCTION("""COMPUTED_VALUE"""),9150.0)</f>
        <v>9150</v>
      </c>
      <c r="E679" s="1">
        <f>IFERROR(__xludf.DUMMYFUNCTION("""COMPUTED_VALUE"""),9190.0)</f>
        <v>9190</v>
      </c>
      <c r="F679" s="1">
        <f>IFERROR(__xludf.DUMMYFUNCTION("""COMPUTED_VALUE"""),208502.0)</f>
        <v>208502</v>
      </c>
    </row>
    <row r="680">
      <c r="A680" s="2">
        <f>IFERROR(__xludf.DUMMYFUNCTION("""COMPUTED_VALUE"""),45189.64583333333)</f>
        <v>45189.64583</v>
      </c>
      <c r="B680" s="1">
        <f>IFERROR(__xludf.DUMMYFUNCTION("""COMPUTED_VALUE"""),9250.0)</f>
        <v>9250</v>
      </c>
      <c r="C680" s="1">
        <f>IFERROR(__xludf.DUMMYFUNCTION("""COMPUTED_VALUE"""),9340.0)</f>
        <v>9340</v>
      </c>
      <c r="D680" s="1">
        <f>IFERROR(__xludf.DUMMYFUNCTION("""COMPUTED_VALUE"""),9090.0)</f>
        <v>9090</v>
      </c>
      <c r="E680" s="1">
        <f>IFERROR(__xludf.DUMMYFUNCTION("""COMPUTED_VALUE"""),9110.0)</f>
        <v>9110</v>
      </c>
      <c r="F680" s="1">
        <f>IFERROR(__xludf.DUMMYFUNCTION("""COMPUTED_VALUE"""),119796.0)</f>
        <v>119796</v>
      </c>
    </row>
    <row r="681">
      <c r="A681" s="2">
        <f>IFERROR(__xludf.DUMMYFUNCTION("""COMPUTED_VALUE"""),45190.64583333333)</f>
        <v>45190.64583</v>
      </c>
      <c r="B681" s="1">
        <f>IFERROR(__xludf.DUMMYFUNCTION("""COMPUTED_VALUE"""),9120.0)</f>
        <v>9120</v>
      </c>
      <c r="C681" s="1">
        <f>IFERROR(__xludf.DUMMYFUNCTION("""COMPUTED_VALUE"""),9240.0)</f>
        <v>9240</v>
      </c>
      <c r="D681" s="1">
        <f>IFERROR(__xludf.DUMMYFUNCTION("""COMPUTED_VALUE"""),8870.0)</f>
        <v>8870</v>
      </c>
      <c r="E681" s="1">
        <f>IFERROR(__xludf.DUMMYFUNCTION("""COMPUTED_VALUE"""),8980.0)</f>
        <v>8980</v>
      </c>
      <c r="F681" s="1">
        <f>IFERROR(__xludf.DUMMYFUNCTION("""COMPUTED_VALUE"""),180869.0)</f>
        <v>180869</v>
      </c>
    </row>
    <row r="682">
      <c r="A682" s="2">
        <f>IFERROR(__xludf.DUMMYFUNCTION("""COMPUTED_VALUE"""),45191.64583333333)</f>
        <v>45191.64583</v>
      </c>
      <c r="B682" s="1">
        <f>IFERROR(__xludf.DUMMYFUNCTION("""COMPUTED_VALUE"""),8890.0)</f>
        <v>8890</v>
      </c>
      <c r="C682" s="1">
        <f>IFERROR(__xludf.DUMMYFUNCTION("""COMPUTED_VALUE"""),8960.0)</f>
        <v>8960</v>
      </c>
      <c r="D682" s="1">
        <f>IFERROR(__xludf.DUMMYFUNCTION("""COMPUTED_VALUE"""),8660.0)</f>
        <v>8660</v>
      </c>
      <c r="E682" s="1">
        <f>IFERROR(__xludf.DUMMYFUNCTION("""COMPUTED_VALUE"""),8840.0)</f>
        <v>8840</v>
      </c>
      <c r="F682" s="1">
        <f>IFERROR(__xludf.DUMMYFUNCTION("""COMPUTED_VALUE"""),130611.0)</f>
        <v>130611</v>
      </c>
    </row>
    <row r="683">
      <c r="A683" s="2">
        <f>IFERROR(__xludf.DUMMYFUNCTION("""COMPUTED_VALUE"""),45194.64583333333)</f>
        <v>45194.64583</v>
      </c>
      <c r="B683" s="1">
        <f>IFERROR(__xludf.DUMMYFUNCTION("""COMPUTED_VALUE"""),8870.0)</f>
        <v>8870</v>
      </c>
      <c r="C683" s="1">
        <f>IFERROR(__xludf.DUMMYFUNCTION("""COMPUTED_VALUE"""),8910.0)</f>
        <v>8910</v>
      </c>
      <c r="D683" s="1">
        <f>IFERROR(__xludf.DUMMYFUNCTION("""COMPUTED_VALUE"""),8550.0)</f>
        <v>8550</v>
      </c>
      <c r="E683" s="1">
        <f>IFERROR(__xludf.DUMMYFUNCTION("""COMPUTED_VALUE"""),8560.0)</f>
        <v>8560</v>
      </c>
      <c r="F683" s="1">
        <f>IFERROR(__xludf.DUMMYFUNCTION("""COMPUTED_VALUE"""),166642.0)</f>
        <v>166642</v>
      </c>
    </row>
    <row r="684">
      <c r="A684" s="2">
        <f>IFERROR(__xludf.DUMMYFUNCTION("""COMPUTED_VALUE"""),45195.64583333333)</f>
        <v>45195.64583</v>
      </c>
      <c r="B684" s="1">
        <f>IFERROR(__xludf.DUMMYFUNCTION("""COMPUTED_VALUE"""),8530.0)</f>
        <v>8530</v>
      </c>
      <c r="C684" s="1">
        <f>IFERROR(__xludf.DUMMYFUNCTION("""COMPUTED_VALUE"""),8680.0)</f>
        <v>8680</v>
      </c>
      <c r="D684" s="1">
        <f>IFERROR(__xludf.DUMMYFUNCTION("""COMPUTED_VALUE"""),8400.0)</f>
        <v>8400</v>
      </c>
      <c r="E684" s="1">
        <f>IFERROR(__xludf.DUMMYFUNCTION("""COMPUTED_VALUE"""),8420.0)</f>
        <v>8420</v>
      </c>
      <c r="F684" s="1">
        <f>IFERROR(__xludf.DUMMYFUNCTION("""COMPUTED_VALUE"""),128356.0)</f>
        <v>128356</v>
      </c>
    </row>
    <row r="685">
      <c r="A685" s="2">
        <f>IFERROR(__xludf.DUMMYFUNCTION("""COMPUTED_VALUE"""),45196.64583333333)</f>
        <v>45196.64583</v>
      </c>
      <c r="B685" s="1">
        <f>IFERROR(__xludf.DUMMYFUNCTION("""COMPUTED_VALUE"""),8190.0)</f>
        <v>8190</v>
      </c>
      <c r="C685" s="1">
        <f>IFERROR(__xludf.DUMMYFUNCTION("""COMPUTED_VALUE"""),8850.0)</f>
        <v>8850</v>
      </c>
      <c r="D685" s="1">
        <f>IFERROR(__xludf.DUMMYFUNCTION("""COMPUTED_VALUE"""),8190.0)</f>
        <v>8190</v>
      </c>
      <c r="E685" s="1">
        <f>IFERROR(__xludf.DUMMYFUNCTION("""COMPUTED_VALUE"""),8740.0)</f>
        <v>8740</v>
      </c>
      <c r="F685" s="1">
        <f>IFERROR(__xludf.DUMMYFUNCTION("""COMPUTED_VALUE"""),121821.0)</f>
        <v>121821</v>
      </c>
    </row>
    <row r="686">
      <c r="A686" s="2">
        <f>IFERROR(__xludf.DUMMYFUNCTION("""COMPUTED_VALUE"""),45203.64583333333)</f>
        <v>45203.64583</v>
      </c>
      <c r="B686" s="1">
        <f>IFERROR(__xludf.DUMMYFUNCTION("""COMPUTED_VALUE"""),8600.0)</f>
        <v>8600</v>
      </c>
      <c r="C686" s="1">
        <f>IFERROR(__xludf.DUMMYFUNCTION("""COMPUTED_VALUE"""),8600.0)</f>
        <v>8600</v>
      </c>
      <c r="D686" s="1">
        <f>IFERROR(__xludf.DUMMYFUNCTION("""COMPUTED_VALUE"""),8080.0)</f>
        <v>8080</v>
      </c>
      <c r="E686" s="1">
        <f>IFERROR(__xludf.DUMMYFUNCTION("""COMPUTED_VALUE"""),8300.0)</f>
        <v>8300</v>
      </c>
      <c r="F686" s="1">
        <f>IFERROR(__xludf.DUMMYFUNCTION("""COMPUTED_VALUE"""),180698.0)</f>
        <v>180698</v>
      </c>
    </row>
    <row r="687">
      <c r="A687" s="2">
        <f>IFERROR(__xludf.DUMMYFUNCTION("""COMPUTED_VALUE"""),45204.64583333333)</f>
        <v>45204.64583</v>
      </c>
      <c r="B687" s="1">
        <f>IFERROR(__xludf.DUMMYFUNCTION("""COMPUTED_VALUE"""),8300.0)</f>
        <v>8300</v>
      </c>
      <c r="C687" s="1">
        <f>IFERROR(__xludf.DUMMYFUNCTION("""COMPUTED_VALUE"""),8350.0)</f>
        <v>8350</v>
      </c>
      <c r="D687" s="1">
        <f>IFERROR(__xludf.DUMMYFUNCTION("""COMPUTED_VALUE"""),7990.0)</f>
        <v>7990</v>
      </c>
      <c r="E687" s="1">
        <f>IFERROR(__xludf.DUMMYFUNCTION("""COMPUTED_VALUE"""),7990.0)</f>
        <v>7990</v>
      </c>
      <c r="F687" s="1">
        <f>IFERROR(__xludf.DUMMYFUNCTION("""COMPUTED_VALUE"""),115190.0)</f>
        <v>115190</v>
      </c>
    </row>
    <row r="688">
      <c r="A688" s="2">
        <f>IFERROR(__xludf.DUMMYFUNCTION("""COMPUTED_VALUE"""),45205.64583333333)</f>
        <v>45205.64583</v>
      </c>
      <c r="B688" s="1">
        <f>IFERROR(__xludf.DUMMYFUNCTION("""COMPUTED_VALUE"""),7830.0)</f>
        <v>7830</v>
      </c>
      <c r="C688" s="1">
        <f>IFERROR(__xludf.DUMMYFUNCTION("""COMPUTED_VALUE"""),8350.0)</f>
        <v>8350</v>
      </c>
      <c r="D688" s="1">
        <f>IFERROR(__xludf.DUMMYFUNCTION("""COMPUTED_VALUE"""),7830.0)</f>
        <v>7830</v>
      </c>
      <c r="E688" s="1">
        <f>IFERROR(__xludf.DUMMYFUNCTION("""COMPUTED_VALUE"""),8140.0)</f>
        <v>8140</v>
      </c>
      <c r="F688" s="1">
        <f>IFERROR(__xludf.DUMMYFUNCTION("""COMPUTED_VALUE"""),87483.0)</f>
        <v>87483</v>
      </c>
    </row>
    <row r="689">
      <c r="A689" s="2">
        <f>IFERROR(__xludf.DUMMYFUNCTION("""COMPUTED_VALUE"""),45209.64583333333)</f>
        <v>45209.64583</v>
      </c>
      <c r="B689" s="1">
        <f>IFERROR(__xludf.DUMMYFUNCTION("""COMPUTED_VALUE"""),8150.0)</f>
        <v>8150</v>
      </c>
      <c r="C689" s="1">
        <f>IFERROR(__xludf.DUMMYFUNCTION("""COMPUTED_VALUE"""),8190.0)</f>
        <v>8190</v>
      </c>
      <c r="D689" s="1">
        <f>IFERROR(__xludf.DUMMYFUNCTION("""COMPUTED_VALUE"""),7750.0)</f>
        <v>7750</v>
      </c>
      <c r="E689" s="1">
        <f>IFERROR(__xludf.DUMMYFUNCTION("""COMPUTED_VALUE"""),7770.0)</f>
        <v>7770</v>
      </c>
      <c r="F689" s="1">
        <f>IFERROR(__xludf.DUMMYFUNCTION("""COMPUTED_VALUE"""),104400.0)</f>
        <v>104400</v>
      </c>
    </row>
    <row r="690">
      <c r="A690" s="2">
        <f>IFERROR(__xludf.DUMMYFUNCTION("""COMPUTED_VALUE"""),45210.64583333333)</f>
        <v>45210.64583</v>
      </c>
      <c r="B690" s="1">
        <f>IFERROR(__xludf.DUMMYFUNCTION("""COMPUTED_VALUE"""),7810.0)</f>
        <v>7810</v>
      </c>
      <c r="C690" s="1">
        <f>IFERROR(__xludf.DUMMYFUNCTION("""COMPUTED_VALUE"""),8220.0)</f>
        <v>8220</v>
      </c>
      <c r="D690" s="1">
        <f>IFERROR(__xludf.DUMMYFUNCTION("""COMPUTED_VALUE"""),7810.0)</f>
        <v>7810</v>
      </c>
      <c r="E690" s="1">
        <f>IFERROR(__xludf.DUMMYFUNCTION("""COMPUTED_VALUE"""),8050.0)</f>
        <v>8050</v>
      </c>
      <c r="F690" s="1">
        <f>IFERROR(__xludf.DUMMYFUNCTION("""COMPUTED_VALUE"""),87122.0)</f>
        <v>87122</v>
      </c>
    </row>
    <row r="691">
      <c r="A691" s="2">
        <f>IFERROR(__xludf.DUMMYFUNCTION("""COMPUTED_VALUE"""),45211.64583333333)</f>
        <v>45211.64583</v>
      </c>
      <c r="B691" s="1">
        <f>IFERROR(__xludf.DUMMYFUNCTION("""COMPUTED_VALUE"""),8070.0)</f>
        <v>8070</v>
      </c>
      <c r="C691" s="1">
        <f>IFERROR(__xludf.DUMMYFUNCTION("""COMPUTED_VALUE"""),8470.0)</f>
        <v>8470</v>
      </c>
      <c r="D691" s="1">
        <f>IFERROR(__xludf.DUMMYFUNCTION("""COMPUTED_VALUE"""),8070.0)</f>
        <v>8070</v>
      </c>
      <c r="E691" s="1">
        <f>IFERROR(__xludf.DUMMYFUNCTION("""COMPUTED_VALUE"""),8350.0)</f>
        <v>8350</v>
      </c>
      <c r="F691" s="1">
        <f>IFERROR(__xludf.DUMMYFUNCTION("""COMPUTED_VALUE"""),77153.0)</f>
        <v>77153</v>
      </c>
    </row>
    <row r="692">
      <c r="A692" s="2">
        <f>IFERROR(__xludf.DUMMYFUNCTION("""COMPUTED_VALUE"""),45212.64583333333)</f>
        <v>45212.64583</v>
      </c>
      <c r="B692" s="1">
        <f>IFERROR(__xludf.DUMMYFUNCTION("""COMPUTED_VALUE"""),8300.0)</f>
        <v>8300</v>
      </c>
      <c r="C692" s="1">
        <f>IFERROR(__xludf.DUMMYFUNCTION("""COMPUTED_VALUE"""),8320.0)</f>
        <v>8320</v>
      </c>
      <c r="D692" s="1">
        <f>IFERROR(__xludf.DUMMYFUNCTION("""COMPUTED_VALUE"""),8010.0)</f>
        <v>8010</v>
      </c>
      <c r="E692" s="1">
        <f>IFERROR(__xludf.DUMMYFUNCTION("""COMPUTED_VALUE"""),8010.0)</f>
        <v>8010</v>
      </c>
      <c r="F692" s="1">
        <f>IFERROR(__xludf.DUMMYFUNCTION("""COMPUTED_VALUE"""),74420.0)</f>
        <v>74420</v>
      </c>
    </row>
    <row r="693">
      <c r="A693" s="2">
        <f>IFERROR(__xludf.DUMMYFUNCTION("""COMPUTED_VALUE"""),45215.64583333333)</f>
        <v>45215.64583</v>
      </c>
      <c r="B693" s="1">
        <f>IFERROR(__xludf.DUMMYFUNCTION("""COMPUTED_VALUE"""),7880.0)</f>
        <v>7880</v>
      </c>
      <c r="C693" s="1">
        <f>IFERROR(__xludf.DUMMYFUNCTION("""COMPUTED_VALUE"""),8010.0)</f>
        <v>8010</v>
      </c>
      <c r="D693" s="1">
        <f>IFERROR(__xludf.DUMMYFUNCTION("""COMPUTED_VALUE"""),7650.0)</f>
        <v>7650</v>
      </c>
      <c r="E693" s="1">
        <f>IFERROR(__xludf.DUMMYFUNCTION("""COMPUTED_VALUE"""),7700.0)</f>
        <v>7700</v>
      </c>
      <c r="F693" s="1">
        <f>IFERROR(__xludf.DUMMYFUNCTION("""COMPUTED_VALUE"""),110958.0)</f>
        <v>110958</v>
      </c>
    </row>
    <row r="694">
      <c r="A694" s="2">
        <f>IFERROR(__xludf.DUMMYFUNCTION("""COMPUTED_VALUE"""),45216.64583333333)</f>
        <v>45216.64583</v>
      </c>
      <c r="B694" s="1">
        <f>IFERROR(__xludf.DUMMYFUNCTION("""COMPUTED_VALUE"""),7750.0)</f>
        <v>7750</v>
      </c>
      <c r="C694" s="1">
        <f>IFERROR(__xludf.DUMMYFUNCTION("""COMPUTED_VALUE"""),8120.0)</f>
        <v>8120</v>
      </c>
      <c r="D694" s="1">
        <f>IFERROR(__xludf.DUMMYFUNCTION("""COMPUTED_VALUE"""),7670.0)</f>
        <v>7670</v>
      </c>
      <c r="E694" s="1">
        <f>IFERROR(__xludf.DUMMYFUNCTION("""COMPUTED_VALUE"""),7910.0)</f>
        <v>7910</v>
      </c>
      <c r="F694" s="1">
        <f>IFERROR(__xludf.DUMMYFUNCTION("""COMPUTED_VALUE"""),84855.0)</f>
        <v>84855</v>
      </c>
    </row>
    <row r="695">
      <c r="A695" s="2">
        <f>IFERROR(__xludf.DUMMYFUNCTION("""COMPUTED_VALUE"""),45217.64583333333)</f>
        <v>45217.64583</v>
      </c>
      <c r="B695" s="1">
        <f>IFERROR(__xludf.DUMMYFUNCTION("""COMPUTED_VALUE"""),7920.0)</f>
        <v>7920</v>
      </c>
      <c r="C695" s="1">
        <f>IFERROR(__xludf.DUMMYFUNCTION("""COMPUTED_VALUE"""),7980.0)</f>
        <v>7980</v>
      </c>
      <c r="D695" s="1">
        <f>IFERROR(__xludf.DUMMYFUNCTION("""COMPUTED_VALUE"""),7750.0)</f>
        <v>7750</v>
      </c>
      <c r="E695" s="1">
        <f>IFERROR(__xludf.DUMMYFUNCTION("""COMPUTED_VALUE"""),7760.0)</f>
        <v>7760</v>
      </c>
      <c r="F695" s="1">
        <f>IFERROR(__xludf.DUMMYFUNCTION("""COMPUTED_VALUE"""),59234.0)</f>
        <v>59234</v>
      </c>
    </row>
    <row r="696">
      <c r="A696" s="2">
        <f>IFERROR(__xludf.DUMMYFUNCTION("""COMPUTED_VALUE"""),45218.64583333333)</f>
        <v>45218.64583</v>
      </c>
      <c r="B696" s="1">
        <f>IFERROR(__xludf.DUMMYFUNCTION("""COMPUTED_VALUE"""),7700.0)</f>
        <v>7700</v>
      </c>
      <c r="C696" s="1">
        <f>IFERROR(__xludf.DUMMYFUNCTION("""COMPUTED_VALUE"""),7700.0)</f>
        <v>7700</v>
      </c>
      <c r="D696" s="1">
        <f>IFERROR(__xludf.DUMMYFUNCTION("""COMPUTED_VALUE"""),7410.0)</f>
        <v>7410</v>
      </c>
      <c r="E696" s="1">
        <f>IFERROR(__xludf.DUMMYFUNCTION("""COMPUTED_VALUE"""),7420.0)</f>
        <v>7420</v>
      </c>
      <c r="F696" s="1">
        <f>IFERROR(__xludf.DUMMYFUNCTION("""COMPUTED_VALUE"""),105992.0)</f>
        <v>105992</v>
      </c>
    </row>
    <row r="697">
      <c r="A697" s="2">
        <f>IFERROR(__xludf.DUMMYFUNCTION("""COMPUTED_VALUE"""),45219.64583333333)</f>
        <v>45219.64583</v>
      </c>
      <c r="B697" s="1">
        <f>IFERROR(__xludf.DUMMYFUNCTION("""COMPUTED_VALUE"""),7290.0)</f>
        <v>7290</v>
      </c>
      <c r="C697" s="1">
        <f>IFERROR(__xludf.DUMMYFUNCTION("""COMPUTED_VALUE"""),7510.0)</f>
        <v>7510</v>
      </c>
      <c r="D697" s="1">
        <f>IFERROR(__xludf.DUMMYFUNCTION("""COMPUTED_VALUE"""),7120.0)</f>
        <v>7120</v>
      </c>
      <c r="E697" s="1">
        <f>IFERROR(__xludf.DUMMYFUNCTION("""COMPUTED_VALUE"""),7390.0)</f>
        <v>7390</v>
      </c>
      <c r="F697" s="1">
        <f>IFERROR(__xludf.DUMMYFUNCTION("""COMPUTED_VALUE"""),112297.0)</f>
        <v>112297</v>
      </c>
    </row>
    <row r="698">
      <c r="A698" s="2">
        <f>IFERROR(__xludf.DUMMYFUNCTION("""COMPUTED_VALUE"""),45222.64583333333)</f>
        <v>45222.64583</v>
      </c>
      <c r="B698" s="1">
        <f>IFERROR(__xludf.DUMMYFUNCTION("""COMPUTED_VALUE"""),7300.0)</f>
        <v>7300</v>
      </c>
      <c r="C698" s="1">
        <f>IFERROR(__xludf.DUMMYFUNCTION("""COMPUTED_VALUE"""),7490.0)</f>
        <v>7490</v>
      </c>
      <c r="D698" s="1">
        <f>IFERROR(__xludf.DUMMYFUNCTION("""COMPUTED_VALUE"""),7250.0)</f>
        <v>7250</v>
      </c>
      <c r="E698" s="1">
        <f>IFERROR(__xludf.DUMMYFUNCTION("""COMPUTED_VALUE"""),7260.0)</f>
        <v>7260</v>
      </c>
      <c r="F698" s="1">
        <f>IFERROR(__xludf.DUMMYFUNCTION("""COMPUTED_VALUE"""),44331.0)</f>
        <v>44331</v>
      </c>
    </row>
    <row r="699">
      <c r="A699" s="2">
        <f>IFERROR(__xludf.DUMMYFUNCTION("""COMPUTED_VALUE"""),45223.64583333333)</f>
        <v>45223.64583</v>
      </c>
      <c r="B699" s="1">
        <f>IFERROR(__xludf.DUMMYFUNCTION("""COMPUTED_VALUE"""),7720.0)</f>
        <v>7720</v>
      </c>
      <c r="C699" s="1">
        <f>IFERROR(__xludf.DUMMYFUNCTION("""COMPUTED_VALUE"""),7720.0)</f>
        <v>7720</v>
      </c>
      <c r="D699" s="1">
        <f>IFERROR(__xludf.DUMMYFUNCTION("""COMPUTED_VALUE"""),7060.0)</f>
        <v>7060</v>
      </c>
      <c r="E699" s="1">
        <f>IFERROR(__xludf.DUMMYFUNCTION("""COMPUTED_VALUE"""),7540.0)</f>
        <v>7540</v>
      </c>
      <c r="F699" s="1">
        <f>IFERROR(__xludf.DUMMYFUNCTION("""COMPUTED_VALUE"""),97704.0)</f>
        <v>97704</v>
      </c>
    </row>
    <row r="700">
      <c r="A700" s="2">
        <f>IFERROR(__xludf.DUMMYFUNCTION("""COMPUTED_VALUE"""),45224.64583333333)</f>
        <v>45224.64583</v>
      </c>
      <c r="B700" s="1">
        <f>IFERROR(__xludf.DUMMYFUNCTION("""COMPUTED_VALUE"""),7880.0)</f>
        <v>7880</v>
      </c>
      <c r="C700" s="1">
        <f>IFERROR(__xludf.DUMMYFUNCTION("""COMPUTED_VALUE"""),7890.0)</f>
        <v>7890</v>
      </c>
      <c r="D700" s="1">
        <f>IFERROR(__xludf.DUMMYFUNCTION("""COMPUTED_VALUE"""),7600.0)</f>
        <v>7600</v>
      </c>
      <c r="E700" s="1">
        <f>IFERROR(__xludf.DUMMYFUNCTION("""COMPUTED_VALUE"""),7610.0)</f>
        <v>7610</v>
      </c>
      <c r="F700" s="1">
        <f>IFERROR(__xludf.DUMMYFUNCTION("""COMPUTED_VALUE"""),100288.0)</f>
        <v>100288</v>
      </c>
    </row>
    <row r="701">
      <c r="A701" s="2">
        <f>IFERROR(__xludf.DUMMYFUNCTION("""COMPUTED_VALUE"""),45225.64583333333)</f>
        <v>45225.64583</v>
      </c>
      <c r="B701" s="1">
        <f>IFERROR(__xludf.DUMMYFUNCTION("""COMPUTED_VALUE"""),7560.0)</f>
        <v>7560</v>
      </c>
      <c r="C701" s="1">
        <f>IFERROR(__xludf.DUMMYFUNCTION("""COMPUTED_VALUE"""),7560.0)</f>
        <v>7560</v>
      </c>
      <c r="D701" s="1">
        <f>IFERROR(__xludf.DUMMYFUNCTION("""COMPUTED_VALUE"""),7160.0)</f>
        <v>7160</v>
      </c>
      <c r="E701" s="1">
        <f>IFERROR(__xludf.DUMMYFUNCTION("""COMPUTED_VALUE"""),7220.0)</f>
        <v>7220</v>
      </c>
      <c r="F701" s="1">
        <f>IFERROR(__xludf.DUMMYFUNCTION("""COMPUTED_VALUE"""),80726.0)</f>
        <v>80726</v>
      </c>
    </row>
    <row r="702">
      <c r="A702" s="2">
        <f>IFERROR(__xludf.DUMMYFUNCTION("""COMPUTED_VALUE"""),45226.64583333333)</f>
        <v>45226.64583</v>
      </c>
      <c r="B702" s="1">
        <f>IFERROR(__xludf.DUMMYFUNCTION("""COMPUTED_VALUE"""),7230.0)</f>
        <v>7230</v>
      </c>
      <c r="C702" s="1">
        <f>IFERROR(__xludf.DUMMYFUNCTION("""COMPUTED_VALUE"""),7430.0)</f>
        <v>7430</v>
      </c>
      <c r="D702" s="1">
        <f>IFERROR(__xludf.DUMMYFUNCTION("""COMPUTED_VALUE"""),7000.0)</f>
        <v>7000</v>
      </c>
      <c r="E702" s="1">
        <f>IFERROR(__xludf.DUMMYFUNCTION("""COMPUTED_VALUE"""),7280.0)</f>
        <v>7280</v>
      </c>
      <c r="F702" s="1">
        <f>IFERROR(__xludf.DUMMYFUNCTION("""COMPUTED_VALUE"""),75065.0)</f>
        <v>75065</v>
      </c>
    </row>
    <row r="703">
      <c r="A703" s="2">
        <f>IFERROR(__xludf.DUMMYFUNCTION("""COMPUTED_VALUE"""),45229.64583333333)</f>
        <v>45229.64583</v>
      </c>
      <c r="B703" s="1">
        <f>IFERROR(__xludf.DUMMYFUNCTION("""COMPUTED_VALUE"""),7260.0)</f>
        <v>7260</v>
      </c>
      <c r="C703" s="1">
        <f>IFERROR(__xludf.DUMMYFUNCTION("""COMPUTED_VALUE"""),7570.0)</f>
        <v>7570</v>
      </c>
      <c r="D703" s="1">
        <f>IFERROR(__xludf.DUMMYFUNCTION("""COMPUTED_VALUE"""),7100.0)</f>
        <v>7100</v>
      </c>
      <c r="E703" s="1">
        <f>IFERROR(__xludf.DUMMYFUNCTION("""COMPUTED_VALUE"""),7320.0)</f>
        <v>7320</v>
      </c>
      <c r="F703" s="1">
        <f>IFERROR(__xludf.DUMMYFUNCTION("""COMPUTED_VALUE"""),42772.0)</f>
        <v>42772</v>
      </c>
    </row>
    <row r="704">
      <c r="A704" s="2">
        <f>IFERROR(__xludf.DUMMYFUNCTION("""COMPUTED_VALUE"""),45230.64583333333)</f>
        <v>45230.64583</v>
      </c>
      <c r="B704" s="1">
        <f>IFERROR(__xludf.DUMMYFUNCTION("""COMPUTED_VALUE"""),7400.0)</f>
        <v>7400</v>
      </c>
      <c r="C704" s="1">
        <f>IFERROR(__xludf.DUMMYFUNCTION("""COMPUTED_VALUE"""),7600.0)</f>
        <v>7600</v>
      </c>
      <c r="D704" s="1">
        <f>IFERROR(__xludf.DUMMYFUNCTION("""COMPUTED_VALUE"""),7030.0)</f>
        <v>7030</v>
      </c>
      <c r="E704" s="1">
        <f>IFERROR(__xludf.DUMMYFUNCTION("""COMPUTED_VALUE"""),7080.0)</f>
        <v>7080</v>
      </c>
      <c r="F704" s="1">
        <f>IFERROR(__xludf.DUMMYFUNCTION("""COMPUTED_VALUE"""),76319.0)</f>
        <v>76319</v>
      </c>
    </row>
    <row r="705">
      <c r="A705" s="2">
        <f>IFERROR(__xludf.DUMMYFUNCTION("""COMPUTED_VALUE"""),45231.64583333333)</f>
        <v>45231.64583</v>
      </c>
      <c r="B705" s="1">
        <f>IFERROR(__xludf.DUMMYFUNCTION("""COMPUTED_VALUE"""),7100.0)</f>
        <v>7100</v>
      </c>
      <c r="C705" s="1">
        <f>IFERROR(__xludf.DUMMYFUNCTION("""COMPUTED_VALUE"""),7400.0)</f>
        <v>7400</v>
      </c>
      <c r="D705" s="1">
        <f>IFERROR(__xludf.DUMMYFUNCTION("""COMPUTED_VALUE"""),7090.0)</f>
        <v>7090</v>
      </c>
      <c r="E705" s="1">
        <f>IFERROR(__xludf.DUMMYFUNCTION("""COMPUTED_VALUE"""),7270.0)</f>
        <v>7270</v>
      </c>
      <c r="F705" s="1">
        <f>IFERROR(__xludf.DUMMYFUNCTION("""COMPUTED_VALUE"""),55917.0)</f>
        <v>55917</v>
      </c>
    </row>
    <row r="706">
      <c r="A706" s="2">
        <f>IFERROR(__xludf.DUMMYFUNCTION("""COMPUTED_VALUE"""),45232.64583333333)</f>
        <v>45232.64583</v>
      </c>
      <c r="B706" s="1">
        <f>IFERROR(__xludf.DUMMYFUNCTION("""COMPUTED_VALUE"""),7450.0)</f>
        <v>7450</v>
      </c>
      <c r="C706" s="1">
        <f>IFERROR(__xludf.DUMMYFUNCTION("""COMPUTED_VALUE"""),7780.0)</f>
        <v>7780</v>
      </c>
      <c r="D706" s="1">
        <f>IFERROR(__xludf.DUMMYFUNCTION("""COMPUTED_VALUE"""),7350.0)</f>
        <v>7350</v>
      </c>
      <c r="E706" s="1">
        <f>IFERROR(__xludf.DUMMYFUNCTION("""COMPUTED_VALUE"""),7680.0)</f>
        <v>7680</v>
      </c>
      <c r="F706" s="1">
        <f>IFERROR(__xludf.DUMMYFUNCTION("""COMPUTED_VALUE"""),109087.0)</f>
        <v>109087</v>
      </c>
    </row>
    <row r="707">
      <c r="A707" s="2">
        <f>IFERROR(__xludf.DUMMYFUNCTION("""COMPUTED_VALUE"""),45233.64583333333)</f>
        <v>45233.64583</v>
      </c>
      <c r="B707" s="1">
        <f>IFERROR(__xludf.DUMMYFUNCTION("""COMPUTED_VALUE"""),7700.0)</f>
        <v>7700</v>
      </c>
      <c r="C707" s="1">
        <f>IFERROR(__xludf.DUMMYFUNCTION("""COMPUTED_VALUE"""),8360.0)</f>
        <v>8360</v>
      </c>
      <c r="D707" s="1">
        <f>IFERROR(__xludf.DUMMYFUNCTION("""COMPUTED_VALUE"""),7630.0)</f>
        <v>7630</v>
      </c>
      <c r="E707" s="1">
        <f>IFERROR(__xludf.DUMMYFUNCTION("""COMPUTED_VALUE"""),8330.0)</f>
        <v>8330</v>
      </c>
      <c r="F707" s="1">
        <f>IFERROR(__xludf.DUMMYFUNCTION("""COMPUTED_VALUE"""),382039.0)</f>
        <v>382039</v>
      </c>
    </row>
    <row r="708">
      <c r="A708" s="2">
        <f>IFERROR(__xludf.DUMMYFUNCTION("""COMPUTED_VALUE"""),45236.64583333333)</f>
        <v>45236.64583</v>
      </c>
      <c r="B708" s="1">
        <f>IFERROR(__xludf.DUMMYFUNCTION("""COMPUTED_VALUE"""),8330.0)</f>
        <v>8330</v>
      </c>
      <c r="C708" s="1">
        <f>IFERROR(__xludf.DUMMYFUNCTION("""COMPUTED_VALUE"""),8730.0)</f>
        <v>8730</v>
      </c>
      <c r="D708" s="1">
        <f>IFERROR(__xludf.DUMMYFUNCTION("""COMPUTED_VALUE"""),8100.0)</f>
        <v>8100</v>
      </c>
      <c r="E708" s="1">
        <f>IFERROR(__xludf.DUMMYFUNCTION("""COMPUTED_VALUE"""),8620.0)</f>
        <v>8620</v>
      </c>
      <c r="F708" s="1">
        <f>IFERROR(__xludf.DUMMYFUNCTION("""COMPUTED_VALUE"""),276832.0)</f>
        <v>276832</v>
      </c>
    </row>
    <row r="709">
      <c r="A709" s="2">
        <f>IFERROR(__xludf.DUMMYFUNCTION("""COMPUTED_VALUE"""),45237.64583333333)</f>
        <v>45237.64583</v>
      </c>
      <c r="B709" s="1">
        <f>IFERROR(__xludf.DUMMYFUNCTION("""COMPUTED_VALUE"""),8640.0)</f>
        <v>8640</v>
      </c>
      <c r="C709" s="1">
        <f>IFERROR(__xludf.DUMMYFUNCTION("""COMPUTED_VALUE"""),8790.0)</f>
        <v>8790</v>
      </c>
      <c r="D709" s="1">
        <f>IFERROR(__xludf.DUMMYFUNCTION("""COMPUTED_VALUE"""),8200.0)</f>
        <v>8200</v>
      </c>
      <c r="E709" s="1">
        <f>IFERROR(__xludf.DUMMYFUNCTION("""COMPUTED_VALUE"""),8300.0)</f>
        <v>8300</v>
      </c>
      <c r="F709" s="1">
        <f>IFERROR(__xludf.DUMMYFUNCTION("""COMPUTED_VALUE"""),186601.0)</f>
        <v>186601</v>
      </c>
    </row>
    <row r="710">
      <c r="A710" s="2">
        <f>IFERROR(__xludf.DUMMYFUNCTION("""COMPUTED_VALUE"""),45238.64583333333)</f>
        <v>45238.64583</v>
      </c>
      <c r="B710" s="1">
        <f>IFERROR(__xludf.DUMMYFUNCTION("""COMPUTED_VALUE"""),8570.0)</f>
        <v>8570</v>
      </c>
      <c r="C710" s="1">
        <f>IFERROR(__xludf.DUMMYFUNCTION("""COMPUTED_VALUE"""),8630.0)</f>
        <v>8630</v>
      </c>
      <c r="D710" s="1">
        <f>IFERROR(__xludf.DUMMYFUNCTION("""COMPUTED_VALUE"""),8300.0)</f>
        <v>8300</v>
      </c>
      <c r="E710" s="1">
        <f>IFERROR(__xludf.DUMMYFUNCTION("""COMPUTED_VALUE"""),8300.0)</f>
        <v>8300</v>
      </c>
      <c r="F710" s="1">
        <f>IFERROR(__xludf.DUMMYFUNCTION("""COMPUTED_VALUE"""),123272.0)</f>
        <v>123272</v>
      </c>
    </row>
    <row r="711">
      <c r="A711" s="2">
        <f>IFERROR(__xludf.DUMMYFUNCTION("""COMPUTED_VALUE"""),45239.64583333333)</f>
        <v>45239.64583</v>
      </c>
      <c r="B711" s="1">
        <f>IFERROR(__xludf.DUMMYFUNCTION("""COMPUTED_VALUE"""),8410.0)</f>
        <v>8410</v>
      </c>
      <c r="C711" s="1">
        <f>IFERROR(__xludf.DUMMYFUNCTION("""COMPUTED_VALUE"""),8580.0)</f>
        <v>8580</v>
      </c>
      <c r="D711" s="1">
        <f>IFERROR(__xludf.DUMMYFUNCTION("""COMPUTED_VALUE"""),8210.0)</f>
        <v>8210</v>
      </c>
      <c r="E711" s="1">
        <f>IFERROR(__xludf.DUMMYFUNCTION("""COMPUTED_VALUE"""),8290.0)</f>
        <v>8290</v>
      </c>
      <c r="F711" s="1">
        <f>IFERROR(__xludf.DUMMYFUNCTION("""COMPUTED_VALUE"""),84148.0)</f>
        <v>84148</v>
      </c>
    </row>
    <row r="712">
      <c r="A712" s="2">
        <f>IFERROR(__xludf.DUMMYFUNCTION("""COMPUTED_VALUE"""),45240.64583333333)</f>
        <v>45240.64583</v>
      </c>
      <c r="B712" s="1">
        <f>IFERROR(__xludf.DUMMYFUNCTION("""COMPUTED_VALUE"""),8200.0)</f>
        <v>8200</v>
      </c>
      <c r="C712" s="1">
        <f>IFERROR(__xludf.DUMMYFUNCTION("""COMPUTED_VALUE"""),8250.0)</f>
        <v>8250</v>
      </c>
      <c r="D712" s="1">
        <f>IFERROR(__xludf.DUMMYFUNCTION("""COMPUTED_VALUE"""),8020.0)</f>
        <v>8020</v>
      </c>
      <c r="E712" s="1">
        <f>IFERROR(__xludf.DUMMYFUNCTION("""COMPUTED_VALUE"""),8030.0)</f>
        <v>8030</v>
      </c>
      <c r="F712" s="1">
        <f>IFERROR(__xludf.DUMMYFUNCTION("""COMPUTED_VALUE"""),69259.0)</f>
        <v>69259</v>
      </c>
    </row>
    <row r="713">
      <c r="A713" s="2">
        <f>IFERROR(__xludf.DUMMYFUNCTION("""COMPUTED_VALUE"""),45243.64583333333)</f>
        <v>45243.64583</v>
      </c>
      <c r="B713" s="1">
        <f>IFERROR(__xludf.DUMMYFUNCTION("""COMPUTED_VALUE"""),8310.0)</f>
        <v>8310</v>
      </c>
      <c r="C713" s="1">
        <f>IFERROR(__xludf.DUMMYFUNCTION("""COMPUTED_VALUE"""),8310.0)</f>
        <v>8310</v>
      </c>
      <c r="D713" s="1">
        <f>IFERROR(__xludf.DUMMYFUNCTION("""COMPUTED_VALUE"""),7760.0)</f>
        <v>7760</v>
      </c>
      <c r="E713" s="1">
        <f>IFERROR(__xludf.DUMMYFUNCTION("""COMPUTED_VALUE"""),7780.0)</f>
        <v>7780</v>
      </c>
      <c r="F713" s="1">
        <f>IFERROR(__xludf.DUMMYFUNCTION("""COMPUTED_VALUE"""),68505.0)</f>
        <v>68505</v>
      </c>
    </row>
    <row r="714">
      <c r="A714" s="2">
        <f>IFERROR(__xludf.DUMMYFUNCTION("""COMPUTED_VALUE"""),45244.64583333333)</f>
        <v>45244.64583</v>
      </c>
      <c r="B714" s="1">
        <f>IFERROR(__xludf.DUMMYFUNCTION("""COMPUTED_VALUE"""),7780.0)</f>
        <v>7780</v>
      </c>
      <c r="C714" s="1">
        <f>IFERROR(__xludf.DUMMYFUNCTION("""COMPUTED_VALUE"""),8130.0)</f>
        <v>8130</v>
      </c>
      <c r="D714" s="1">
        <f>IFERROR(__xludf.DUMMYFUNCTION("""COMPUTED_VALUE"""),7780.0)</f>
        <v>7780</v>
      </c>
      <c r="E714" s="1">
        <f>IFERROR(__xludf.DUMMYFUNCTION("""COMPUTED_VALUE"""),8010.0)</f>
        <v>8010</v>
      </c>
      <c r="F714" s="1">
        <f>IFERROR(__xludf.DUMMYFUNCTION("""COMPUTED_VALUE"""),40500.0)</f>
        <v>40500</v>
      </c>
    </row>
    <row r="715">
      <c r="A715" s="2">
        <f>IFERROR(__xludf.DUMMYFUNCTION("""COMPUTED_VALUE"""),45245.64583333333)</f>
        <v>45245.64583</v>
      </c>
      <c r="B715" s="1">
        <f>IFERROR(__xludf.DUMMYFUNCTION("""COMPUTED_VALUE"""),8250.0)</f>
        <v>8250</v>
      </c>
      <c r="C715" s="1">
        <f>IFERROR(__xludf.DUMMYFUNCTION("""COMPUTED_VALUE"""),8320.0)</f>
        <v>8320</v>
      </c>
      <c r="D715" s="1">
        <f>IFERROR(__xludf.DUMMYFUNCTION("""COMPUTED_VALUE"""),8120.0)</f>
        <v>8120</v>
      </c>
      <c r="E715" s="1">
        <f>IFERROR(__xludf.DUMMYFUNCTION("""COMPUTED_VALUE"""),8300.0)</f>
        <v>8300</v>
      </c>
      <c r="F715" s="1">
        <f>IFERROR(__xludf.DUMMYFUNCTION("""COMPUTED_VALUE"""),75777.0)</f>
        <v>75777</v>
      </c>
    </row>
    <row r="716">
      <c r="A716" s="2">
        <f>IFERROR(__xludf.DUMMYFUNCTION("""COMPUTED_VALUE"""),45246.64583333333)</f>
        <v>45246.64583</v>
      </c>
      <c r="B716" s="1">
        <f>IFERROR(__xludf.DUMMYFUNCTION("""COMPUTED_VALUE"""),8390.0)</f>
        <v>8390</v>
      </c>
      <c r="C716" s="1">
        <f>IFERROR(__xludf.DUMMYFUNCTION("""COMPUTED_VALUE"""),8400.0)</f>
        <v>8400</v>
      </c>
      <c r="D716" s="1">
        <f>IFERROR(__xludf.DUMMYFUNCTION("""COMPUTED_VALUE"""),8240.0)</f>
        <v>8240</v>
      </c>
      <c r="E716" s="1">
        <f>IFERROR(__xludf.DUMMYFUNCTION("""COMPUTED_VALUE"""),8350.0)</f>
        <v>8350</v>
      </c>
      <c r="F716" s="1">
        <f>IFERROR(__xludf.DUMMYFUNCTION("""COMPUTED_VALUE"""),57194.0)</f>
        <v>57194</v>
      </c>
    </row>
    <row r="717">
      <c r="A717" s="2">
        <f>IFERROR(__xludf.DUMMYFUNCTION("""COMPUTED_VALUE"""),45247.64583333333)</f>
        <v>45247.64583</v>
      </c>
      <c r="B717" s="1">
        <f>IFERROR(__xludf.DUMMYFUNCTION("""COMPUTED_VALUE"""),8340.0)</f>
        <v>8340</v>
      </c>
      <c r="C717" s="1">
        <f>IFERROR(__xludf.DUMMYFUNCTION("""COMPUTED_VALUE"""),8340.0)</f>
        <v>8340</v>
      </c>
      <c r="D717" s="1">
        <f>IFERROR(__xludf.DUMMYFUNCTION("""COMPUTED_VALUE"""),7990.0)</f>
        <v>7990</v>
      </c>
      <c r="E717" s="1">
        <f>IFERROR(__xludf.DUMMYFUNCTION("""COMPUTED_VALUE"""),8050.0)</f>
        <v>8050</v>
      </c>
      <c r="F717" s="1">
        <f>IFERROR(__xludf.DUMMYFUNCTION("""COMPUTED_VALUE"""),67489.0)</f>
        <v>67489</v>
      </c>
    </row>
    <row r="718">
      <c r="A718" s="2">
        <f>IFERROR(__xludf.DUMMYFUNCTION("""COMPUTED_VALUE"""),45250.64583333333)</f>
        <v>45250.64583</v>
      </c>
      <c r="B718" s="1">
        <f>IFERROR(__xludf.DUMMYFUNCTION("""COMPUTED_VALUE"""),8060.0)</f>
        <v>8060</v>
      </c>
      <c r="C718" s="1">
        <f>IFERROR(__xludf.DUMMYFUNCTION("""COMPUTED_VALUE"""),8960.0)</f>
        <v>8960</v>
      </c>
      <c r="D718" s="1">
        <f>IFERROR(__xludf.DUMMYFUNCTION("""COMPUTED_VALUE"""),7970.0)</f>
        <v>7970</v>
      </c>
      <c r="E718" s="1">
        <f>IFERROR(__xludf.DUMMYFUNCTION("""COMPUTED_VALUE"""),8520.0)</f>
        <v>8520</v>
      </c>
      <c r="F718" s="1">
        <f>IFERROR(__xludf.DUMMYFUNCTION("""COMPUTED_VALUE"""),538469.0)</f>
        <v>538469</v>
      </c>
    </row>
    <row r="719">
      <c r="A719" s="2">
        <f>IFERROR(__xludf.DUMMYFUNCTION("""COMPUTED_VALUE"""),45251.64583333333)</f>
        <v>45251.64583</v>
      </c>
      <c r="B719" s="1">
        <f>IFERROR(__xludf.DUMMYFUNCTION("""COMPUTED_VALUE"""),8640.0)</f>
        <v>8640</v>
      </c>
      <c r="C719" s="1">
        <f>IFERROR(__xludf.DUMMYFUNCTION("""COMPUTED_VALUE"""),9000.0)</f>
        <v>9000</v>
      </c>
      <c r="D719" s="1">
        <f>IFERROR(__xludf.DUMMYFUNCTION("""COMPUTED_VALUE"""),8600.0)</f>
        <v>8600</v>
      </c>
      <c r="E719" s="1">
        <f>IFERROR(__xludf.DUMMYFUNCTION("""COMPUTED_VALUE"""),8620.0)</f>
        <v>8620</v>
      </c>
      <c r="F719" s="1">
        <f>IFERROR(__xludf.DUMMYFUNCTION("""COMPUTED_VALUE"""),212031.0)</f>
        <v>212031</v>
      </c>
    </row>
    <row r="720">
      <c r="A720" s="2">
        <f>IFERROR(__xludf.DUMMYFUNCTION("""COMPUTED_VALUE"""),45252.64583333333)</f>
        <v>45252.64583</v>
      </c>
      <c r="B720" s="1">
        <f>IFERROR(__xludf.DUMMYFUNCTION("""COMPUTED_VALUE"""),8670.0)</f>
        <v>8670</v>
      </c>
      <c r="C720" s="1">
        <f>IFERROR(__xludf.DUMMYFUNCTION("""COMPUTED_VALUE"""),8670.0)</f>
        <v>8670</v>
      </c>
      <c r="D720" s="1">
        <f>IFERROR(__xludf.DUMMYFUNCTION("""COMPUTED_VALUE"""),7980.0)</f>
        <v>7980</v>
      </c>
      <c r="E720" s="1">
        <f>IFERROR(__xludf.DUMMYFUNCTION("""COMPUTED_VALUE"""),8390.0)</f>
        <v>8390</v>
      </c>
      <c r="F720" s="1">
        <f>IFERROR(__xludf.DUMMYFUNCTION("""COMPUTED_VALUE"""),93345.0)</f>
        <v>93345</v>
      </c>
    </row>
    <row r="721">
      <c r="A721" s="2">
        <f>IFERROR(__xludf.DUMMYFUNCTION("""COMPUTED_VALUE"""),45253.64583333333)</f>
        <v>45253.64583</v>
      </c>
      <c r="B721" s="1">
        <f>IFERROR(__xludf.DUMMYFUNCTION("""COMPUTED_VALUE"""),8520.0)</f>
        <v>8520</v>
      </c>
      <c r="C721" s="1">
        <f>IFERROR(__xludf.DUMMYFUNCTION("""COMPUTED_VALUE"""),9790.0)</f>
        <v>9790</v>
      </c>
      <c r="D721" s="1">
        <f>IFERROR(__xludf.DUMMYFUNCTION("""COMPUTED_VALUE"""),8510.0)</f>
        <v>8510</v>
      </c>
      <c r="E721" s="1">
        <f>IFERROR(__xludf.DUMMYFUNCTION("""COMPUTED_VALUE"""),8980.0)</f>
        <v>8980</v>
      </c>
      <c r="F721" s="1">
        <f>IFERROR(__xludf.DUMMYFUNCTION("""COMPUTED_VALUE"""),1331163.0)</f>
        <v>1331163</v>
      </c>
    </row>
    <row r="722">
      <c r="A722" s="2">
        <f>IFERROR(__xludf.DUMMYFUNCTION("""COMPUTED_VALUE"""),45254.64583333333)</f>
        <v>45254.64583</v>
      </c>
      <c r="B722" s="1">
        <f>IFERROR(__xludf.DUMMYFUNCTION("""COMPUTED_VALUE"""),9030.0)</f>
        <v>9030</v>
      </c>
      <c r="C722" s="1">
        <f>IFERROR(__xludf.DUMMYFUNCTION("""COMPUTED_VALUE"""),9090.0)</f>
        <v>9090</v>
      </c>
      <c r="D722" s="1">
        <f>IFERROR(__xludf.DUMMYFUNCTION("""COMPUTED_VALUE"""),8660.0)</f>
        <v>8660</v>
      </c>
      <c r="E722" s="1">
        <f>IFERROR(__xludf.DUMMYFUNCTION("""COMPUTED_VALUE"""),8780.0)</f>
        <v>8780</v>
      </c>
      <c r="F722" s="1">
        <f>IFERROR(__xludf.DUMMYFUNCTION("""COMPUTED_VALUE"""),219845.0)</f>
        <v>219845</v>
      </c>
    </row>
    <row r="723">
      <c r="A723" s="2">
        <f>IFERROR(__xludf.DUMMYFUNCTION("""COMPUTED_VALUE"""),45257.64583333333)</f>
        <v>45257.64583</v>
      </c>
      <c r="B723" s="1">
        <f>IFERROR(__xludf.DUMMYFUNCTION("""COMPUTED_VALUE"""),8780.0)</f>
        <v>8780</v>
      </c>
      <c r="C723" s="1">
        <f>IFERROR(__xludf.DUMMYFUNCTION("""COMPUTED_VALUE"""),8780.0)</f>
        <v>8780</v>
      </c>
      <c r="D723" s="1">
        <f>IFERROR(__xludf.DUMMYFUNCTION("""COMPUTED_VALUE"""),8310.0)</f>
        <v>8310</v>
      </c>
      <c r="E723" s="1">
        <f>IFERROR(__xludf.DUMMYFUNCTION("""COMPUTED_VALUE"""),8490.0)</f>
        <v>8490</v>
      </c>
      <c r="F723" s="1">
        <f>IFERROR(__xludf.DUMMYFUNCTION("""COMPUTED_VALUE"""),178545.0)</f>
        <v>178545</v>
      </c>
    </row>
    <row r="724">
      <c r="A724" s="2">
        <f>IFERROR(__xludf.DUMMYFUNCTION("""COMPUTED_VALUE"""),45258.64583333333)</f>
        <v>45258.64583</v>
      </c>
      <c r="B724" s="1">
        <f>IFERROR(__xludf.DUMMYFUNCTION("""COMPUTED_VALUE"""),8430.0)</f>
        <v>8430</v>
      </c>
      <c r="C724" s="1">
        <f>IFERROR(__xludf.DUMMYFUNCTION("""COMPUTED_VALUE"""),8520.0)</f>
        <v>8520</v>
      </c>
      <c r="D724" s="1">
        <f>IFERROR(__xludf.DUMMYFUNCTION("""COMPUTED_VALUE"""),8390.0)</f>
        <v>8390</v>
      </c>
      <c r="E724" s="1">
        <f>IFERROR(__xludf.DUMMYFUNCTION("""COMPUTED_VALUE"""),8500.0)</f>
        <v>8500</v>
      </c>
      <c r="F724" s="1">
        <f>IFERROR(__xludf.DUMMYFUNCTION("""COMPUTED_VALUE"""),108246.0)</f>
        <v>108246</v>
      </c>
    </row>
    <row r="725">
      <c r="A725" s="2">
        <f>IFERROR(__xludf.DUMMYFUNCTION("""COMPUTED_VALUE"""),45259.64583333333)</f>
        <v>45259.64583</v>
      </c>
      <c r="B725" s="1">
        <f>IFERROR(__xludf.DUMMYFUNCTION("""COMPUTED_VALUE"""),8530.0)</f>
        <v>8530</v>
      </c>
      <c r="C725" s="1">
        <f>IFERROR(__xludf.DUMMYFUNCTION("""COMPUTED_VALUE"""),9030.0)</f>
        <v>9030</v>
      </c>
      <c r="D725" s="1">
        <f>IFERROR(__xludf.DUMMYFUNCTION("""COMPUTED_VALUE"""),8530.0)</f>
        <v>8530</v>
      </c>
      <c r="E725" s="1">
        <f>IFERROR(__xludf.DUMMYFUNCTION("""COMPUTED_VALUE"""),8800.0)</f>
        <v>8800</v>
      </c>
      <c r="F725" s="1">
        <f>IFERROR(__xludf.DUMMYFUNCTION("""COMPUTED_VALUE"""),287921.0)</f>
        <v>287921</v>
      </c>
    </row>
    <row r="726">
      <c r="A726" s="2">
        <f>IFERROR(__xludf.DUMMYFUNCTION("""COMPUTED_VALUE"""),45260.64583333333)</f>
        <v>45260.64583</v>
      </c>
      <c r="B726" s="1">
        <f>IFERROR(__xludf.DUMMYFUNCTION("""COMPUTED_VALUE"""),8830.0)</f>
        <v>8830</v>
      </c>
      <c r="C726" s="1">
        <f>IFERROR(__xludf.DUMMYFUNCTION("""COMPUTED_VALUE"""),9030.0)</f>
        <v>9030</v>
      </c>
      <c r="D726" s="1">
        <f>IFERROR(__xludf.DUMMYFUNCTION("""COMPUTED_VALUE"""),8710.0)</f>
        <v>8710</v>
      </c>
      <c r="E726" s="1">
        <f>IFERROR(__xludf.DUMMYFUNCTION("""COMPUTED_VALUE"""),8840.0)</f>
        <v>8840</v>
      </c>
      <c r="F726" s="1">
        <f>IFERROR(__xludf.DUMMYFUNCTION("""COMPUTED_VALUE"""),107188.0)</f>
        <v>107188</v>
      </c>
    </row>
    <row r="727">
      <c r="A727" s="2">
        <f>IFERROR(__xludf.DUMMYFUNCTION("""COMPUTED_VALUE"""),45261.64583333333)</f>
        <v>45261.64583</v>
      </c>
      <c r="B727" s="1">
        <f>IFERROR(__xludf.DUMMYFUNCTION("""COMPUTED_VALUE"""),8820.0)</f>
        <v>8820</v>
      </c>
      <c r="C727" s="1">
        <f>IFERROR(__xludf.DUMMYFUNCTION("""COMPUTED_VALUE"""),8980.0)</f>
        <v>8980</v>
      </c>
      <c r="D727" s="1">
        <f>IFERROR(__xludf.DUMMYFUNCTION("""COMPUTED_VALUE"""),8710.0)</f>
        <v>8710</v>
      </c>
      <c r="E727" s="1">
        <f>IFERROR(__xludf.DUMMYFUNCTION("""COMPUTED_VALUE"""),8800.0)</f>
        <v>8800</v>
      </c>
      <c r="F727" s="1">
        <f>IFERROR(__xludf.DUMMYFUNCTION("""COMPUTED_VALUE"""),81918.0)</f>
        <v>81918</v>
      </c>
    </row>
    <row r="728">
      <c r="A728" s="2">
        <f>IFERROR(__xludf.DUMMYFUNCTION("""COMPUTED_VALUE"""),45264.64583333333)</f>
        <v>45264.64583</v>
      </c>
      <c r="B728" s="1">
        <f>IFERROR(__xludf.DUMMYFUNCTION("""COMPUTED_VALUE"""),8990.0)</f>
        <v>8990</v>
      </c>
      <c r="C728" s="1">
        <f>IFERROR(__xludf.DUMMYFUNCTION("""COMPUTED_VALUE"""),8990.0)</f>
        <v>8990</v>
      </c>
      <c r="D728" s="1">
        <f>IFERROR(__xludf.DUMMYFUNCTION("""COMPUTED_VALUE"""),8600.0)</f>
        <v>8600</v>
      </c>
      <c r="E728" s="1">
        <f>IFERROR(__xludf.DUMMYFUNCTION("""COMPUTED_VALUE"""),8650.0)</f>
        <v>8650</v>
      </c>
      <c r="F728" s="1">
        <f>IFERROR(__xludf.DUMMYFUNCTION("""COMPUTED_VALUE"""),82602.0)</f>
        <v>82602</v>
      </c>
    </row>
    <row r="729">
      <c r="A729" s="2">
        <f>IFERROR(__xludf.DUMMYFUNCTION("""COMPUTED_VALUE"""),45265.64583333333)</f>
        <v>45265.64583</v>
      </c>
      <c r="B729" s="1">
        <f>IFERROR(__xludf.DUMMYFUNCTION("""COMPUTED_VALUE"""),8610.0)</f>
        <v>8610</v>
      </c>
      <c r="C729" s="1">
        <f>IFERROR(__xludf.DUMMYFUNCTION("""COMPUTED_VALUE"""),8610.0)</f>
        <v>8610</v>
      </c>
      <c r="D729" s="1">
        <f>IFERROR(__xludf.DUMMYFUNCTION("""COMPUTED_VALUE"""),8100.0)</f>
        <v>8100</v>
      </c>
      <c r="E729" s="1">
        <f>IFERROR(__xludf.DUMMYFUNCTION("""COMPUTED_VALUE"""),8240.0)</f>
        <v>8240</v>
      </c>
      <c r="F729" s="1">
        <f>IFERROR(__xludf.DUMMYFUNCTION("""COMPUTED_VALUE"""),112486.0)</f>
        <v>112486</v>
      </c>
    </row>
    <row r="730">
      <c r="A730" s="2">
        <f>IFERROR(__xludf.DUMMYFUNCTION("""COMPUTED_VALUE"""),45266.64583333333)</f>
        <v>45266.64583</v>
      </c>
      <c r="B730" s="1">
        <f>IFERROR(__xludf.DUMMYFUNCTION("""COMPUTED_VALUE"""),8230.0)</f>
        <v>8230</v>
      </c>
      <c r="C730" s="1">
        <f>IFERROR(__xludf.DUMMYFUNCTION("""COMPUTED_VALUE"""),8390.0)</f>
        <v>8390</v>
      </c>
      <c r="D730" s="1">
        <f>IFERROR(__xludf.DUMMYFUNCTION("""COMPUTED_VALUE"""),8200.0)</f>
        <v>8200</v>
      </c>
      <c r="E730" s="1">
        <f>IFERROR(__xludf.DUMMYFUNCTION("""COMPUTED_VALUE"""),8280.0)</f>
        <v>8280</v>
      </c>
      <c r="F730" s="1">
        <f>IFERROR(__xludf.DUMMYFUNCTION("""COMPUTED_VALUE"""),53470.0)</f>
        <v>53470</v>
      </c>
    </row>
    <row r="731">
      <c r="A731" s="2">
        <f>IFERROR(__xludf.DUMMYFUNCTION("""COMPUTED_VALUE"""),45267.64583333333)</f>
        <v>45267.64583</v>
      </c>
      <c r="B731" s="1">
        <f>IFERROR(__xludf.DUMMYFUNCTION("""COMPUTED_VALUE"""),8340.0)</f>
        <v>8340</v>
      </c>
      <c r="C731" s="1">
        <f>IFERROR(__xludf.DUMMYFUNCTION("""COMPUTED_VALUE"""),8560.0)</f>
        <v>8560</v>
      </c>
      <c r="D731" s="1">
        <f>IFERROR(__xludf.DUMMYFUNCTION("""COMPUTED_VALUE"""),8230.0)</f>
        <v>8230</v>
      </c>
      <c r="E731" s="1">
        <f>IFERROR(__xludf.DUMMYFUNCTION("""COMPUTED_VALUE"""),8470.0)</f>
        <v>8470</v>
      </c>
      <c r="F731" s="1">
        <f>IFERROR(__xludf.DUMMYFUNCTION("""COMPUTED_VALUE"""),70197.0)</f>
        <v>70197</v>
      </c>
    </row>
    <row r="732">
      <c r="A732" s="2">
        <f>IFERROR(__xludf.DUMMYFUNCTION("""COMPUTED_VALUE"""),45268.64583333333)</f>
        <v>45268.64583</v>
      </c>
      <c r="B732" s="1">
        <f>IFERROR(__xludf.DUMMYFUNCTION("""COMPUTED_VALUE"""),8600.0)</f>
        <v>8600</v>
      </c>
      <c r="C732" s="1">
        <f>IFERROR(__xludf.DUMMYFUNCTION("""COMPUTED_VALUE"""),8710.0)</f>
        <v>8710</v>
      </c>
      <c r="D732" s="1">
        <f>IFERROR(__xludf.DUMMYFUNCTION("""COMPUTED_VALUE"""),8390.0)</f>
        <v>8390</v>
      </c>
      <c r="E732" s="1">
        <f>IFERROR(__xludf.DUMMYFUNCTION("""COMPUTED_VALUE"""),8490.0)</f>
        <v>8490</v>
      </c>
      <c r="F732" s="1">
        <f>IFERROR(__xludf.DUMMYFUNCTION("""COMPUTED_VALUE"""),52495.0)</f>
        <v>52495</v>
      </c>
    </row>
    <row r="733">
      <c r="A733" s="2">
        <f>IFERROR(__xludf.DUMMYFUNCTION("""COMPUTED_VALUE"""),45271.64583333333)</f>
        <v>45271.64583</v>
      </c>
      <c r="B733" s="1">
        <f>IFERROR(__xludf.DUMMYFUNCTION("""COMPUTED_VALUE"""),8490.0)</f>
        <v>8490</v>
      </c>
      <c r="C733" s="1">
        <f>IFERROR(__xludf.DUMMYFUNCTION("""COMPUTED_VALUE"""),8920.0)</f>
        <v>8920</v>
      </c>
      <c r="D733" s="1">
        <f>IFERROR(__xludf.DUMMYFUNCTION("""COMPUTED_VALUE"""),8450.0)</f>
        <v>8450</v>
      </c>
      <c r="E733" s="1">
        <f>IFERROR(__xludf.DUMMYFUNCTION("""COMPUTED_VALUE"""),8840.0)</f>
        <v>8840</v>
      </c>
      <c r="F733" s="1">
        <f>IFERROR(__xludf.DUMMYFUNCTION("""COMPUTED_VALUE"""),172777.0)</f>
        <v>172777</v>
      </c>
    </row>
    <row r="734">
      <c r="A734" s="2">
        <f>IFERROR(__xludf.DUMMYFUNCTION("""COMPUTED_VALUE"""),45272.64583333333)</f>
        <v>45272.64583</v>
      </c>
      <c r="B734" s="1">
        <f>IFERROR(__xludf.DUMMYFUNCTION("""COMPUTED_VALUE"""),8850.0)</f>
        <v>8850</v>
      </c>
      <c r="C734" s="1">
        <f>IFERROR(__xludf.DUMMYFUNCTION("""COMPUTED_VALUE"""),8870.0)</f>
        <v>8870</v>
      </c>
      <c r="D734" s="1">
        <f>IFERROR(__xludf.DUMMYFUNCTION("""COMPUTED_VALUE"""),8600.0)</f>
        <v>8600</v>
      </c>
      <c r="E734" s="1">
        <f>IFERROR(__xludf.DUMMYFUNCTION("""COMPUTED_VALUE"""),8700.0)</f>
        <v>8700</v>
      </c>
      <c r="F734" s="1">
        <f>IFERROR(__xludf.DUMMYFUNCTION("""COMPUTED_VALUE"""),76998.0)</f>
        <v>76998</v>
      </c>
    </row>
    <row r="735">
      <c r="A735" s="2">
        <f>IFERROR(__xludf.DUMMYFUNCTION("""COMPUTED_VALUE"""),45273.64583333333)</f>
        <v>45273.64583</v>
      </c>
      <c r="B735" s="1">
        <f>IFERROR(__xludf.DUMMYFUNCTION("""COMPUTED_VALUE"""),8750.0)</f>
        <v>8750</v>
      </c>
      <c r="C735" s="1">
        <f>IFERROR(__xludf.DUMMYFUNCTION("""COMPUTED_VALUE"""),8750.0)</f>
        <v>8750</v>
      </c>
      <c r="D735" s="1">
        <f>IFERROR(__xludf.DUMMYFUNCTION("""COMPUTED_VALUE"""),8370.0)</f>
        <v>8370</v>
      </c>
      <c r="E735" s="1">
        <f>IFERROR(__xludf.DUMMYFUNCTION("""COMPUTED_VALUE"""),8450.0)</f>
        <v>8450</v>
      </c>
      <c r="F735" s="1">
        <f>IFERROR(__xludf.DUMMYFUNCTION("""COMPUTED_VALUE"""),91147.0)</f>
        <v>91147</v>
      </c>
    </row>
    <row r="736">
      <c r="A736" s="2">
        <f>IFERROR(__xludf.DUMMYFUNCTION("""COMPUTED_VALUE"""),45274.64583333333)</f>
        <v>45274.64583</v>
      </c>
      <c r="B736" s="1">
        <f>IFERROR(__xludf.DUMMYFUNCTION("""COMPUTED_VALUE"""),8480.0)</f>
        <v>8480</v>
      </c>
      <c r="C736" s="1">
        <f>IFERROR(__xludf.DUMMYFUNCTION("""COMPUTED_VALUE"""),8660.0)</f>
        <v>8660</v>
      </c>
      <c r="D736" s="1">
        <f>IFERROR(__xludf.DUMMYFUNCTION("""COMPUTED_VALUE"""),8440.0)</f>
        <v>8440</v>
      </c>
      <c r="E736" s="1">
        <f>IFERROR(__xludf.DUMMYFUNCTION("""COMPUTED_VALUE"""),8610.0)</f>
        <v>8610</v>
      </c>
      <c r="F736" s="1">
        <f>IFERROR(__xludf.DUMMYFUNCTION("""COMPUTED_VALUE"""),63685.0)</f>
        <v>63685</v>
      </c>
    </row>
    <row r="737">
      <c r="A737" s="2">
        <f>IFERROR(__xludf.DUMMYFUNCTION("""COMPUTED_VALUE"""),45275.64583333333)</f>
        <v>45275.64583</v>
      </c>
      <c r="B737" s="1">
        <f>IFERROR(__xludf.DUMMYFUNCTION("""COMPUTED_VALUE"""),8700.0)</f>
        <v>8700</v>
      </c>
      <c r="C737" s="1">
        <f>IFERROR(__xludf.DUMMYFUNCTION("""COMPUTED_VALUE"""),8700.0)</f>
        <v>8700</v>
      </c>
      <c r="D737" s="1">
        <f>IFERROR(__xludf.DUMMYFUNCTION("""COMPUTED_VALUE"""),8400.0)</f>
        <v>8400</v>
      </c>
      <c r="E737" s="1">
        <f>IFERROR(__xludf.DUMMYFUNCTION("""COMPUTED_VALUE"""),8550.0)</f>
        <v>8550</v>
      </c>
      <c r="F737" s="1">
        <f>IFERROR(__xludf.DUMMYFUNCTION("""COMPUTED_VALUE"""),97863.0)</f>
        <v>97863</v>
      </c>
    </row>
    <row r="738">
      <c r="A738" s="2">
        <f>IFERROR(__xludf.DUMMYFUNCTION("""COMPUTED_VALUE"""),45278.64583333333)</f>
        <v>45278.64583</v>
      </c>
      <c r="B738" s="1">
        <f>IFERROR(__xludf.DUMMYFUNCTION("""COMPUTED_VALUE"""),8640.0)</f>
        <v>8640</v>
      </c>
      <c r="C738" s="1">
        <f>IFERROR(__xludf.DUMMYFUNCTION("""COMPUTED_VALUE"""),8640.0)</f>
        <v>8640</v>
      </c>
      <c r="D738" s="1">
        <f>IFERROR(__xludf.DUMMYFUNCTION("""COMPUTED_VALUE"""),8410.0)</f>
        <v>8410</v>
      </c>
      <c r="E738" s="1">
        <f>IFERROR(__xludf.DUMMYFUNCTION("""COMPUTED_VALUE"""),8460.0)</f>
        <v>8460</v>
      </c>
      <c r="F738" s="1">
        <f>IFERROR(__xludf.DUMMYFUNCTION("""COMPUTED_VALUE"""),98620.0)</f>
        <v>98620</v>
      </c>
    </row>
    <row r="739">
      <c r="A739" s="2">
        <f>IFERROR(__xludf.DUMMYFUNCTION("""COMPUTED_VALUE"""),45279.64583333333)</f>
        <v>45279.64583</v>
      </c>
      <c r="B739" s="1">
        <f>IFERROR(__xludf.DUMMYFUNCTION("""COMPUTED_VALUE"""),8350.0)</f>
        <v>8350</v>
      </c>
      <c r="C739" s="1">
        <f>IFERROR(__xludf.DUMMYFUNCTION("""COMPUTED_VALUE"""),8440.0)</f>
        <v>8440</v>
      </c>
      <c r="D739" s="1">
        <f>IFERROR(__xludf.DUMMYFUNCTION("""COMPUTED_VALUE"""),8260.0)</f>
        <v>8260</v>
      </c>
      <c r="E739" s="1">
        <f>IFERROR(__xludf.DUMMYFUNCTION("""COMPUTED_VALUE"""),8280.0)</f>
        <v>8280</v>
      </c>
      <c r="F739" s="1">
        <f>IFERROR(__xludf.DUMMYFUNCTION("""COMPUTED_VALUE"""),117608.0)</f>
        <v>117608</v>
      </c>
    </row>
    <row r="740">
      <c r="A740" s="2">
        <f>IFERROR(__xludf.DUMMYFUNCTION("""COMPUTED_VALUE"""),45280.64583333333)</f>
        <v>45280.64583</v>
      </c>
      <c r="B740" s="1">
        <f>IFERROR(__xludf.DUMMYFUNCTION("""COMPUTED_VALUE"""),8300.0)</f>
        <v>8300</v>
      </c>
      <c r="C740" s="1">
        <f>IFERROR(__xludf.DUMMYFUNCTION("""COMPUTED_VALUE"""),8340.0)</f>
        <v>8340</v>
      </c>
      <c r="D740" s="1">
        <f>IFERROR(__xludf.DUMMYFUNCTION("""COMPUTED_VALUE"""),7950.0)</f>
        <v>7950</v>
      </c>
      <c r="E740" s="1">
        <f>IFERROR(__xludf.DUMMYFUNCTION("""COMPUTED_VALUE"""),8000.0)</f>
        <v>8000</v>
      </c>
      <c r="F740" s="1">
        <f>IFERROR(__xludf.DUMMYFUNCTION("""COMPUTED_VALUE"""),303841.0)</f>
        <v>303841</v>
      </c>
    </row>
    <row r="741">
      <c r="A741" s="2">
        <f>IFERROR(__xludf.DUMMYFUNCTION("""COMPUTED_VALUE"""),45281.64583333333)</f>
        <v>45281.64583</v>
      </c>
      <c r="B741" s="1">
        <f>IFERROR(__xludf.DUMMYFUNCTION("""COMPUTED_VALUE"""),7920.0)</f>
        <v>7920</v>
      </c>
      <c r="C741" s="1">
        <f>IFERROR(__xludf.DUMMYFUNCTION("""COMPUTED_VALUE"""),8040.0)</f>
        <v>8040</v>
      </c>
      <c r="D741" s="1">
        <f>IFERROR(__xludf.DUMMYFUNCTION("""COMPUTED_VALUE"""),7760.0)</f>
        <v>7760</v>
      </c>
      <c r="E741" s="1">
        <f>IFERROR(__xludf.DUMMYFUNCTION("""COMPUTED_VALUE"""),7770.0)</f>
        <v>7770</v>
      </c>
      <c r="F741" s="1">
        <f>IFERROR(__xludf.DUMMYFUNCTION("""COMPUTED_VALUE"""),159110.0)</f>
        <v>159110</v>
      </c>
    </row>
    <row r="742">
      <c r="A742" s="2">
        <f>IFERROR(__xludf.DUMMYFUNCTION("""COMPUTED_VALUE"""),45282.64583333333)</f>
        <v>45282.64583</v>
      </c>
      <c r="B742" s="1">
        <f>IFERROR(__xludf.DUMMYFUNCTION("""COMPUTED_VALUE"""),7770.0)</f>
        <v>7770</v>
      </c>
      <c r="C742" s="1">
        <f>IFERROR(__xludf.DUMMYFUNCTION("""COMPUTED_VALUE"""),7890.0)</f>
        <v>7890</v>
      </c>
      <c r="D742" s="1">
        <f>IFERROR(__xludf.DUMMYFUNCTION("""COMPUTED_VALUE"""),7710.0)</f>
        <v>7710</v>
      </c>
      <c r="E742" s="1">
        <f>IFERROR(__xludf.DUMMYFUNCTION("""COMPUTED_VALUE"""),7780.0)</f>
        <v>7780</v>
      </c>
      <c r="F742" s="1">
        <f>IFERROR(__xludf.DUMMYFUNCTION("""COMPUTED_VALUE"""),78377.0)</f>
        <v>78377</v>
      </c>
    </row>
    <row r="743">
      <c r="A743" s="2">
        <f>IFERROR(__xludf.DUMMYFUNCTION("""COMPUTED_VALUE"""),45286.64583333333)</f>
        <v>45286.64583</v>
      </c>
      <c r="B743" s="1">
        <f>IFERROR(__xludf.DUMMYFUNCTION("""COMPUTED_VALUE"""),7790.0)</f>
        <v>7790</v>
      </c>
      <c r="C743" s="1">
        <f>IFERROR(__xludf.DUMMYFUNCTION("""COMPUTED_VALUE"""),7890.0)</f>
        <v>7890</v>
      </c>
      <c r="D743" s="1">
        <f>IFERROR(__xludf.DUMMYFUNCTION("""COMPUTED_VALUE"""),7560.0)</f>
        <v>7560</v>
      </c>
      <c r="E743" s="1">
        <f>IFERROR(__xludf.DUMMYFUNCTION("""COMPUTED_VALUE"""),7580.0)</f>
        <v>7580</v>
      </c>
      <c r="F743" s="1">
        <f>IFERROR(__xludf.DUMMYFUNCTION("""COMPUTED_VALUE"""),96839.0)</f>
        <v>96839</v>
      </c>
    </row>
    <row r="744">
      <c r="A744" s="2">
        <f>IFERROR(__xludf.DUMMYFUNCTION("""COMPUTED_VALUE"""),45287.64583333333)</f>
        <v>45287.64583</v>
      </c>
      <c r="B744" s="1">
        <f>IFERROR(__xludf.DUMMYFUNCTION("""COMPUTED_VALUE"""),7580.0)</f>
        <v>7580</v>
      </c>
      <c r="C744" s="1">
        <f>IFERROR(__xludf.DUMMYFUNCTION("""COMPUTED_VALUE"""),7770.0)</f>
        <v>7770</v>
      </c>
      <c r="D744" s="1">
        <f>IFERROR(__xludf.DUMMYFUNCTION("""COMPUTED_VALUE"""),7580.0)</f>
        <v>7580</v>
      </c>
      <c r="E744" s="1">
        <f>IFERROR(__xludf.DUMMYFUNCTION("""COMPUTED_VALUE"""),7760.0)</f>
        <v>7760</v>
      </c>
      <c r="F744" s="1">
        <f>IFERROR(__xludf.DUMMYFUNCTION("""COMPUTED_VALUE"""),60349.0)</f>
        <v>60349</v>
      </c>
    </row>
    <row r="745">
      <c r="A745" s="2">
        <f>IFERROR(__xludf.DUMMYFUNCTION("""COMPUTED_VALUE"""),45288.64583333333)</f>
        <v>45288.64583</v>
      </c>
      <c r="B745" s="1">
        <f>IFERROR(__xludf.DUMMYFUNCTION("""COMPUTED_VALUE"""),7800.0)</f>
        <v>7800</v>
      </c>
      <c r="C745" s="1">
        <f>IFERROR(__xludf.DUMMYFUNCTION("""COMPUTED_VALUE"""),7950.0)</f>
        <v>7950</v>
      </c>
      <c r="D745" s="1">
        <f>IFERROR(__xludf.DUMMYFUNCTION("""COMPUTED_VALUE"""),7650.0)</f>
        <v>7650</v>
      </c>
      <c r="E745" s="1">
        <f>IFERROR(__xludf.DUMMYFUNCTION("""COMPUTED_VALUE"""),7950.0)</f>
        <v>7950</v>
      </c>
      <c r="F745" s="1">
        <f>IFERROR(__xludf.DUMMYFUNCTION("""COMPUTED_VALUE"""),74923.0)</f>
        <v>74923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IFERROR(__xludf.DUMMYFUNCTION("GOOGLEFINANCE(""KOSDAQ:203650"", ""all"", DATE(2012,1,1), DATE(2023,12,31),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IFERROR(__xludf.DUMMYFUNCTION("""COMPUTED_VALUE"""),41925.645833333336)</f>
        <v>41925.64583</v>
      </c>
      <c r="B2" s="1">
        <f>IFERROR(__xludf.DUMMYFUNCTION("""COMPUTED_VALUE"""),1863.36)</f>
        <v>1863.36</v>
      </c>
      <c r="C2" s="1">
        <f>IFERROR(__xludf.DUMMYFUNCTION("""COMPUTED_VALUE"""),1872.72)</f>
        <v>1872.72</v>
      </c>
      <c r="D2" s="1">
        <f>IFERROR(__xludf.DUMMYFUNCTION("""COMPUTED_VALUE"""),1858.68)</f>
        <v>1858.68</v>
      </c>
      <c r="E2" s="1">
        <f>IFERROR(__xludf.DUMMYFUNCTION("""COMPUTED_VALUE"""),1868.04)</f>
        <v>1868.04</v>
      </c>
      <c r="F2" s="1">
        <f>IFERROR(__xludf.DUMMYFUNCTION("""COMPUTED_VALUE"""),889810.0)</f>
        <v>889810</v>
      </c>
    </row>
    <row r="3">
      <c r="A3" s="2">
        <f>IFERROR(__xludf.DUMMYFUNCTION("""COMPUTED_VALUE"""),41926.645833333336)</f>
        <v>41926.64583</v>
      </c>
      <c r="B3" s="1">
        <f>IFERROR(__xludf.DUMMYFUNCTION("""COMPUTED_VALUE"""),1872.72)</f>
        <v>1872.72</v>
      </c>
      <c r="C3" s="1">
        <f>IFERROR(__xludf.DUMMYFUNCTION("""COMPUTED_VALUE"""),1872.72)</f>
        <v>1872.72</v>
      </c>
      <c r="D3" s="1">
        <f>IFERROR(__xludf.DUMMYFUNCTION("""COMPUTED_VALUE"""),1863.36)</f>
        <v>1863.36</v>
      </c>
      <c r="E3" s="1">
        <f>IFERROR(__xludf.DUMMYFUNCTION("""COMPUTED_VALUE"""),1868.04)</f>
        <v>1868.04</v>
      </c>
      <c r="F3" s="1">
        <f>IFERROR(__xludf.DUMMYFUNCTION("""COMPUTED_VALUE"""),93186.0)</f>
        <v>93186</v>
      </c>
    </row>
    <row r="4">
      <c r="A4" s="2">
        <f>IFERROR(__xludf.DUMMYFUNCTION("""COMPUTED_VALUE"""),41927.645833333336)</f>
        <v>41927.64583</v>
      </c>
      <c r="B4" s="1">
        <f>IFERROR(__xludf.DUMMYFUNCTION("""COMPUTED_VALUE"""),1868.04)</f>
        <v>1868.04</v>
      </c>
      <c r="C4" s="1">
        <f>IFERROR(__xludf.DUMMYFUNCTION("""COMPUTED_VALUE"""),1872.72)</f>
        <v>1872.72</v>
      </c>
      <c r="D4" s="1">
        <f>IFERROR(__xludf.DUMMYFUNCTION("""COMPUTED_VALUE"""),1863.36)</f>
        <v>1863.36</v>
      </c>
      <c r="E4" s="1">
        <f>IFERROR(__xludf.DUMMYFUNCTION("""COMPUTED_VALUE"""),1863.36)</f>
        <v>1863.36</v>
      </c>
      <c r="F4" s="1">
        <f>IFERROR(__xludf.DUMMYFUNCTION("""COMPUTED_VALUE"""),38549.0)</f>
        <v>38549</v>
      </c>
    </row>
    <row r="5">
      <c r="A5" s="2">
        <f>IFERROR(__xludf.DUMMYFUNCTION("""COMPUTED_VALUE"""),41928.645833333336)</f>
        <v>41928.64583</v>
      </c>
      <c r="B5" s="1">
        <f>IFERROR(__xludf.DUMMYFUNCTION("""COMPUTED_VALUE"""),1858.68)</f>
        <v>1858.68</v>
      </c>
      <c r="C5" s="1">
        <f>IFERROR(__xludf.DUMMYFUNCTION("""COMPUTED_VALUE"""),1868.04)</f>
        <v>1868.04</v>
      </c>
      <c r="D5" s="1">
        <f>IFERROR(__xludf.DUMMYFUNCTION("""COMPUTED_VALUE"""),1853.99)</f>
        <v>1853.99</v>
      </c>
      <c r="E5" s="1">
        <f>IFERROR(__xludf.DUMMYFUNCTION("""COMPUTED_VALUE"""),1863.36)</f>
        <v>1863.36</v>
      </c>
      <c r="F5" s="1">
        <f>IFERROR(__xludf.DUMMYFUNCTION("""COMPUTED_VALUE"""),98212.0)</f>
        <v>98212</v>
      </c>
    </row>
    <row r="6">
      <c r="A6" s="2">
        <f>IFERROR(__xludf.DUMMYFUNCTION("""COMPUTED_VALUE"""),41929.645833333336)</f>
        <v>41929.64583</v>
      </c>
      <c r="B6" s="1">
        <f>IFERROR(__xludf.DUMMYFUNCTION("""COMPUTED_VALUE"""),1863.36)</f>
        <v>1863.36</v>
      </c>
      <c r="C6" s="1">
        <f>IFERROR(__xludf.DUMMYFUNCTION("""COMPUTED_VALUE"""),1877.4)</f>
        <v>1877.4</v>
      </c>
      <c r="D6" s="1">
        <f>IFERROR(__xludf.DUMMYFUNCTION("""COMPUTED_VALUE"""),1858.68)</f>
        <v>1858.68</v>
      </c>
      <c r="E6" s="1">
        <f>IFERROR(__xludf.DUMMYFUNCTION("""COMPUTED_VALUE"""),1877.4)</f>
        <v>1877.4</v>
      </c>
      <c r="F6" s="1">
        <f>IFERROR(__xludf.DUMMYFUNCTION("""COMPUTED_VALUE"""),192455.0)</f>
        <v>192455</v>
      </c>
    </row>
    <row r="7">
      <c r="A7" s="2">
        <f>IFERROR(__xludf.DUMMYFUNCTION("""COMPUTED_VALUE"""),41932.645833333336)</f>
        <v>41932.64583</v>
      </c>
      <c r="B7" s="1">
        <f>IFERROR(__xludf.DUMMYFUNCTION("""COMPUTED_VALUE"""),1868.04)</f>
        <v>1868.04</v>
      </c>
      <c r="C7" s="1">
        <f>IFERROR(__xludf.DUMMYFUNCTION("""COMPUTED_VALUE"""),1886.77)</f>
        <v>1886.77</v>
      </c>
      <c r="D7" s="1">
        <f>IFERROR(__xludf.DUMMYFUNCTION("""COMPUTED_VALUE"""),1863.36)</f>
        <v>1863.36</v>
      </c>
      <c r="E7" s="1">
        <f>IFERROR(__xludf.DUMMYFUNCTION("""COMPUTED_VALUE"""),1872.72)</f>
        <v>1872.72</v>
      </c>
      <c r="F7" s="1">
        <f>IFERROR(__xludf.DUMMYFUNCTION("""COMPUTED_VALUE"""),206057.0)</f>
        <v>206057</v>
      </c>
    </row>
    <row r="8">
      <c r="A8" s="2">
        <f>IFERROR(__xludf.DUMMYFUNCTION("""COMPUTED_VALUE"""),41933.645833333336)</f>
        <v>41933.64583</v>
      </c>
      <c r="B8" s="1">
        <f>IFERROR(__xludf.DUMMYFUNCTION("""COMPUTED_VALUE"""),1872.72)</f>
        <v>1872.72</v>
      </c>
      <c r="C8" s="1">
        <f>IFERROR(__xludf.DUMMYFUNCTION("""COMPUTED_VALUE"""),1882.09)</f>
        <v>1882.09</v>
      </c>
      <c r="D8" s="1">
        <f>IFERROR(__xludf.DUMMYFUNCTION("""COMPUTED_VALUE"""),1872.72)</f>
        <v>1872.72</v>
      </c>
      <c r="E8" s="1">
        <f>IFERROR(__xludf.DUMMYFUNCTION("""COMPUTED_VALUE"""),1882.09)</f>
        <v>1882.09</v>
      </c>
      <c r="F8" s="1">
        <f>IFERROR(__xludf.DUMMYFUNCTION("""COMPUTED_VALUE"""),37803.0)</f>
        <v>37803</v>
      </c>
    </row>
    <row r="9">
      <c r="A9" s="2">
        <f>IFERROR(__xludf.DUMMYFUNCTION("""COMPUTED_VALUE"""),41934.645833333336)</f>
        <v>41934.64583</v>
      </c>
      <c r="B9" s="1">
        <f>IFERROR(__xludf.DUMMYFUNCTION("""COMPUTED_VALUE"""),1872.72)</f>
        <v>1872.72</v>
      </c>
      <c r="C9" s="1">
        <f>IFERROR(__xludf.DUMMYFUNCTION("""COMPUTED_VALUE"""),1882.09)</f>
        <v>1882.09</v>
      </c>
      <c r="D9" s="1">
        <f>IFERROR(__xludf.DUMMYFUNCTION("""COMPUTED_VALUE"""),1872.72)</f>
        <v>1872.72</v>
      </c>
      <c r="E9" s="1">
        <f>IFERROR(__xludf.DUMMYFUNCTION("""COMPUTED_VALUE"""),1877.4)</f>
        <v>1877.4</v>
      </c>
      <c r="F9" s="1">
        <f>IFERROR(__xludf.DUMMYFUNCTION("""COMPUTED_VALUE"""),43732.0)</f>
        <v>43732</v>
      </c>
    </row>
    <row r="10">
      <c r="A10" s="2">
        <f>IFERROR(__xludf.DUMMYFUNCTION("""COMPUTED_VALUE"""),41935.645833333336)</f>
        <v>41935.64583</v>
      </c>
      <c r="B10" s="1">
        <f>IFERROR(__xludf.DUMMYFUNCTION("""COMPUTED_VALUE"""),1877.4)</f>
        <v>1877.4</v>
      </c>
      <c r="C10" s="1">
        <f>IFERROR(__xludf.DUMMYFUNCTION("""COMPUTED_VALUE"""),1877.4)</f>
        <v>1877.4</v>
      </c>
      <c r="D10" s="1">
        <f>IFERROR(__xludf.DUMMYFUNCTION("""COMPUTED_VALUE"""),1872.72)</f>
        <v>1872.72</v>
      </c>
      <c r="E10" s="1">
        <f>IFERROR(__xludf.DUMMYFUNCTION("""COMPUTED_VALUE"""),1877.4)</f>
        <v>1877.4</v>
      </c>
      <c r="F10" s="1">
        <f>IFERROR(__xludf.DUMMYFUNCTION("""COMPUTED_VALUE"""),52154.0)</f>
        <v>52154</v>
      </c>
    </row>
    <row r="11">
      <c r="A11" s="2">
        <f>IFERROR(__xludf.DUMMYFUNCTION("""COMPUTED_VALUE"""),41936.645833333336)</f>
        <v>41936.64583</v>
      </c>
      <c r="B11" s="1">
        <f>IFERROR(__xludf.DUMMYFUNCTION("""COMPUTED_VALUE"""),1877.4)</f>
        <v>1877.4</v>
      </c>
      <c r="C11" s="1">
        <f>IFERROR(__xludf.DUMMYFUNCTION("""COMPUTED_VALUE"""),1886.77)</f>
        <v>1886.77</v>
      </c>
      <c r="D11" s="1">
        <f>IFERROR(__xludf.DUMMYFUNCTION("""COMPUTED_VALUE"""),1877.4)</f>
        <v>1877.4</v>
      </c>
      <c r="E11" s="1">
        <f>IFERROR(__xludf.DUMMYFUNCTION("""COMPUTED_VALUE"""),1882.09)</f>
        <v>1882.09</v>
      </c>
      <c r="F11" s="1">
        <f>IFERROR(__xludf.DUMMYFUNCTION("""COMPUTED_VALUE"""),56588.0)</f>
        <v>56588</v>
      </c>
    </row>
    <row r="12">
      <c r="A12" s="2">
        <f>IFERROR(__xludf.DUMMYFUNCTION("""COMPUTED_VALUE"""),41939.645833333336)</f>
        <v>41939.64583</v>
      </c>
      <c r="B12" s="1">
        <f>IFERROR(__xludf.DUMMYFUNCTION("""COMPUTED_VALUE"""),1882.09)</f>
        <v>1882.09</v>
      </c>
      <c r="C12" s="1">
        <f>IFERROR(__xludf.DUMMYFUNCTION("""COMPUTED_VALUE"""),1886.77)</f>
        <v>1886.77</v>
      </c>
      <c r="D12" s="1">
        <f>IFERROR(__xludf.DUMMYFUNCTION("""COMPUTED_VALUE"""),1877.4)</f>
        <v>1877.4</v>
      </c>
      <c r="E12" s="1">
        <f>IFERROR(__xludf.DUMMYFUNCTION("""COMPUTED_VALUE"""),1886.77)</f>
        <v>1886.77</v>
      </c>
      <c r="F12" s="1">
        <f>IFERROR(__xludf.DUMMYFUNCTION("""COMPUTED_VALUE"""),60835.0)</f>
        <v>60835</v>
      </c>
    </row>
    <row r="13">
      <c r="A13" s="2">
        <f>IFERROR(__xludf.DUMMYFUNCTION("""COMPUTED_VALUE"""),41940.645833333336)</f>
        <v>41940.64583</v>
      </c>
      <c r="B13" s="1">
        <f>IFERROR(__xludf.DUMMYFUNCTION("""COMPUTED_VALUE"""),1886.77)</f>
        <v>1886.77</v>
      </c>
      <c r="C13" s="1">
        <f>IFERROR(__xludf.DUMMYFUNCTION("""COMPUTED_VALUE"""),2167.68)</f>
        <v>2167.68</v>
      </c>
      <c r="D13" s="1">
        <f>IFERROR(__xludf.DUMMYFUNCTION("""COMPUTED_VALUE"""),1882.09)</f>
        <v>1882.09</v>
      </c>
      <c r="E13" s="1">
        <f>IFERROR(__xludf.DUMMYFUNCTION("""COMPUTED_VALUE"""),1985.09)</f>
        <v>1985.09</v>
      </c>
      <c r="F13" s="1">
        <f>IFERROR(__xludf.DUMMYFUNCTION("""COMPUTED_VALUE"""),310941.0)</f>
        <v>310941</v>
      </c>
    </row>
    <row r="14">
      <c r="A14" s="2">
        <f>IFERROR(__xludf.DUMMYFUNCTION("""COMPUTED_VALUE"""),41941.645833333336)</f>
        <v>41941.64583</v>
      </c>
      <c r="B14" s="1">
        <f>IFERROR(__xludf.DUMMYFUNCTION("""COMPUTED_VALUE"""),1985.09)</f>
        <v>1985.09</v>
      </c>
      <c r="C14" s="1">
        <f>IFERROR(__xludf.DUMMYFUNCTION("""COMPUTED_VALUE"""),2144.27)</f>
        <v>2144.27</v>
      </c>
      <c r="D14" s="1">
        <f>IFERROR(__xludf.DUMMYFUNCTION("""COMPUTED_VALUE"""),1980.4)</f>
        <v>1980.4</v>
      </c>
      <c r="E14" s="1">
        <f>IFERROR(__xludf.DUMMYFUNCTION("""COMPUTED_VALUE"""),2055.31)</f>
        <v>2055.31</v>
      </c>
      <c r="F14" s="1">
        <f>IFERROR(__xludf.DUMMYFUNCTION("""COMPUTED_VALUE"""),370376.0)</f>
        <v>370376</v>
      </c>
    </row>
    <row r="15">
      <c r="A15" s="2">
        <f>IFERROR(__xludf.DUMMYFUNCTION("""COMPUTED_VALUE"""),41942.645833333336)</f>
        <v>41942.64583</v>
      </c>
      <c r="B15" s="1">
        <f>IFERROR(__xludf.DUMMYFUNCTION("""COMPUTED_VALUE"""),2059.99)</f>
        <v>2059.99</v>
      </c>
      <c r="C15" s="1">
        <f>IFERROR(__xludf.DUMMYFUNCTION("""COMPUTED_VALUE"""),2092.77)</f>
        <v>2092.77</v>
      </c>
      <c r="D15" s="1">
        <f>IFERROR(__xludf.DUMMYFUNCTION("""COMPUTED_VALUE"""),1928.9)</f>
        <v>1928.9</v>
      </c>
      <c r="E15" s="1">
        <f>IFERROR(__xludf.DUMMYFUNCTION("""COMPUTED_VALUE"""),1966.36)</f>
        <v>1966.36</v>
      </c>
      <c r="F15" s="1">
        <f>IFERROR(__xludf.DUMMYFUNCTION("""COMPUTED_VALUE"""),153870.0)</f>
        <v>153870</v>
      </c>
    </row>
    <row r="16">
      <c r="A16" s="2">
        <f>IFERROR(__xludf.DUMMYFUNCTION("""COMPUTED_VALUE"""),41943.645833333336)</f>
        <v>41943.64583</v>
      </c>
      <c r="B16" s="1">
        <f>IFERROR(__xludf.DUMMYFUNCTION("""COMPUTED_VALUE"""),1952.31)</f>
        <v>1952.31</v>
      </c>
      <c r="C16" s="1">
        <f>IFERROR(__xludf.DUMMYFUNCTION("""COMPUTED_VALUE"""),1985.09)</f>
        <v>1985.09</v>
      </c>
      <c r="D16" s="1">
        <f>IFERROR(__xludf.DUMMYFUNCTION("""COMPUTED_VALUE"""),1947.63)</f>
        <v>1947.63</v>
      </c>
      <c r="E16" s="1">
        <f>IFERROR(__xludf.DUMMYFUNCTION("""COMPUTED_VALUE"""),1966.36)</f>
        <v>1966.36</v>
      </c>
      <c r="F16" s="1">
        <f>IFERROR(__xludf.DUMMYFUNCTION("""COMPUTED_VALUE"""),32421.0)</f>
        <v>32421</v>
      </c>
    </row>
    <row r="17">
      <c r="A17" s="2">
        <f>IFERROR(__xludf.DUMMYFUNCTION("""COMPUTED_VALUE"""),41946.645833333336)</f>
        <v>41946.64583</v>
      </c>
      <c r="B17" s="1">
        <f>IFERROR(__xludf.DUMMYFUNCTION("""COMPUTED_VALUE"""),1966.36)</f>
        <v>1966.36</v>
      </c>
      <c r="C17" s="1">
        <f>IFERROR(__xludf.DUMMYFUNCTION("""COMPUTED_VALUE"""),1966.36)</f>
        <v>1966.36</v>
      </c>
      <c r="D17" s="1">
        <f>IFERROR(__xludf.DUMMYFUNCTION("""COMPUTED_VALUE"""),1905.49)</f>
        <v>1905.49</v>
      </c>
      <c r="E17" s="1">
        <f>IFERROR(__xludf.DUMMYFUNCTION("""COMPUTED_VALUE"""),1919.54)</f>
        <v>1919.54</v>
      </c>
      <c r="F17" s="1">
        <f>IFERROR(__xludf.DUMMYFUNCTION("""COMPUTED_VALUE"""),99232.0)</f>
        <v>99232</v>
      </c>
    </row>
    <row r="18">
      <c r="A18" s="2">
        <f>IFERROR(__xludf.DUMMYFUNCTION("""COMPUTED_VALUE"""),41947.645833333336)</f>
        <v>41947.64583</v>
      </c>
      <c r="B18" s="1">
        <f>IFERROR(__xludf.DUMMYFUNCTION("""COMPUTED_VALUE"""),1928.9)</f>
        <v>1928.9</v>
      </c>
      <c r="C18" s="1">
        <f>IFERROR(__xludf.DUMMYFUNCTION("""COMPUTED_VALUE"""),1928.9)</f>
        <v>1928.9</v>
      </c>
      <c r="D18" s="1">
        <f>IFERROR(__xludf.DUMMYFUNCTION("""COMPUTED_VALUE"""),1886.77)</f>
        <v>1886.77</v>
      </c>
      <c r="E18" s="1">
        <f>IFERROR(__xludf.DUMMYFUNCTION("""COMPUTED_VALUE"""),1919.54)</f>
        <v>1919.54</v>
      </c>
      <c r="F18" s="1">
        <f>IFERROR(__xludf.DUMMYFUNCTION("""COMPUTED_VALUE"""),130555.0)</f>
        <v>130555</v>
      </c>
    </row>
    <row r="19">
      <c r="A19" s="2">
        <f>IFERROR(__xludf.DUMMYFUNCTION("""COMPUTED_VALUE"""),41948.645833333336)</f>
        <v>41948.64583</v>
      </c>
      <c r="B19" s="1">
        <f>IFERROR(__xludf.DUMMYFUNCTION("""COMPUTED_VALUE"""),1910.18)</f>
        <v>1910.18</v>
      </c>
      <c r="C19" s="1">
        <f>IFERROR(__xludf.DUMMYFUNCTION("""COMPUTED_VALUE"""),1956.99)</f>
        <v>1956.99</v>
      </c>
      <c r="D19" s="1">
        <f>IFERROR(__xludf.DUMMYFUNCTION("""COMPUTED_VALUE"""),1891.45)</f>
        <v>1891.45</v>
      </c>
      <c r="E19" s="1">
        <f>IFERROR(__xludf.DUMMYFUNCTION("""COMPUTED_VALUE"""),1924.22)</f>
        <v>1924.22</v>
      </c>
      <c r="F19" s="1">
        <f>IFERROR(__xludf.DUMMYFUNCTION("""COMPUTED_VALUE"""),61589.0)</f>
        <v>61589</v>
      </c>
    </row>
    <row r="20">
      <c r="A20" s="2">
        <f>IFERROR(__xludf.DUMMYFUNCTION("""COMPUTED_VALUE"""),41949.645833333336)</f>
        <v>41949.64583</v>
      </c>
      <c r="B20" s="1">
        <f>IFERROR(__xludf.DUMMYFUNCTION("""COMPUTED_VALUE"""),1928.9)</f>
        <v>1928.9</v>
      </c>
      <c r="C20" s="1">
        <f>IFERROR(__xludf.DUMMYFUNCTION("""COMPUTED_VALUE"""),1952.31)</f>
        <v>1952.31</v>
      </c>
      <c r="D20" s="1">
        <f>IFERROR(__xludf.DUMMYFUNCTION("""COMPUTED_VALUE"""),1910.18)</f>
        <v>1910.18</v>
      </c>
      <c r="E20" s="1">
        <f>IFERROR(__xludf.DUMMYFUNCTION("""COMPUTED_VALUE"""),1919.54)</f>
        <v>1919.54</v>
      </c>
      <c r="F20" s="1">
        <f>IFERROR(__xludf.DUMMYFUNCTION("""COMPUTED_VALUE"""),40292.0)</f>
        <v>40292</v>
      </c>
    </row>
    <row r="21">
      <c r="A21" s="2">
        <f>IFERROR(__xludf.DUMMYFUNCTION("""COMPUTED_VALUE"""),41950.645833333336)</f>
        <v>41950.64583</v>
      </c>
      <c r="B21" s="1">
        <f>IFERROR(__xludf.DUMMYFUNCTION("""COMPUTED_VALUE"""),1966.36)</f>
        <v>1966.36</v>
      </c>
      <c r="C21" s="1">
        <f>IFERROR(__xludf.DUMMYFUNCTION("""COMPUTED_VALUE"""),2153.63)</f>
        <v>2153.63</v>
      </c>
      <c r="D21" s="1">
        <f>IFERROR(__xludf.DUMMYFUNCTION("""COMPUTED_VALUE"""),1928.9)</f>
        <v>1928.9</v>
      </c>
      <c r="E21" s="1">
        <f>IFERROR(__xludf.DUMMYFUNCTION("""COMPUTED_VALUE"""),2008.49)</f>
        <v>2008.49</v>
      </c>
      <c r="F21" s="1">
        <f>IFERROR(__xludf.DUMMYFUNCTION("""COMPUTED_VALUE"""),115641.0)</f>
        <v>115641</v>
      </c>
    </row>
    <row r="22">
      <c r="A22" s="2">
        <f>IFERROR(__xludf.DUMMYFUNCTION("""COMPUTED_VALUE"""),41953.64583333333)</f>
        <v>41953.64583</v>
      </c>
      <c r="B22" s="1">
        <f>IFERROR(__xludf.DUMMYFUNCTION("""COMPUTED_VALUE"""),1985.09)</f>
        <v>1985.09</v>
      </c>
      <c r="C22" s="1">
        <f>IFERROR(__xludf.DUMMYFUNCTION("""COMPUTED_VALUE"""),2031.9)</f>
        <v>2031.9</v>
      </c>
      <c r="D22" s="1">
        <f>IFERROR(__xludf.DUMMYFUNCTION("""COMPUTED_VALUE"""),1947.63)</f>
        <v>1947.63</v>
      </c>
      <c r="E22" s="1">
        <f>IFERROR(__xludf.DUMMYFUNCTION("""COMPUTED_VALUE"""),1961.68)</f>
        <v>1961.68</v>
      </c>
      <c r="F22" s="1">
        <f>IFERROR(__xludf.DUMMYFUNCTION("""COMPUTED_VALUE"""),23525.0)</f>
        <v>23525</v>
      </c>
    </row>
    <row r="23">
      <c r="A23" s="2">
        <f>IFERROR(__xludf.DUMMYFUNCTION("""COMPUTED_VALUE"""),41954.64583333333)</f>
        <v>41954.64583</v>
      </c>
      <c r="B23" s="1">
        <f>IFERROR(__xludf.DUMMYFUNCTION("""COMPUTED_VALUE"""),1985.09)</f>
        <v>1985.09</v>
      </c>
      <c r="C23" s="1">
        <f>IFERROR(__xludf.DUMMYFUNCTION("""COMPUTED_VALUE"""),1985.09)</f>
        <v>1985.09</v>
      </c>
      <c r="D23" s="1">
        <f>IFERROR(__xludf.DUMMYFUNCTION("""COMPUTED_VALUE"""),1956.99)</f>
        <v>1956.99</v>
      </c>
      <c r="E23" s="1">
        <f>IFERROR(__xludf.DUMMYFUNCTION("""COMPUTED_VALUE"""),1980.4)</f>
        <v>1980.4</v>
      </c>
      <c r="F23" s="1">
        <f>IFERROR(__xludf.DUMMYFUNCTION("""COMPUTED_VALUE"""),28295.0)</f>
        <v>28295</v>
      </c>
    </row>
    <row r="24">
      <c r="A24" s="2">
        <f>IFERROR(__xludf.DUMMYFUNCTION("""COMPUTED_VALUE"""),41955.64583333333)</f>
        <v>41955.64583</v>
      </c>
      <c r="B24" s="1">
        <f>IFERROR(__xludf.DUMMYFUNCTION("""COMPUTED_VALUE"""),1919.54)</f>
        <v>1919.54</v>
      </c>
      <c r="C24" s="1">
        <f>IFERROR(__xludf.DUMMYFUNCTION("""COMPUTED_VALUE"""),1980.4)</f>
        <v>1980.4</v>
      </c>
      <c r="D24" s="1">
        <f>IFERROR(__xludf.DUMMYFUNCTION("""COMPUTED_VALUE"""),1919.54)</f>
        <v>1919.54</v>
      </c>
      <c r="E24" s="1">
        <f>IFERROR(__xludf.DUMMYFUNCTION("""COMPUTED_VALUE"""),1956.99)</f>
        <v>1956.99</v>
      </c>
      <c r="F24" s="1">
        <f>IFERROR(__xludf.DUMMYFUNCTION("""COMPUTED_VALUE"""),34756.0)</f>
        <v>34756</v>
      </c>
    </row>
    <row r="25">
      <c r="A25" s="2">
        <f>IFERROR(__xludf.DUMMYFUNCTION("""COMPUTED_VALUE"""),41956.64583333333)</f>
        <v>41956.64583</v>
      </c>
      <c r="B25" s="1">
        <f>IFERROR(__xludf.DUMMYFUNCTION("""COMPUTED_VALUE"""),1928.9)</f>
        <v>1928.9</v>
      </c>
      <c r="C25" s="1">
        <f>IFERROR(__xludf.DUMMYFUNCTION("""COMPUTED_VALUE"""),1938.27)</f>
        <v>1938.27</v>
      </c>
      <c r="D25" s="1">
        <f>IFERROR(__xludf.DUMMYFUNCTION("""COMPUTED_VALUE"""),1919.54)</f>
        <v>1919.54</v>
      </c>
      <c r="E25" s="1">
        <f>IFERROR(__xludf.DUMMYFUNCTION("""COMPUTED_VALUE"""),1938.27)</f>
        <v>1938.27</v>
      </c>
      <c r="F25" s="1">
        <f>IFERROR(__xludf.DUMMYFUNCTION("""COMPUTED_VALUE"""),53776.0)</f>
        <v>53776</v>
      </c>
    </row>
    <row r="26">
      <c r="A26" s="2">
        <f>IFERROR(__xludf.DUMMYFUNCTION("""COMPUTED_VALUE"""),41957.64583333333)</f>
        <v>41957.64583</v>
      </c>
      <c r="B26" s="1">
        <f>IFERROR(__xludf.DUMMYFUNCTION("""COMPUTED_VALUE"""),1919.54)</f>
        <v>1919.54</v>
      </c>
      <c r="C26" s="1">
        <f>IFERROR(__xludf.DUMMYFUNCTION("""COMPUTED_VALUE"""),1975.72)</f>
        <v>1975.72</v>
      </c>
      <c r="D26" s="1">
        <f>IFERROR(__xludf.DUMMYFUNCTION("""COMPUTED_VALUE"""),1919.54)</f>
        <v>1919.54</v>
      </c>
      <c r="E26" s="1">
        <f>IFERROR(__xludf.DUMMYFUNCTION("""COMPUTED_VALUE"""),1961.68)</f>
        <v>1961.68</v>
      </c>
      <c r="F26" s="1">
        <f>IFERROR(__xludf.DUMMYFUNCTION("""COMPUTED_VALUE"""),49541.0)</f>
        <v>49541</v>
      </c>
    </row>
    <row r="27">
      <c r="A27" s="2">
        <f>IFERROR(__xludf.DUMMYFUNCTION("""COMPUTED_VALUE"""),41960.64583333333)</f>
        <v>41960.64583</v>
      </c>
      <c r="B27" s="1">
        <f>IFERROR(__xludf.DUMMYFUNCTION("""COMPUTED_VALUE"""),1956.99)</f>
        <v>1956.99</v>
      </c>
      <c r="C27" s="1">
        <f>IFERROR(__xludf.DUMMYFUNCTION("""COMPUTED_VALUE"""),1961.68)</f>
        <v>1961.68</v>
      </c>
      <c r="D27" s="1">
        <f>IFERROR(__xludf.DUMMYFUNCTION("""COMPUTED_VALUE"""),1928.9)</f>
        <v>1928.9</v>
      </c>
      <c r="E27" s="1">
        <f>IFERROR(__xludf.DUMMYFUNCTION("""COMPUTED_VALUE"""),1952.31)</f>
        <v>1952.31</v>
      </c>
      <c r="F27" s="1">
        <f>IFERROR(__xludf.DUMMYFUNCTION("""COMPUTED_VALUE"""),12258.0)</f>
        <v>12258</v>
      </c>
    </row>
    <row r="28">
      <c r="A28" s="2">
        <f>IFERROR(__xludf.DUMMYFUNCTION("""COMPUTED_VALUE"""),41961.64583333333)</f>
        <v>41961.64583</v>
      </c>
      <c r="B28" s="1">
        <f>IFERROR(__xludf.DUMMYFUNCTION("""COMPUTED_VALUE"""),1938.27)</f>
        <v>1938.27</v>
      </c>
      <c r="C28" s="1">
        <f>IFERROR(__xludf.DUMMYFUNCTION("""COMPUTED_VALUE"""),1966.36)</f>
        <v>1966.36</v>
      </c>
      <c r="D28" s="1">
        <f>IFERROR(__xludf.DUMMYFUNCTION("""COMPUTED_VALUE"""),1938.27)</f>
        <v>1938.27</v>
      </c>
      <c r="E28" s="1">
        <f>IFERROR(__xludf.DUMMYFUNCTION("""COMPUTED_VALUE"""),1956.99)</f>
        <v>1956.99</v>
      </c>
      <c r="F28" s="1">
        <f>IFERROR(__xludf.DUMMYFUNCTION("""COMPUTED_VALUE"""),9632.0)</f>
        <v>9632</v>
      </c>
    </row>
    <row r="29">
      <c r="A29" s="2">
        <f>IFERROR(__xludf.DUMMYFUNCTION("""COMPUTED_VALUE"""),41962.64583333333)</f>
        <v>41962.64583</v>
      </c>
      <c r="B29" s="1">
        <f>IFERROR(__xludf.DUMMYFUNCTION("""COMPUTED_VALUE"""),1947.63)</f>
        <v>1947.63</v>
      </c>
      <c r="C29" s="1">
        <f>IFERROR(__xludf.DUMMYFUNCTION("""COMPUTED_VALUE"""),1975.72)</f>
        <v>1975.72</v>
      </c>
      <c r="D29" s="1">
        <f>IFERROR(__xludf.DUMMYFUNCTION("""COMPUTED_VALUE"""),1947.63)</f>
        <v>1947.63</v>
      </c>
      <c r="E29" s="1">
        <f>IFERROR(__xludf.DUMMYFUNCTION("""COMPUTED_VALUE"""),1966.36)</f>
        <v>1966.36</v>
      </c>
      <c r="F29" s="1">
        <f>IFERROR(__xludf.DUMMYFUNCTION("""COMPUTED_VALUE"""),54218.0)</f>
        <v>54218</v>
      </c>
    </row>
    <row r="30">
      <c r="A30" s="2">
        <f>IFERROR(__xludf.DUMMYFUNCTION("""COMPUTED_VALUE"""),41963.64583333333)</f>
        <v>41963.64583</v>
      </c>
      <c r="B30" s="1">
        <f>IFERROR(__xludf.DUMMYFUNCTION("""COMPUTED_VALUE"""),1980.4)</f>
        <v>1980.4</v>
      </c>
      <c r="C30" s="1">
        <f>IFERROR(__xludf.DUMMYFUNCTION("""COMPUTED_VALUE"""),1980.4)</f>
        <v>1980.4</v>
      </c>
      <c r="D30" s="1">
        <f>IFERROR(__xludf.DUMMYFUNCTION("""COMPUTED_VALUE"""),1947.63)</f>
        <v>1947.63</v>
      </c>
      <c r="E30" s="1">
        <f>IFERROR(__xludf.DUMMYFUNCTION("""COMPUTED_VALUE"""),1966.36)</f>
        <v>1966.36</v>
      </c>
      <c r="F30" s="1">
        <f>IFERROR(__xludf.DUMMYFUNCTION("""COMPUTED_VALUE"""),72988.0)</f>
        <v>72988</v>
      </c>
    </row>
    <row r="31">
      <c r="A31" s="2">
        <f>IFERROR(__xludf.DUMMYFUNCTION("""COMPUTED_VALUE"""),41964.64583333333)</f>
        <v>41964.64583</v>
      </c>
      <c r="B31" s="1">
        <f>IFERROR(__xludf.DUMMYFUNCTION("""COMPUTED_VALUE"""),1952.31)</f>
        <v>1952.31</v>
      </c>
      <c r="C31" s="1">
        <f>IFERROR(__xludf.DUMMYFUNCTION("""COMPUTED_VALUE"""),1980.4)</f>
        <v>1980.4</v>
      </c>
      <c r="D31" s="1">
        <f>IFERROR(__xludf.DUMMYFUNCTION("""COMPUTED_VALUE"""),1933.59)</f>
        <v>1933.59</v>
      </c>
      <c r="E31" s="1">
        <f>IFERROR(__xludf.DUMMYFUNCTION("""COMPUTED_VALUE"""),1942.95)</f>
        <v>1942.95</v>
      </c>
      <c r="F31" s="1">
        <f>IFERROR(__xludf.DUMMYFUNCTION("""COMPUTED_VALUE"""),20950.0)</f>
        <v>20950</v>
      </c>
    </row>
    <row r="32">
      <c r="A32" s="2">
        <f>IFERROR(__xludf.DUMMYFUNCTION("""COMPUTED_VALUE"""),41967.64583333333)</f>
        <v>41967.64583</v>
      </c>
      <c r="B32" s="1">
        <f>IFERROR(__xludf.DUMMYFUNCTION("""COMPUTED_VALUE"""),1942.95)</f>
        <v>1942.95</v>
      </c>
      <c r="C32" s="1">
        <f>IFERROR(__xludf.DUMMYFUNCTION("""COMPUTED_VALUE"""),1942.95)</f>
        <v>1942.95</v>
      </c>
      <c r="D32" s="1">
        <f>IFERROR(__xludf.DUMMYFUNCTION("""COMPUTED_VALUE"""),1900.81)</f>
        <v>1900.81</v>
      </c>
      <c r="E32" s="1">
        <f>IFERROR(__xludf.DUMMYFUNCTION("""COMPUTED_VALUE"""),1900.81)</f>
        <v>1900.81</v>
      </c>
      <c r="F32" s="1">
        <f>IFERROR(__xludf.DUMMYFUNCTION("""COMPUTED_VALUE"""),60572.0)</f>
        <v>60572</v>
      </c>
    </row>
    <row r="33">
      <c r="A33" s="2">
        <f>IFERROR(__xludf.DUMMYFUNCTION("""COMPUTED_VALUE"""),41968.64583333333)</f>
        <v>41968.64583</v>
      </c>
      <c r="B33" s="1">
        <f>IFERROR(__xludf.DUMMYFUNCTION("""COMPUTED_VALUE"""),1905.49)</f>
        <v>1905.49</v>
      </c>
      <c r="C33" s="1">
        <f>IFERROR(__xludf.DUMMYFUNCTION("""COMPUTED_VALUE"""),1933.59)</f>
        <v>1933.59</v>
      </c>
      <c r="D33" s="1">
        <f>IFERROR(__xludf.DUMMYFUNCTION("""COMPUTED_VALUE"""),1905.49)</f>
        <v>1905.49</v>
      </c>
      <c r="E33" s="1">
        <f>IFERROR(__xludf.DUMMYFUNCTION("""COMPUTED_VALUE"""),1928.9)</f>
        <v>1928.9</v>
      </c>
      <c r="F33" s="1">
        <f>IFERROR(__xludf.DUMMYFUNCTION("""COMPUTED_VALUE"""),12725.0)</f>
        <v>12725</v>
      </c>
    </row>
    <row r="34">
      <c r="A34" s="2">
        <f>IFERROR(__xludf.DUMMYFUNCTION("""COMPUTED_VALUE"""),41969.64583333333)</f>
        <v>41969.64583</v>
      </c>
      <c r="B34" s="1">
        <f>IFERROR(__xludf.DUMMYFUNCTION("""COMPUTED_VALUE"""),1905.49)</f>
        <v>1905.49</v>
      </c>
      <c r="C34" s="1">
        <f>IFERROR(__xludf.DUMMYFUNCTION("""COMPUTED_VALUE"""),1919.54)</f>
        <v>1919.54</v>
      </c>
      <c r="D34" s="1">
        <f>IFERROR(__xludf.DUMMYFUNCTION("""COMPUTED_VALUE"""),1900.81)</f>
        <v>1900.81</v>
      </c>
      <c r="E34" s="1">
        <f>IFERROR(__xludf.DUMMYFUNCTION("""COMPUTED_VALUE"""),1910.18)</f>
        <v>1910.18</v>
      </c>
      <c r="F34" s="1">
        <f>IFERROR(__xludf.DUMMYFUNCTION("""COMPUTED_VALUE"""),27227.0)</f>
        <v>27227</v>
      </c>
    </row>
    <row r="35">
      <c r="A35" s="2">
        <f>IFERROR(__xludf.DUMMYFUNCTION("""COMPUTED_VALUE"""),41970.64583333333)</f>
        <v>41970.64583</v>
      </c>
      <c r="B35" s="1">
        <f>IFERROR(__xludf.DUMMYFUNCTION("""COMPUTED_VALUE"""),1905.49)</f>
        <v>1905.49</v>
      </c>
      <c r="C35" s="1">
        <f>IFERROR(__xludf.DUMMYFUNCTION("""COMPUTED_VALUE"""),1985.09)</f>
        <v>1985.09</v>
      </c>
      <c r="D35" s="1">
        <f>IFERROR(__xludf.DUMMYFUNCTION("""COMPUTED_VALUE"""),1900.81)</f>
        <v>1900.81</v>
      </c>
      <c r="E35" s="1">
        <f>IFERROR(__xludf.DUMMYFUNCTION("""COMPUTED_VALUE"""),1985.09)</f>
        <v>1985.09</v>
      </c>
      <c r="F35" s="1">
        <f>IFERROR(__xludf.DUMMYFUNCTION("""COMPUTED_VALUE"""),20358.0)</f>
        <v>20358</v>
      </c>
    </row>
    <row r="36">
      <c r="A36" s="2">
        <f>IFERROR(__xludf.DUMMYFUNCTION("""COMPUTED_VALUE"""),41971.64583333333)</f>
        <v>41971.64583</v>
      </c>
      <c r="B36" s="1">
        <f>IFERROR(__xludf.DUMMYFUNCTION("""COMPUTED_VALUE"""),1966.36)</f>
        <v>1966.36</v>
      </c>
      <c r="C36" s="1">
        <f>IFERROR(__xludf.DUMMYFUNCTION("""COMPUTED_VALUE"""),1989.77)</f>
        <v>1989.77</v>
      </c>
      <c r="D36" s="1">
        <f>IFERROR(__xludf.DUMMYFUNCTION("""COMPUTED_VALUE"""),1924.22)</f>
        <v>1924.22</v>
      </c>
      <c r="E36" s="1">
        <f>IFERROR(__xludf.DUMMYFUNCTION("""COMPUTED_VALUE"""),1952.31)</f>
        <v>1952.31</v>
      </c>
      <c r="F36" s="1">
        <f>IFERROR(__xludf.DUMMYFUNCTION("""COMPUTED_VALUE"""),37707.0)</f>
        <v>37707</v>
      </c>
    </row>
    <row r="37">
      <c r="A37" s="2">
        <f>IFERROR(__xludf.DUMMYFUNCTION("""COMPUTED_VALUE"""),41974.64583333333)</f>
        <v>41974.64583</v>
      </c>
      <c r="B37" s="1">
        <f>IFERROR(__xludf.DUMMYFUNCTION("""COMPUTED_VALUE"""),1919.54)</f>
        <v>1919.54</v>
      </c>
      <c r="C37" s="1">
        <f>IFERROR(__xludf.DUMMYFUNCTION("""COMPUTED_VALUE"""),1961.68)</f>
        <v>1961.68</v>
      </c>
      <c r="D37" s="1">
        <f>IFERROR(__xludf.DUMMYFUNCTION("""COMPUTED_VALUE"""),1910.18)</f>
        <v>1910.18</v>
      </c>
      <c r="E37" s="1">
        <f>IFERROR(__xludf.DUMMYFUNCTION("""COMPUTED_VALUE"""),1924.22)</f>
        <v>1924.22</v>
      </c>
      <c r="F37" s="1">
        <f>IFERROR(__xludf.DUMMYFUNCTION("""COMPUTED_VALUE"""),7225.0)</f>
        <v>7225</v>
      </c>
    </row>
    <row r="38">
      <c r="A38" s="2">
        <f>IFERROR(__xludf.DUMMYFUNCTION("""COMPUTED_VALUE"""),41975.64583333333)</f>
        <v>41975.64583</v>
      </c>
      <c r="B38" s="1">
        <f>IFERROR(__xludf.DUMMYFUNCTION("""COMPUTED_VALUE"""),1900.81)</f>
        <v>1900.81</v>
      </c>
      <c r="C38" s="1">
        <f>IFERROR(__xludf.DUMMYFUNCTION("""COMPUTED_VALUE"""),1924.22)</f>
        <v>1924.22</v>
      </c>
      <c r="D38" s="1">
        <f>IFERROR(__xludf.DUMMYFUNCTION("""COMPUTED_VALUE"""),1900.81)</f>
        <v>1900.81</v>
      </c>
      <c r="E38" s="1">
        <f>IFERROR(__xludf.DUMMYFUNCTION("""COMPUTED_VALUE"""),1919.54)</f>
        <v>1919.54</v>
      </c>
      <c r="F38" s="1">
        <f>IFERROR(__xludf.DUMMYFUNCTION("""COMPUTED_VALUE"""),14582.0)</f>
        <v>14582</v>
      </c>
    </row>
    <row r="39">
      <c r="A39" s="2">
        <f>IFERROR(__xludf.DUMMYFUNCTION("""COMPUTED_VALUE"""),41976.64583333333)</f>
        <v>41976.64583</v>
      </c>
      <c r="B39" s="1">
        <f>IFERROR(__xludf.DUMMYFUNCTION("""COMPUTED_VALUE"""),1966.36)</f>
        <v>1966.36</v>
      </c>
      <c r="C39" s="1">
        <f>IFERROR(__xludf.DUMMYFUNCTION("""COMPUTED_VALUE"""),1966.36)</f>
        <v>1966.36</v>
      </c>
      <c r="D39" s="1">
        <f>IFERROR(__xludf.DUMMYFUNCTION("""COMPUTED_VALUE"""),1900.81)</f>
        <v>1900.81</v>
      </c>
      <c r="E39" s="1">
        <f>IFERROR(__xludf.DUMMYFUNCTION("""COMPUTED_VALUE"""),1910.18)</f>
        <v>1910.18</v>
      </c>
      <c r="F39" s="1">
        <f>IFERROR(__xludf.DUMMYFUNCTION("""COMPUTED_VALUE"""),73517.0)</f>
        <v>73517</v>
      </c>
    </row>
    <row r="40">
      <c r="A40" s="2">
        <f>IFERROR(__xludf.DUMMYFUNCTION("""COMPUTED_VALUE"""),41977.64583333333)</f>
        <v>41977.64583</v>
      </c>
      <c r="B40" s="1">
        <f>IFERROR(__xludf.DUMMYFUNCTION("""COMPUTED_VALUE"""),1900.81)</f>
        <v>1900.81</v>
      </c>
      <c r="C40" s="1">
        <f>IFERROR(__xludf.DUMMYFUNCTION("""COMPUTED_VALUE"""),1952.31)</f>
        <v>1952.31</v>
      </c>
      <c r="D40" s="1">
        <f>IFERROR(__xludf.DUMMYFUNCTION("""COMPUTED_VALUE"""),1900.81)</f>
        <v>1900.81</v>
      </c>
      <c r="E40" s="1">
        <f>IFERROR(__xludf.DUMMYFUNCTION("""COMPUTED_VALUE"""),1938.27)</f>
        <v>1938.27</v>
      </c>
      <c r="F40" s="1">
        <f>IFERROR(__xludf.DUMMYFUNCTION("""COMPUTED_VALUE"""),5462.0)</f>
        <v>5462</v>
      </c>
    </row>
    <row r="41">
      <c r="A41" s="2">
        <f>IFERROR(__xludf.DUMMYFUNCTION("""COMPUTED_VALUE"""),41978.64583333333)</f>
        <v>41978.64583</v>
      </c>
      <c r="B41" s="1">
        <f>IFERROR(__xludf.DUMMYFUNCTION("""COMPUTED_VALUE"""),1928.9)</f>
        <v>1928.9</v>
      </c>
      <c r="C41" s="1">
        <f>IFERROR(__xludf.DUMMYFUNCTION("""COMPUTED_VALUE"""),1947.63)</f>
        <v>1947.63</v>
      </c>
      <c r="D41" s="1">
        <f>IFERROR(__xludf.DUMMYFUNCTION("""COMPUTED_VALUE"""),1891.45)</f>
        <v>1891.45</v>
      </c>
      <c r="E41" s="1">
        <f>IFERROR(__xludf.DUMMYFUNCTION("""COMPUTED_VALUE"""),1914.86)</f>
        <v>1914.86</v>
      </c>
      <c r="F41" s="1">
        <f>IFERROR(__xludf.DUMMYFUNCTION("""COMPUTED_VALUE"""),17688.0)</f>
        <v>17688</v>
      </c>
    </row>
    <row r="42">
      <c r="A42" s="2">
        <f>IFERROR(__xludf.DUMMYFUNCTION("""COMPUTED_VALUE"""),41981.64583333333)</f>
        <v>41981.64583</v>
      </c>
      <c r="B42" s="1">
        <f>IFERROR(__xludf.DUMMYFUNCTION("""COMPUTED_VALUE"""),1924.22)</f>
        <v>1924.22</v>
      </c>
      <c r="C42" s="1">
        <f>IFERROR(__xludf.DUMMYFUNCTION("""COMPUTED_VALUE"""),1924.22)</f>
        <v>1924.22</v>
      </c>
      <c r="D42" s="1">
        <f>IFERROR(__xludf.DUMMYFUNCTION("""COMPUTED_VALUE"""),1896.13)</f>
        <v>1896.13</v>
      </c>
      <c r="E42" s="1">
        <f>IFERROR(__xludf.DUMMYFUNCTION("""COMPUTED_VALUE"""),1914.86)</f>
        <v>1914.86</v>
      </c>
      <c r="F42" s="1">
        <f>IFERROR(__xludf.DUMMYFUNCTION("""COMPUTED_VALUE"""),9902.0)</f>
        <v>9902</v>
      </c>
    </row>
    <row r="43">
      <c r="A43" s="2">
        <f>IFERROR(__xludf.DUMMYFUNCTION("""COMPUTED_VALUE"""),41982.64583333333)</f>
        <v>41982.64583</v>
      </c>
      <c r="B43" s="1">
        <f>IFERROR(__xludf.DUMMYFUNCTION("""COMPUTED_VALUE"""),1900.81)</f>
        <v>1900.81</v>
      </c>
      <c r="C43" s="1">
        <f>IFERROR(__xludf.DUMMYFUNCTION("""COMPUTED_VALUE"""),1924.22)</f>
        <v>1924.22</v>
      </c>
      <c r="D43" s="1">
        <f>IFERROR(__xludf.DUMMYFUNCTION("""COMPUTED_VALUE"""),1886.77)</f>
        <v>1886.77</v>
      </c>
      <c r="E43" s="1">
        <f>IFERROR(__xludf.DUMMYFUNCTION("""COMPUTED_VALUE"""),1905.49)</f>
        <v>1905.49</v>
      </c>
      <c r="F43" s="1">
        <f>IFERROR(__xludf.DUMMYFUNCTION("""COMPUTED_VALUE"""),7467.0)</f>
        <v>7467</v>
      </c>
    </row>
    <row r="44">
      <c r="A44" s="2">
        <f>IFERROR(__xludf.DUMMYFUNCTION("""COMPUTED_VALUE"""),41983.64583333333)</f>
        <v>41983.64583</v>
      </c>
      <c r="B44" s="1">
        <f>IFERROR(__xludf.DUMMYFUNCTION("""COMPUTED_VALUE"""),1882.09)</f>
        <v>1882.09</v>
      </c>
      <c r="C44" s="1">
        <f>IFERROR(__xludf.DUMMYFUNCTION("""COMPUTED_VALUE"""),1919.54)</f>
        <v>1919.54</v>
      </c>
      <c r="D44" s="1">
        <f>IFERROR(__xludf.DUMMYFUNCTION("""COMPUTED_VALUE"""),1882.09)</f>
        <v>1882.09</v>
      </c>
      <c r="E44" s="1">
        <f>IFERROR(__xludf.DUMMYFUNCTION("""COMPUTED_VALUE"""),1905.49)</f>
        <v>1905.49</v>
      </c>
      <c r="F44" s="1">
        <f>IFERROR(__xludf.DUMMYFUNCTION("""COMPUTED_VALUE"""),3724.0)</f>
        <v>3724</v>
      </c>
    </row>
    <row r="45">
      <c r="A45" s="2">
        <f>IFERROR(__xludf.DUMMYFUNCTION("""COMPUTED_VALUE"""),41984.64583333333)</f>
        <v>41984.64583</v>
      </c>
      <c r="B45" s="1">
        <f>IFERROR(__xludf.DUMMYFUNCTION("""COMPUTED_VALUE"""),1919.54)</f>
        <v>1919.54</v>
      </c>
      <c r="C45" s="1">
        <f>IFERROR(__xludf.DUMMYFUNCTION("""COMPUTED_VALUE"""),1919.54)</f>
        <v>1919.54</v>
      </c>
      <c r="D45" s="1">
        <f>IFERROR(__xludf.DUMMYFUNCTION("""COMPUTED_VALUE"""),1891.45)</f>
        <v>1891.45</v>
      </c>
      <c r="E45" s="1">
        <f>IFERROR(__xludf.DUMMYFUNCTION("""COMPUTED_VALUE"""),1910.18)</f>
        <v>1910.18</v>
      </c>
      <c r="F45" s="1">
        <f>IFERROR(__xludf.DUMMYFUNCTION("""COMPUTED_VALUE"""),20434.0)</f>
        <v>20434</v>
      </c>
    </row>
    <row r="46">
      <c r="A46" s="2">
        <f>IFERROR(__xludf.DUMMYFUNCTION("""COMPUTED_VALUE"""),41985.64583333333)</f>
        <v>41985.64583</v>
      </c>
      <c r="B46" s="1">
        <f>IFERROR(__xludf.DUMMYFUNCTION("""COMPUTED_VALUE"""),1891.45)</f>
        <v>1891.45</v>
      </c>
      <c r="C46" s="1">
        <f>IFERROR(__xludf.DUMMYFUNCTION("""COMPUTED_VALUE"""),1910.18)</f>
        <v>1910.18</v>
      </c>
      <c r="D46" s="1">
        <f>IFERROR(__xludf.DUMMYFUNCTION("""COMPUTED_VALUE"""),1886.77)</f>
        <v>1886.77</v>
      </c>
      <c r="E46" s="1">
        <f>IFERROR(__xludf.DUMMYFUNCTION("""COMPUTED_VALUE"""),1900.81)</f>
        <v>1900.81</v>
      </c>
      <c r="F46" s="1">
        <f>IFERROR(__xludf.DUMMYFUNCTION("""COMPUTED_VALUE"""),19487.0)</f>
        <v>19487</v>
      </c>
    </row>
    <row r="47">
      <c r="A47" s="2">
        <f>IFERROR(__xludf.DUMMYFUNCTION("""COMPUTED_VALUE"""),41988.64583333333)</f>
        <v>41988.64583</v>
      </c>
      <c r="B47" s="1">
        <f>IFERROR(__xludf.DUMMYFUNCTION("""COMPUTED_VALUE"""),1882.09)</f>
        <v>1882.09</v>
      </c>
      <c r="C47" s="1">
        <f>IFERROR(__xludf.DUMMYFUNCTION("""COMPUTED_VALUE"""),1905.49)</f>
        <v>1905.49</v>
      </c>
      <c r="D47" s="1">
        <f>IFERROR(__xludf.DUMMYFUNCTION("""COMPUTED_VALUE"""),1882.09)</f>
        <v>1882.09</v>
      </c>
      <c r="E47" s="1">
        <f>IFERROR(__xludf.DUMMYFUNCTION("""COMPUTED_VALUE"""),1905.49)</f>
        <v>1905.49</v>
      </c>
      <c r="F47" s="1">
        <f>IFERROR(__xludf.DUMMYFUNCTION("""COMPUTED_VALUE"""),20016.0)</f>
        <v>20016</v>
      </c>
    </row>
    <row r="48">
      <c r="A48" s="2">
        <f>IFERROR(__xludf.DUMMYFUNCTION("""COMPUTED_VALUE"""),41989.64583333333)</f>
        <v>41989.64583</v>
      </c>
      <c r="B48" s="1">
        <f>IFERROR(__xludf.DUMMYFUNCTION("""COMPUTED_VALUE"""),1896.13)</f>
        <v>1896.13</v>
      </c>
      <c r="C48" s="1">
        <f>IFERROR(__xludf.DUMMYFUNCTION("""COMPUTED_VALUE"""),1896.13)</f>
        <v>1896.13</v>
      </c>
      <c r="D48" s="1">
        <f>IFERROR(__xludf.DUMMYFUNCTION("""COMPUTED_VALUE"""),1886.77)</f>
        <v>1886.77</v>
      </c>
      <c r="E48" s="1">
        <f>IFERROR(__xludf.DUMMYFUNCTION("""COMPUTED_VALUE"""),1896.13)</f>
        <v>1896.13</v>
      </c>
      <c r="F48" s="1">
        <f>IFERROR(__xludf.DUMMYFUNCTION("""COMPUTED_VALUE"""),120161.0)</f>
        <v>120161</v>
      </c>
    </row>
    <row r="49">
      <c r="A49" s="2">
        <f>IFERROR(__xludf.DUMMYFUNCTION("""COMPUTED_VALUE"""),41990.64583333333)</f>
        <v>41990.64583</v>
      </c>
      <c r="B49" s="1">
        <f>IFERROR(__xludf.DUMMYFUNCTION("""COMPUTED_VALUE"""),1891.45)</f>
        <v>1891.45</v>
      </c>
      <c r="C49" s="1">
        <f>IFERROR(__xludf.DUMMYFUNCTION("""COMPUTED_VALUE"""),1891.45)</f>
        <v>1891.45</v>
      </c>
      <c r="D49" s="1">
        <f>IFERROR(__xludf.DUMMYFUNCTION("""COMPUTED_VALUE"""),1882.09)</f>
        <v>1882.09</v>
      </c>
      <c r="E49" s="1">
        <f>IFERROR(__xludf.DUMMYFUNCTION("""COMPUTED_VALUE"""),1882.09)</f>
        <v>1882.09</v>
      </c>
      <c r="F49" s="1">
        <f>IFERROR(__xludf.DUMMYFUNCTION("""COMPUTED_VALUE"""),23996.0)</f>
        <v>23996</v>
      </c>
    </row>
    <row r="50">
      <c r="A50" s="2">
        <f>IFERROR(__xludf.DUMMYFUNCTION("""COMPUTED_VALUE"""),41991.64583333333)</f>
        <v>41991.64583</v>
      </c>
      <c r="B50" s="1">
        <f>IFERROR(__xludf.DUMMYFUNCTION("""COMPUTED_VALUE"""),1877.4)</f>
        <v>1877.4</v>
      </c>
      <c r="C50" s="1">
        <f>IFERROR(__xludf.DUMMYFUNCTION("""COMPUTED_VALUE"""),1886.77)</f>
        <v>1886.77</v>
      </c>
      <c r="D50" s="1">
        <f>IFERROR(__xludf.DUMMYFUNCTION("""COMPUTED_VALUE"""),1877.4)</f>
        <v>1877.4</v>
      </c>
      <c r="E50" s="1">
        <f>IFERROR(__xludf.DUMMYFUNCTION("""COMPUTED_VALUE"""),1882.09)</f>
        <v>1882.09</v>
      </c>
      <c r="F50" s="1">
        <f>IFERROR(__xludf.DUMMYFUNCTION("""COMPUTED_VALUE"""),31890.0)</f>
        <v>31890</v>
      </c>
    </row>
    <row r="51">
      <c r="A51" s="2">
        <f>IFERROR(__xludf.DUMMYFUNCTION("""COMPUTED_VALUE"""),41992.64583333333)</f>
        <v>41992.64583</v>
      </c>
      <c r="B51" s="1">
        <f>IFERROR(__xludf.DUMMYFUNCTION("""COMPUTED_VALUE"""),1882.09)</f>
        <v>1882.09</v>
      </c>
      <c r="C51" s="1">
        <f>IFERROR(__xludf.DUMMYFUNCTION("""COMPUTED_VALUE"""),1910.18)</f>
        <v>1910.18</v>
      </c>
      <c r="D51" s="1">
        <f>IFERROR(__xludf.DUMMYFUNCTION("""COMPUTED_VALUE"""),1877.4)</f>
        <v>1877.4</v>
      </c>
      <c r="E51" s="1">
        <f>IFERROR(__xludf.DUMMYFUNCTION("""COMPUTED_VALUE"""),1910.18)</f>
        <v>1910.18</v>
      </c>
      <c r="F51" s="1">
        <f>IFERROR(__xludf.DUMMYFUNCTION("""COMPUTED_VALUE"""),23101.0)</f>
        <v>23101</v>
      </c>
    </row>
    <row r="52">
      <c r="A52" s="2">
        <f>IFERROR(__xludf.DUMMYFUNCTION("""COMPUTED_VALUE"""),41995.64583333333)</f>
        <v>41995.64583</v>
      </c>
      <c r="B52" s="1">
        <f>IFERROR(__xludf.DUMMYFUNCTION("""COMPUTED_VALUE"""),1882.09)</f>
        <v>1882.09</v>
      </c>
      <c r="C52" s="1">
        <f>IFERROR(__xludf.DUMMYFUNCTION("""COMPUTED_VALUE"""),1891.45)</f>
        <v>1891.45</v>
      </c>
      <c r="D52" s="1">
        <f>IFERROR(__xludf.DUMMYFUNCTION("""COMPUTED_VALUE"""),1882.09)</f>
        <v>1882.09</v>
      </c>
      <c r="E52" s="1">
        <f>IFERROR(__xludf.DUMMYFUNCTION("""COMPUTED_VALUE"""),1886.77)</f>
        <v>1886.77</v>
      </c>
      <c r="F52" s="1">
        <f>IFERROR(__xludf.DUMMYFUNCTION("""COMPUTED_VALUE"""),18005.0)</f>
        <v>18005</v>
      </c>
    </row>
    <row r="53">
      <c r="A53" s="2">
        <f>IFERROR(__xludf.DUMMYFUNCTION("""COMPUTED_VALUE"""),41996.64583333333)</f>
        <v>41996.64583</v>
      </c>
      <c r="B53" s="1">
        <f>IFERROR(__xludf.DUMMYFUNCTION("""COMPUTED_VALUE"""),1882.09)</f>
        <v>1882.09</v>
      </c>
      <c r="C53" s="1">
        <f>IFERROR(__xludf.DUMMYFUNCTION("""COMPUTED_VALUE"""),1900.81)</f>
        <v>1900.81</v>
      </c>
      <c r="D53" s="1">
        <f>IFERROR(__xludf.DUMMYFUNCTION("""COMPUTED_VALUE"""),1882.09)</f>
        <v>1882.09</v>
      </c>
      <c r="E53" s="1">
        <f>IFERROR(__xludf.DUMMYFUNCTION("""COMPUTED_VALUE"""),1882.09)</f>
        <v>1882.09</v>
      </c>
      <c r="F53" s="1">
        <f>IFERROR(__xludf.DUMMYFUNCTION("""COMPUTED_VALUE"""),34966.0)</f>
        <v>34966</v>
      </c>
    </row>
    <row r="54">
      <c r="A54" s="2">
        <f>IFERROR(__xludf.DUMMYFUNCTION("""COMPUTED_VALUE"""),41997.64583333333)</f>
        <v>41997.64583</v>
      </c>
      <c r="B54" s="1">
        <f>IFERROR(__xludf.DUMMYFUNCTION("""COMPUTED_VALUE"""),1882.09)</f>
        <v>1882.09</v>
      </c>
      <c r="C54" s="1">
        <f>IFERROR(__xludf.DUMMYFUNCTION("""COMPUTED_VALUE"""),1891.45)</f>
        <v>1891.45</v>
      </c>
      <c r="D54" s="1">
        <f>IFERROR(__xludf.DUMMYFUNCTION("""COMPUTED_VALUE"""),1877.4)</f>
        <v>1877.4</v>
      </c>
      <c r="E54" s="1">
        <f>IFERROR(__xludf.DUMMYFUNCTION("""COMPUTED_VALUE"""),1891.45)</f>
        <v>1891.45</v>
      </c>
      <c r="F54" s="1">
        <f>IFERROR(__xludf.DUMMYFUNCTION("""COMPUTED_VALUE"""),57517.0)</f>
        <v>57517</v>
      </c>
    </row>
    <row r="55">
      <c r="A55" s="2">
        <f>IFERROR(__xludf.DUMMYFUNCTION("""COMPUTED_VALUE"""),41999.64583333333)</f>
        <v>41999.64583</v>
      </c>
      <c r="B55" s="1">
        <f>IFERROR(__xludf.DUMMYFUNCTION("""COMPUTED_VALUE"""),1882.09)</f>
        <v>1882.09</v>
      </c>
      <c r="C55" s="1">
        <f>IFERROR(__xludf.DUMMYFUNCTION("""COMPUTED_VALUE"""),1882.09)</f>
        <v>1882.09</v>
      </c>
      <c r="D55" s="1">
        <f>IFERROR(__xludf.DUMMYFUNCTION("""COMPUTED_VALUE"""),1877.4)</f>
        <v>1877.4</v>
      </c>
      <c r="E55" s="1">
        <f>IFERROR(__xludf.DUMMYFUNCTION("""COMPUTED_VALUE"""),1877.4)</f>
        <v>1877.4</v>
      </c>
      <c r="F55" s="1">
        <f>IFERROR(__xludf.DUMMYFUNCTION("""COMPUTED_VALUE"""),77939.0)</f>
        <v>77939</v>
      </c>
    </row>
    <row r="56">
      <c r="A56" s="2">
        <f>IFERROR(__xludf.DUMMYFUNCTION("""COMPUTED_VALUE"""),42002.64583333333)</f>
        <v>42002.64583</v>
      </c>
      <c r="B56" s="1">
        <f>IFERROR(__xludf.DUMMYFUNCTION("""COMPUTED_VALUE"""),1877.4)</f>
        <v>1877.4</v>
      </c>
      <c r="C56" s="1">
        <f>IFERROR(__xludf.DUMMYFUNCTION("""COMPUTED_VALUE"""),1900.81)</f>
        <v>1900.81</v>
      </c>
      <c r="D56" s="1">
        <f>IFERROR(__xludf.DUMMYFUNCTION("""COMPUTED_VALUE"""),1877.4)</f>
        <v>1877.4</v>
      </c>
      <c r="E56" s="1">
        <f>IFERROR(__xludf.DUMMYFUNCTION("""COMPUTED_VALUE"""),1886.77)</f>
        <v>1886.77</v>
      </c>
      <c r="F56" s="1">
        <f>IFERROR(__xludf.DUMMYFUNCTION("""COMPUTED_VALUE"""),81521.0)</f>
        <v>81521</v>
      </c>
    </row>
    <row r="57">
      <c r="A57" s="2">
        <f>IFERROR(__xludf.DUMMYFUNCTION("""COMPUTED_VALUE"""),42003.64583333333)</f>
        <v>42003.64583</v>
      </c>
      <c r="B57" s="1">
        <f>IFERROR(__xludf.DUMMYFUNCTION("""COMPUTED_VALUE"""),1882.09)</f>
        <v>1882.09</v>
      </c>
      <c r="C57" s="1">
        <f>IFERROR(__xludf.DUMMYFUNCTION("""COMPUTED_VALUE"""),1900.81)</f>
        <v>1900.81</v>
      </c>
      <c r="D57" s="1">
        <f>IFERROR(__xludf.DUMMYFUNCTION("""COMPUTED_VALUE"""),1877.4)</f>
        <v>1877.4</v>
      </c>
      <c r="E57" s="1">
        <f>IFERROR(__xludf.DUMMYFUNCTION("""COMPUTED_VALUE"""),1882.09)</f>
        <v>1882.09</v>
      </c>
      <c r="F57" s="1">
        <f>IFERROR(__xludf.DUMMYFUNCTION("""COMPUTED_VALUE"""),39421.0)</f>
        <v>39421</v>
      </c>
    </row>
    <row r="58">
      <c r="A58" s="2">
        <f>IFERROR(__xludf.DUMMYFUNCTION("""COMPUTED_VALUE"""),42006.64583333333)</f>
        <v>42006.64583</v>
      </c>
      <c r="B58" s="1">
        <f>IFERROR(__xludf.DUMMYFUNCTION("""COMPUTED_VALUE"""),1882.09)</f>
        <v>1882.09</v>
      </c>
      <c r="C58" s="1">
        <f>IFERROR(__xludf.DUMMYFUNCTION("""COMPUTED_VALUE"""),1910.18)</f>
        <v>1910.18</v>
      </c>
      <c r="D58" s="1">
        <f>IFERROR(__xludf.DUMMYFUNCTION("""COMPUTED_VALUE"""),1877.4)</f>
        <v>1877.4</v>
      </c>
      <c r="E58" s="1">
        <f>IFERROR(__xludf.DUMMYFUNCTION("""COMPUTED_VALUE"""),1882.09)</f>
        <v>1882.09</v>
      </c>
      <c r="F58" s="1">
        <f>IFERROR(__xludf.DUMMYFUNCTION("""COMPUTED_VALUE"""),31299.0)</f>
        <v>31299</v>
      </c>
    </row>
    <row r="59">
      <c r="A59" s="2">
        <f>IFERROR(__xludf.DUMMYFUNCTION("""COMPUTED_VALUE"""),42009.64583333333)</f>
        <v>42009.64583</v>
      </c>
      <c r="B59" s="1">
        <f>IFERROR(__xludf.DUMMYFUNCTION("""COMPUTED_VALUE"""),1882.09)</f>
        <v>1882.09</v>
      </c>
      <c r="C59" s="1">
        <f>IFERROR(__xludf.DUMMYFUNCTION("""COMPUTED_VALUE"""),1900.81)</f>
        <v>1900.81</v>
      </c>
      <c r="D59" s="1">
        <f>IFERROR(__xludf.DUMMYFUNCTION("""COMPUTED_VALUE"""),1882.09)</f>
        <v>1882.09</v>
      </c>
      <c r="E59" s="1">
        <f>IFERROR(__xludf.DUMMYFUNCTION("""COMPUTED_VALUE"""),1882.09)</f>
        <v>1882.09</v>
      </c>
      <c r="F59" s="1">
        <f>IFERROR(__xludf.DUMMYFUNCTION("""COMPUTED_VALUE"""),16253.0)</f>
        <v>16253</v>
      </c>
    </row>
    <row r="60">
      <c r="A60" s="2">
        <f>IFERROR(__xludf.DUMMYFUNCTION("""COMPUTED_VALUE"""),42010.64583333333)</f>
        <v>42010.64583</v>
      </c>
      <c r="B60" s="1">
        <f>IFERROR(__xludf.DUMMYFUNCTION("""COMPUTED_VALUE"""),1891.45)</f>
        <v>1891.45</v>
      </c>
      <c r="C60" s="1">
        <f>IFERROR(__xludf.DUMMYFUNCTION("""COMPUTED_VALUE"""),1891.45)</f>
        <v>1891.45</v>
      </c>
      <c r="D60" s="1">
        <f>IFERROR(__xludf.DUMMYFUNCTION("""COMPUTED_VALUE"""),1882.09)</f>
        <v>1882.09</v>
      </c>
      <c r="E60" s="1">
        <f>IFERROR(__xludf.DUMMYFUNCTION("""COMPUTED_VALUE"""),1882.09)</f>
        <v>1882.09</v>
      </c>
      <c r="F60" s="1">
        <f>IFERROR(__xludf.DUMMYFUNCTION("""COMPUTED_VALUE"""),19279.0)</f>
        <v>19279</v>
      </c>
    </row>
    <row r="61">
      <c r="A61" s="2">
        <f>IFERROR(__xludf.DUMMYFUNCTION("""COMPUTED_VALUE"""),42012.64583333333)</f>
        <v>42012.64583</v>
      </c>
      <c r="B61" s="1">
        <f>IFERROR(__xludf.DUMMYFUNCTION("""COMPUTED_VALUE"""),1886.77)</f>
        <v>1886.77</v>
      </c>
      <c r="C61" s="1">
        <f>IFERROR(__xludf.DUMMYFUNCTION("""COMPUTED_VALUE"""),1891.45)</f>
        <v>1891.45</v>
      </c>
      <c r="D61" s="1">
        <f>IFERROR(__xludf.DUMMYFUNCTION("""COMPUTED_VALUE"""),1882.09)</f>
        <v>1882.09</v>
      </c>
      <c r="E61" s="1">
        <f>IFERROR(__xludf.DUMMYFUNCTION("""COMPUTED_VALUE"""),1891.45)</f>
        <v>1891.45</v>
      </c>
      <c r="F61" s="1">
        <f>IFERROR(__xludf.DUMMYFUNCTION("""COMPUTED_VALUE"""),50340.0)</f>
        <v>50340</v>
      </c>
    </row>
    <row r="62">
      <c r="A62" s="2">
        <f>IFERROR(__xludf.DUMMYFUNCTION("""COMPUTED_VALUE"""),42013.64583333333)</f>
        <v>42013.64583</v>
      </c>
      <c r="B62" s="1">
        <f>IFERROR(__xludf.DUMMYFUNCTION("""COMPUTED_VALUE"""),1891.45)</f>
        <v>1891.45</v>
      </c>
      <c r="C62" s="1">
        <f>IFERROR(__xludf.DUMMYFUNCTION("""COMPUTED_VALUE"""),1905.49)</f>
        <v>1905.49</v>
      </c>
      <c r="D62" s="1">
        <f>IFERROR(__xludf.DUMMYFUNCTION("""COMPUTED_VALUE"""),1891.45)</f>
        <v>1891.45</v>
      </c>
      <c r="E62" s="1">
        <f>IFERROR(__xludf.DUMMYFUNCTION("""COMPUTED_VALUE"""),1905.49)</f>
        <v>1905.49</v>
      </c>
      <c r="F62" s="1">
        <f>IFERROR(__xludf.DUMMYFUNCTION("""COMPUTED_VALUE"""),14200.0)</f>
        <v>14200</v>
      </c>
    </row>
    <row r="63">
      <c r="A63" s="2">
        <f>IFERROR(__xludf.DUMMYFUNCTION("""COMPUTED_VALUE"""),42016.64583333333)</f>
        <v>42016.64583</v>
      </c>
      <c r="B63" s="1">
        <f>IFERROR(__xludf.DUMMYFUNCTION("""COMPUTED_VALUE"""),1919.54)</f>
        <v>1919.54</v>
      </c>
      <c r="C63" s="1">
        <f>IFERROR(__xludf.DUMMYFUNCTION("""COMPUTED_VALUE"""),1919.54)</f>
        <v>1919.54</v>
      </c>
      <c r="D63" s="1">
        <f>IFERROR(__xludf.DUMMYFUNCTION("""COMPUTED_VALUE"""),1896.13)</f>
        <v>1896.13</v>
      </c>
      <c r="E63" s="1">
        <f>IFERROR(__xludf.DUMMYFUNCTION("""COMPUTED_VALUE"""),1910.18)</f>
        <v>1910.18</v>
      </c>
      <c r="F63" s="1">
        <f>IFERROR(__xludf.DUMMYFUNCTION("""COMPUTED_VALUE"""),15053.0)</f>
        <v>15053</v>
      </c>
    </row>
    <row r="64">
      <c r="A64" s="2">
        <f>IFERROR(__xludf.DUMMYFUNCTION("""COMPUTED_VALUE"""),42017.64583333333)</f>
        <v>42017.64583</v>
      </c>
      <c r="B64" s="1">
        <f>IFERROR(__xludf.DUMMYFUNCTION("""COMPUTED_VALUE"""),1891.45)</f>
        <v>1891.45</v>
      </c>
      <c r="C64" s="1">
        <f>IFERROR(__xludf.DUMMYFUNCTION("""COMPUTED_VALUE"""),1900.81)</f>
        <v>1900.81</v>
      </c>
      <c r="D64" s="1">
        <f>IFERROR(__xludf.DUMMYFUNCTION("""COMPUTED_VALUE"""),1891.45)</f>
        <v>1891.45</v>
      </c>
      <c r="E64" s="1">
        <f>IFERROR(__xludf.DUMMYFUNCTION("""COMPUTED_VALUE"""),1900.81)</f>
        <v>1900.81</v>
      </c>
      <c r="F64" s="1">
        <f>IFERROR(__xludf.DUMMYFUNCTION("""COMPUTED_VALUE"""),5853.0)</f>
        <v>5853</v>
      </c>
    </row>
    <row r="65">
      <c r="A65" s="2">
        <f>IFERROR(__xludf.DUMMYFUNCTION("""COMPUTED_VALUE"""),42018.64583333333)</f>
        <v>42018.64583</v>
      </c>
      <c r="B65" s="1">
        <f>IFERROR(__xludf.DUMMYFUNCTION("""COMPUTED_VALUE"""),1900.81)</f>
        <v>1900.81</v>
      </c>
      <c r="C65" s="1">
        <f>IFERROR(__xludf.DUMMYFUNCTION("""COMPUTED_VALUE"""),1919.54)</f>
        <v>1919.54</v>
      </c>
      <c r="D65" s="1">
        <f>IFERROR(__xludf.DUMMYFUNCTION("""COMPUTED_VALUE"""),1896.13)</f>
        <v>1896.13</v>
      </c>
      <c r="E65" s="1">
        <f>IFERROR(__xludf.DUMMYFUNCTION("""COMPUTED_VALUE"""),1900.81)</f>
        <v>1900.81</v>
      </c>
      <c r="F65" s="1">
        <f>IFERROR(__xludf.DUMMYFUNCTION("""COMPUTED_VALUE"""),22008.0)</f>
        <v>22008</v>
      </c>
    </row>
    <row r="66">
      <c r="A66" s="2">
        <f>IFERROR(__xludf.DUMMYFUNCTION("""COMPUTED_VALUE"""),42019.64583333333)</f>
        <v>42019.64583</v>
      </c>
      <c r="B66" s="1">
        <f>IFERROR(__xludf.DUMMYFUNCTION("""COMPUTED_VALUE"""),1905.49)</f>
        <v>1905.49</v>
      </c>
      <c r="C66" s="1">
        <f>IFERROR(__xludf.DUMMYFUNCTION("""COMPUTED_VALUE"""),1947.63)</f>
        <v>1947.63</v>
      </c>
      <c r="D66" s="1">
        <f>IFERROR(__xludf.DUMMYFUNCTION("""COMPUTED_VALUE"""),1905.49)</f>
        <v>1905.49</v>
      </c>
      <c r="E66" s="1">
        <f>IFERROR(__xludf.DUMMYFUNCTION("""COMPUTED_VALUE"""),1914.86)</f>
        <v>1914.86</v>
      </c>
      <c r="F66" s="1">
        <f>IFERROR(__xludf.DUMMYFUNCTION("""COMPUTED_VALUE"""),33752.0)</f>
        <v>33752</v>
      </c>
    </row>
    <row r="67">
      <c r="A67" s="2">
        <f>IFERROR(__xludf.DUMMYFUNCTION("""COMPUTED_VALUE"""),42020.64583333333)</f>
        <v>42020.64583</v>
      </c>
      <c r="B67" s="1">
        <f>IFERROR(__xludf.DUMMYFUNCTION("""COMPUTED_VALUE"""),1928.9)</f>
        <v>1928.9</v>
      </c>
      <c r="C67" s="1">
        <f>IFERROR(__xludf.DUMMYFUNCTION("""COMPUTED_VALUE"""),1933.59)</f>
        <v>1933.59</v>
      </c>
      <c r="D67" s="1">
        <f>IFERROR(__xludf.DUMMYFUNCTION("""COMPUTED_VALUE"""),1914.86)</f>
        <v>1914.86</v>
      </c>
      <c r="E67" s="1">
        <f>IFERROR(__xludf.DUMMYFUNCTION("""COMPUTED_VALUE"""),1924.22)</f>
        <v>1924.22</v>
      </c>
      <c r="F67" s="1">
        <f>IFERROR(__xludf.DUMMYFUNCTION("""COMPUTED_VALUE"""),31054.0)</f>
        <v>31054</v>
      </c>
    </row>
    <row r="68">
      <c r="A68" s="2">
        <f>IFERROR(__xludf.DUMMYFUNCTION("""COMPUTED_VALUE"""),42023.64583333333)</f>
        <v>42023.64583</v>
      </c>
      <c r="B68" s="1">
        <f>IFERROR(__xludf.DUMMYFUNCTION("""COMPUTED_VALUE"""),1938.27)</f>
        <v>1938.27</v>
      </c>
      <c r="C68" s="1">
        <f>IFERROR(__xludf.DUMMYFUNCTION("""COMPUTED_VALUE"""),1966.36)</f>
        <v>1966.36</v>
      </c>
      <c r="D68" s="1">
        <f>IFERROR(__xludf.DUMMYFUNCTION("""COMPUTED_VALUE"""),1938.27)</f>
        <v>1938.27</v>
      </c>
      <c r="E68" s="1">
        <f>IFERROR(__xludf.DUMMYFUNCTION("""COMPUTED_VALUE"""),1956.99)</f>
        <v>1956.99</v>
      </c>
      <c r="F68" s="1">
        <f>IFERROR(__xludf.DUMMYFUNCTION("""COMPUTED_VALUE"""),46101.0)</f>
        <v>46101</v>
      </c>
    </row>
    <row r="69">
      <c r="A69" s="2">
        <f>IFERROR(__xludf.DUMMYFUNCTION("""COMPUTED_VALUE"""),42024.64583333333)</f>
        <v>42024.64583</v>
      </c>
      <c r="B69" s="1">
        <f>IFERROR(__xludf.DUMMYFUNCTION("""COMPUTED_VALUE"""),1966.36)</f>
        <v>1966.36</v>
      </c>
      <c r="C69" s="1">
        <f>IFERROR(__xludf.DUMMYFUNCTION("""COMPUTED_VALUE"""),1966.36)</f>
        <v>1966.36</v>
      </c>
      <c r="D69" s="1">
        <f>IFERROR(__xludf.DUMMYFUNCTION("""COMPUTED_VALUE"""),1938.27)</f>
        <v>1938.27</v>
      </c>
      <c r="E69" s="1">
        <f>IFERROR(__xludf.DUMMYFUNCTION("""COMPUTED_VALUE"""),1942.95)</f>
        <v>1942.95</v>
      </c>
      <c r="F69" s="1">
        <f>IFERROR(__xludf.DUMMYFUNCTION("""COMPUTED_VALUE"""),35451.0)</f>
        <v>35451</v>
      </c>
    </row>
    <row r="70">
      <c r="A70" s="2">
        <f>IFERROR(__xludf.DUMMYFUNCTION("""COMPUTED_VALUE"""),42025.64583333333)</f>
        <v>42025.64583</v>
      </c>
      <c r="B70" s="1">
        <f>IFERROR(__xludf.DUMMYFUNCTION("""COMPUTED_VALUE"""),1966.36)</f>
        <v>1966.36</v>
      </c>
      <c r="C70" s="1">
        <f>IFERROR(__xludf.DUMMYFUNCTION("""COMPUTED_VALUE"""),1966.36)</f>
        <v>1966.36</v>
      </c>
      <c r="D70" s="1">
        <f>IFERROR(__xludf.DUMMYFUNCTION("""COMPUTED_VALUE"""),1938.27)</f>
        <v>1938.27</v>
      </c>
      <c r="E70" s="1">
        <f>IFERROR(__xludf.DUMMYFUNCTION("""COMPUTED_VALUE"""),1952.31)</f>
        <v>1952.31</v>
      </c>
      <c r="F70" s="1">
        <f>IFERROR(__xludf.DUMMYFUNCTION("""COMPUTED_VALUE"""),13097.0)</f>
        <v>13097</v>
      </c>
    </row>
    <row r="71">
      <c r="A71" s="2">
        <f>IFERROR(__xludf.DUMMYFUNCTION("""COMPUTED_VALUE"""),42026.64583333333)</f>
        <v>42026.64583</v>
      </c>
      <c r="B71" s="1">
        <f>IFERROR(__xludf.DUMMYFUNCTION("""COMPUTED_VALUE"""),1956.99)</f>
        <v>1956.99</v>
      </c>
      <c r="C71" s="1">
        <f>IFERROR(__xludf.DUMMYFUNCTION("""COMPUTED_VALUE"""),1956.99)</f>
        <v>1956.99</v>
      </c>
      <c r="D71" s="1">
        <f>IFERROR(__xludf.DUMMYFUNCTION("""COMPUTED_VALUE"""),1924.22)</f>
        <v>1924.22</v>
      </c>
      <c r="E71" s="1">
        <f>IFERROR(__xludf.DUMMYFUNCTION("""COMPUTED_VALUE"""),1947.63)</f>
        <v>1947.63</v>
      </c>
      <c r="F71" s="1">
        <f>IFERROR(__xludf.DUMMYFUNCTION("""COMPUTED_VALUE"""),48232.0)</f>
        <v>48232</v>
      </c>
    </row>
    <row r="72">
      <c r="A72" s="2">
        <f>IFERROR(__xludf.DUMMYFUNCTION("""COMPUTED_VALUE"""),42027.64583333333)</f>
        <v>42027.64583</v>
      </c>
      <c r="B72" s="1">
        <f>IFERROR(__xludf.DUMMYFUNCTION("""COMPUTED_VALUE"""),1947.63)</f>
        <v>1947.63</v>
      </c>
      <c r="C72" s="1">
        <f>IFERROR(__xludf.DUMMYFUNCTION("""COMPUTED_VALUE"""),1966.36)</f>
        <v>1966.36</v>
      </c>
      <c r="D72" s="1">
        <f>IFERROR(__xludf.DUMMYFUNCTION("""COMPUTED_VALUE"""),1942.95)</f>
        <v>1942.95</v>
      </c>
      <c r="E72" s="1">
        <f>IFERROR(__xludf.DUMMYFUNCTION("""COMPUTED_VALUE"""),1966.36)</f>
        <v>1966.36</v>
      </c>
      <c r="F72" s="1">
        <f>IFERROR(__xludf.DUMMYFUNCTION("""COMPUTED_VALUE"""),27874.0)</f>
        <v>27874</v>
      </c>
    </row>
    <row r="73">
      <c r="A73" s="2">
        <f>IFERROR(__xludf.DUMMYFUNCTION("""COMPUTED_VALUE"""),42030.64583333333)</f>
        <v>42030.64583</v>
      </c>
      <c r="B73" s="1">
        <f>IFERROR(__xludf.DUMMYFUNCTION("""COMPUTED_VALUE"""),1938.27)</f>
        <v>1938.27</v>
      </c>
      <c r="C73" s="1">
        <f>IFERROR(__xludf.DUMMYFUNCTION("""COMPUTED_VALUE"""),1966.36)</f>
        <v>1966.36</v>
      </c>
      <c r="D73" s="1">
        <f>IFERROR(__xludf.DUMMYFUNCTION("""COMPUTED_VALUE"""),1938.27)</f>
        <v>1938.27</v>
      </c>
      <c r="E73" s="1">
        <f>IFERROR(__xludf.DUMMYFUNCTION("""COMPUTED_VALUE"""),1966.36)</f>
        <v>1966.36</v>
      </c>
      <c r="F73" s="1">
        <f>IFERROR(__xludf.DUMMYFUNCTION("""COMPUTED_VALUE"""),19591.0)</f>
        <v>19591</v>
      </c>
    </row>
    <row r="74">
      <c r="A74" s="2">
        <f>IFERROR(__xludf.DUMMYFUNCTION("""COMPUTED_VALUE"""),42031.64583333333)</f>
        <v>42031.64583</v>
      </c>
      <c r="B74" s="1">
        <f>IFERROR(__xludf.DUMMYFUNCTION("""COMPUTED_VALUE"""),1961.68)</f>
        <v>1961.68</v>
      </c>
      <c r="C74" s="1">
        <f>IFERROR(__xludf.DUMMYFUNCTION("""COMPUTED_VALUE"""),1975.72)</f>
        <v>1975.72</v>
      </c>
      <c r="D74" s="1">
        <f>IFERROR(__xludf.DUMMYFUNCTION("""COMPUTED_VALUE"""),1947.63)</f>
        <v>1947.63</v>
      </c>
      <c r="E74" s="1">
        <f>IFERROR(__xludf.DUMMYFUNCTION("""COMPUTED_VALUE"""),1971.04)</f>
        <v>1971.04</v>
      </c>
      <c r="F74" s="1">
        <f>IFERROR(__xludf.DUMMYFUNCTION("""COMPUTED_VALUE"""),22001.0)</f>
        <v>22001</v>
      </c>
    </row>
    <row r="75">
      <c r="A75" s="2">
        <f>IFERROR(__xludf.DUMMYFUNCTION("""COMPUTED_VALUE"""),42032.64583333333)</f>
        <v>42032.64583</v>
      </c>
      <c r="B75" s="1">
        <f>IFERROR(__xludf.DUMMYFUNCTION("""COMPUTED_VALUE"""),1942.95)</f>
        <v>1942.95</v>
      </c>
      <c r="C75" s="1">
        <f>IFERROR(__xludf.DUMMYFUNCTION("""COMPUTED_VALUE"""),1971.04)</f>
        <v>1971.04</v>
      </c>
      <c r="D75" s="1">
        <f>IFERROR(__xludf.DUMMYFUNCTION("""COMPUTED_VALUE"""),1942.95)</f>
        <v>1942.95</v>
      </c>
      <c r="E75" s="1">
        <f>IFERROR(__xludf.DUMMYFUNCTION("""COMPUTED_VALUE"""),1971.04)</f>
        <v>1971.04</v>
      </c>
      <c r="F75" s="1">
        <f>IFERROR(__xludf.DUMMYFUNCTION("""COMPUTED_VALUE"""),68776.0)</f>
        <v>68776</v>
      </c>
    </row>
    <row r="76">
      <c r="A76" s="2">
        <f>IFERROR(__xludf.DUMMYFUNCTION("""COMPUTED_VALUE"""),42033.64583333333)</f>
        <v>42033.64583</v>
      </c>
      <c r="B76" s="1">
        <f>IFERROR(__xludf.DUMMYFUNCTION("""COMPUTED_VALUE"""),1966.36)</f>
        <v>1966.36</v>
      </c>
      <c r="C76" s="1">
        <f>IFERROR(__xludf.DUMMYFUNCTION("""COMPUTED_VALUE"""),1971.04)</f>
        <v>1971.04</v>
      </c>
      <c r="D76" s="1">
        <f>IFERROR(__xludf.DUMMYFUNCTION("""COMPUTED_VALUE"""),1966.36)</f>
        <v>1966.36</v>
      </c>
      <c r="E76" s="1">
        <f>IFERROR(__xludf.DUMMYFUNCTION("""COMPUTED_VALUE"""),1966.36)</f>
        <v>1966.36</v>
      </c>
      <c r="F76" s="1">
        <f>IFERROR(__xludf.DUMMYFUNCTION("""COMPUTED_VALUE"""),28597.0)</f>
        <v>28597</v>
      </c>
    </row>
    <row r="77">
      <c r="A77" s="2">
        <f>IFERROR(__xludf.DUMMYFUNCTION("""COMPUTED_VALUE"""),42034.64583333333)</f>
        <v>42034.64583</v>
      </c>
      <c r="B77" s="1">
        <f>IFERROR(__xludf.DUMMYFUNCTION("""COMPUTED_VALUE"""),1985.09)</f>
        <v>1985.09</v>
      </c>
      <c r="C77" s="1">
        <f>IFERROR(__xludf.DUMMYFUNCTION("""COMPUTED_VALUE"""),2003.81)</f>
        <v>2003.81</v>
      </c>
      <c r="D77" s="1">
        <f>IFERROR(__xludf.DUMMYFUNCTION("""COMPUTED_VALUE"""),1971.04)</f>
        <v>1971.04</v>
      </c>
      <c r="E77" s="1">
        <f>IFERROR(__xludf.DUMMYFUNCTION("""COMPUTED_VALUE"""),1985.09)</f>
        <v>1985.09</v>
      </c>
      <c r="F77" s="1">
        <f>IFERROR(__xludf.DUMMYFUNCTION("""COMPUTED_VALUE"""),13693.0)</f>
        <v>13693</v>
      </c>
    </row>
    <row r="78">
      <c r="A78" s="2">
        <f>IFERROR(__xludf.DUMMYFUNCTION("""COMPUTED_VALUE"""),42037.64583333333)</f>
        <v>42037.64583</v>
      </c>
      <c r="B78" s="1">
        <f>IFERROR(__xludf.DUMMYFUNCTION("""COMPUTED_VALUE"""),2013.18)</f>
        <v>2013.18</v>
      </c>
      <c r="C78" s="1">
        <f>IFERROR(__xludf.DUMMYFUNCTION("""COMPUTED_VALUE"""),2013.18)</f>
        <v>2013.18</v>
      </c>
      <c r="D78" s="1">
        <f>IFERROR(__xludf.DUMMYFUNCTION("""COMPUTED_VALUE"""),1980.4)</f>
        <v>1980.4</v>
      </c>
      <c r="E78" s="1">
        <f>IFERROR(__xludf.DUMMYFUNCTION("""COMPUTED_VALUE"""),1989.77)</f>
        <v>1989.77</v>
      </c>
      <c r="F78" s="1">
        <f>IFERROR(__xludf.DUMMYFUNCTION("""COMPUTED_VALUE"""),23955.0)</f>
        <v>23955</v>
      </c>
    </row>
    <row r="79">
      <c r="A79" s="2">
        <f>IFERROR(__xludf.DUMMYFUNCTION("""COMPUTED_VALUE"""),42038.64583333333)</f>
        <v>42038.64583</v>
      </c>
      <c r="B79" s="1">
        <f>IFERROR(__xludf.DUMMYFUNCTION("""COMPUTED_VALUE"""),1994.45)</f>
        <v>1994.45</v>
      </c>
      <c r="C79" s="1">
        <f>IFERROR(__xludf.DUMMYFUNCTION("""COMPUTED_VALUE"""),2045.95)</f>
        <v>2045.95</v>
      </c>
      <c r="D79" s="1">
        <f>IFERROR(__xludf.DUMMYFUNCTION("""COMPUTED_VALUE"""),1994.45)</f>
        <v>1994.45</v>
      </c>
      <c r="E79" s="1">
        <f>IFERROR(__xludf.DUMMYFUNCTION("""COMPUTED_VALUE"""),2045.95)</f>
        <v>2045.95</v>
      </c>
      <c r="F79" s="1">
        <f>IFERROR(__xludf.DUMMYFUNCTION("""COMPUTED_VALUE"""),23109.0)</f>
        <v>23109</v>
      </c>
    </row>
    <row r="80">
      <c r="A80" s="2">
        <f>IFERROR(__xludf.DUMMYFUNCTION("""COMPUTED_VALUE"""),42039.64583333333)</f>
        <v>42039.64583</v>
      </c>
      <c r="B80" s="1">
        <f>IFERROR(__xludf.DUMMYFUNCTION("""COMPUTED_VALUE"""),2045.95)</f>
        <v>2045.95</v>
      </c>
      <c r="C80" s="1">
        <f>IFERROR(__xludf.DUMMYFUNCTION("""COMPUTED_VALUE"""),2059.99)</f>
        <v>2059.99</v>
      </c>
      <c r="D80" s="1">
        <f>IFERROR(__xludf.DUMMYFUNCTION("""COMPUTED_VALUE"""),2041.27)</f>
        <v>2041.27</v>
      </c>
      <c r="E80" s="1">
        <f>IFERROR(__xludf.DUMMYFUNCTION("""COMPUTED_VALUE"""),2055.31)</f>
        <v>2055.31</v>
      </c>
      <c r="F80" s="1">
        <f>IFERROR(__xludf.DUMMYFUNCTION("""COMPUTED_VALUE"""),12932.0)</f>
        <v>12932</v>
      </c>
    </row>
    <row r="81">
      <c r="A81" s="2">
        <f>IFERROR(__xludf.DUMMYFUNCTION("""COMPUTED_VALUE"""),42040.64583333333)</f>
        <v>42040.64583</v>
      </c>
      <c r="B81" s="1">
        <f>IFERROR(__xludf.DUMMYFUNCTION("""COMPUTED_VALUE"""),2059.99)</f>
        <v>2059.99</v>
      </c>
      <c r="C81" s="1">
        <f>IFERROR(__xludf.DUMMYFUNCTION("""COMPUTED_VALUE"""),2059.99)</f>
        <v>2059.99</v>
      </c>
      <c r="D81" s="1">
        <f>IFERROR(__xludf.DUMMYFUNCTION("""COMPUTED_VALUE"""),2031.9)</f>
        <v>2031.9</v>
      </c>
      <c r="E81" s="1">
        <f>IFERROR(__xludf.DUMMYFUNCTION("""COMPUTED_VALUE"""),2055.31)</f>
        <v>2055.31</v>
      </c>
      <c r="F81" s="1">
        <f>IFERROR(__xludf.DUMMYFUNCTION("""COMPUTED_VALUE"""),9061.0)</f>
        <v>9061</v>
      </c>
    </row>
    <row r="82">
      <c r="A82" s="2">
        <f>IFERROR(__xludf.DUMMYFUNCTION("""COMPUTED_VALUE"""),42041.64583333333)</f>
        <v>42041.64583</v>
      </c>
      <c r="B82" s="1">
        <f>IFERROR(__xludf.DUMMYFUNCTION("""COMPUTED_VALUE"""),2055.31)</f>
        <v>2055.31</v>
      </c>
      <c r="C82" s="1">
        <f>IFERROR(__xludf.DUMMYFUNCTION("""COMPUTED_VALUE"""),2055.31)</f>
        <v>2055.31</v>
      </c>
      <c r="D82" s="1">
        <f>IFERROR(__xludf.DUMMYFUNCTION("""COMPUTED_VALUE"""),2045.95)</f>
        <v>2045.95</v>
      </c>
      <c r="E82" s="1">
        <f>IFERROR(__xludf.DUMMYFUNCTION("""COMPUTED_VALUE"""),2055.31)</f>
        <v>2055.31</v>
      </c>
      <c r="F82" s="1">
        <f>IFERROR(__xludf.DUMMYFUNCTION("""COMPUTED_VALUE"""),2080.0)</f>
        <v>2080</v>
      </c>
    </row>
    <row r="83">
      <c r="A83" s="2">
        <f>IFERROR(__xludf.DUMMYFUNCTION("""COMPUTED_VALUE"""),42044.64583333333)</f>
        <v>42044.64583</v>
      </c>
      <c r="B83" s="1">
        <f>IFERROR(__xludf.DUMMYFUNCTION("""COMPUTED_VALUE"""),2027.22)</f>
        <v>2027.22</v>
      </c>
      <c r="C83" s="1">
        <f>IFERROR(__xludf.DUMMYFUNCTION("""COMPUTED_VALUE"""),2078.72)</f>
        <v>2078.72</v>
      </c>
      <c r="D83" s="1">
        <f>IFERROR(__xludf.DUMMYFUNCTION("""COMPUTED_VALUE"""),2022.54)</f>
        <v>2022.54</v>
      </c>
      <c r="E83" s="1">
        <f>IFERROR(__xludf.DUMMYFUNCTION("""COMPUTED_VALUE"""),2064.68)</f>
        <v>2064.68</v>
      </c>
      <c r="F83" s="1">
        <f>IFERROR(__xludf.DUMMYFUNCTION("""COMPUTED_VALUE"""),20346.0)</f>
        <v>20346</v>
      </c>
    </row>
    <row r="84">
      <c r="A84" s="2">
        <f>IFERROR(__xludf.DUMMYFUNCTION("""COMPUTED_VALUE"""),42045.64583333333)</f>
        <v>42045.64583</v>
      </c>
      <c r="B84" s="1">
        <f>IFERROR(__xludf.DUMMYFUNCTION("""COMPUTED_VALUE"""),2064.68)</f>
        <v>2064.68</v>
      </c>
      <c r="C84" s="1">
        <f>IFERROR(__xludf.DUMMYFUNCTION("""COMPUTED_VALUE"""),2064.68)</f>
        <v>2064.68</v>
      </c>
      <c r="D84" s="1">
        <f>IFERROR(__xludf.DUMMYFUNCTION("""COMPUTED_VALUE"""),1966.36)</f>
        <v>1966.36</v>
      </c>
      <c r="E84" s="1">
        <f>IFERROR(__xludf.DUMMYFUNCTION("""COMPUTED_VALUE"""),1985.09)</f>
        <v>1985.09</v>
      </c>
      <c r="F84" s="1">
        <f>IFERROR(__xludf.DUMMYFUNCTION("""COMPUTED_VALUE"""),200111.0)</f>
        <v>200111</v>
      </c>
    </row>
    <row r="85">
      <c r="A85" s="2">
        <f>IFERROR(__xludf.DUMMYFUNCTION("""COMPUTED_VALUE"""),42046.64583333333)</f>
        <v>42046.64583</v>
      </c>
      <c r="B85" s="1">
        <f>IFERROR(__xludf.DUMMYFUNCTION("""COMPUTED_VALUE"""),1980.4)</f>
        <v>1980.4</v>
      </c>
      <c r="C85" s="1">
        <f>IFERROR(__xludf.DUMMYFUNCTION("""COMPUTED_VALUE"""),2017.86)</f>
        <v>2017.86</v>
      </c>
      <c r="D85" s="1">
        <f>IFERROR(__xludf.DUMMYFUNCTION("""COMPUTED_VALUE"""),1980.4)</f>
        <v>1980.4</v>
      </c>
      <c r="E85" s="1">
        <f>IFERROR(__xludf.DUMMYFUNCTION("""COMPUTED_VALUE"""),2013.18)</f>
        <v>2013.18</v>
      </c>
      <c r="F85" s="1">
        <f>IFERROR(__xludf.DUMMYFUNCTION("""COMPUTED_VALUE"""),28801.0)</f>
        <v>28801</v>
      </c>
    </row>
    <row r="86">
      <c r="A86" s="2">
        <f>IFERROR(__xludf.DUMMYFUNCTION("""COMPUTED_VALUE"""),42047.64583333333)</f>
        <v>42047.64583</v>
      </c>
      <c r="B86" s="1">
        <f>IFERROR(__xludf.DUMMYFUNCTION("""COMPUTED_VALUE"""),1980.4)</f>
        <v>1980.4</v>
      </c>
      <c r="C86" s="1">
        <f>IFERROR(__xludf.DUMMYFUNCTION("""COMPUTED_VALUE"""),1985.09)</f>
        <v>1985.09</v>
      </c>
      <c r="D86" s="1">
        <f>IFERROR(__xludf.DUMMYFUNCTION("""COMPUTED_VALUE"""),1961.68)</f>
        <v>1961.68</v>
      </c>
      <c r="E86" s="1">
        <f>IFERROR(__xludf.DUMMYFUNCTION("""COMPUTED_VALUE"""),1985.09)</f>
        <v>1985.09</v>
      </c>
      <c r="F86" s="1">
        <f>IFERROR(__xludf.DUMMYFUNCTION("""COMPUTED_VALUE"""),31289.0)</f>
        <v>31289</v>
      </c>
    </row>
    <row r="87">
      <c r="A87" s="2">
        <f>IFERROR(__xludf.DUMMYFUNCTION("""COMPUTED_VALUE"""),42048.64583333333)</f>
        <v>42048.64583</v>
      </c>
      <c r="B87" s="1">
        <f>IFERROR(__xludf.DUMMYFUNCTION("""COMPUTED_VALUE"""),1985.09)</f>
        <v>1985.09</v>
      </c>
      <c r="C87" s="1">
        <f>IFERROR(__xludf.DUMMYFUNCTION("""COMPUTED_VALUE"""),2013.18)</f>
        <v>2013.18</v>
      </c>
      <c r="D87" s="1">
        <f>IFERROR(__xludf.DUMMYFUNCTION("""COMPUTED_VALUE"""),1966.36)</f>
        <v>1966.36</v>
      </c>
      <c r="E87" s="1">
        <f>IFERROR(__xludf.DUMMYFUNCTION("""COMPUTED_VALUE"""),2013.18)</f>
        <v>2013.18</v>
      </c>
      <c r="F87" s="1">
        <f>IFERROR(__xludf.DUMMYFUNCTION("""COMPUTED_VALUE"""),25550.0)</f>
        <v>25550</v>
      </c>
    </row>
    <row r="88">
      <c r="A88" s="2">
        <f>IFERROR(__xludf.DUMMYFUNCTION("""COMPUTED_VALUE"""),42051.64583333333)</f>
        <v>42051.64583</v>
      </c>
      <c r="B88" s="1">
        <f>IFERROR(__xludf.DUMMYFUNCTION("""COMPUTED_VALUE"""),2013.18)</f>
        <v>2013.18</v>
      </c>
      <c r="C88" s="1">
        <f>IFERROR(__xludf.DUMMYFUNCTION("""COMPUTED_VALUE"""),2013.18)</f>
        <v>2013.18</v>
      </c>
      <c r="D88" s="1">
        <f>IFERROR(__xludf.DUMMYFUNCTION("""COMPUTED_VALUE"""),1971.04)</f>
        <v>1971.04</v>
      </c>
      <c r="E88" s="1">
        <f>IFERROR(__xludf.DUMMYFUNCTION("""COMPUTED_VALUE"""),1989.77)</f>
        <v>1989.77</v>
      </c>
      <c r="F88" s="1">
        <f>IFERROR(__xludf.DUMMYFUNCTION("""COMPUTED_VALUE"""),24550.0)</f>
        <v>24550</v>
      </c>
    </row>
    <row r="89">
      <c r="A89" s="2">
        <f>IFERROR(__xludf.DUMMYFUNCTION("""COMPUTED_VALUE"""),42052.64583333333)</f>
        <v>42052.64583</v>
      </c>
      <c r="B89" s="1">
        <f>IFERROR(__xludf.DUMMYFUNCTION("""COMPUTED_VALUE"""),1999.13)</f>
        <v>1999.13</v>
      </c>
      <c r="C89" s="1">
        <f>IFERROR(__xludf.DUMMYFUNCTION("""COMPUTED_VALUE"""),2022.54)</f>
        <v>2022.54</v>
      </c>
      <c r="D89" s="1">
        <f>IFERROR(__xludf.DUMMYFUNCTION("""COMPUTED_VALUE"""),1985.09)</f>
        <v>1985.09</v>
      </c>
      <c r="E89" s="1">
        <f>IFERROR(__xludf.DUMMYFUNCTION("""COMPUTED_VALUE"""),1999.13)</f>
        <v>1999.13</v>
      </c>
      <c r="F89" s="1">
        <f>IFERROR(__xludf.DUMMYFUNCTION("""COMPUTED_VALUE"""),47821.0)</f>
        <v>47821</v>
      </c>
    </row>
    <row r="90">
      <c r="A90" s="2">
        <f>IFERROR(__xludf.DUMMYFUNCTION("""COMPUTED_VALUE"""),42058.64583333333)</f>
        <v>42058.64583</v>
      </c>
      <c r="B90" s="1">
        <f>IFERROR(__xludf.DUMMYFUNCTION("""COMPUTED_VALUE"""),2036.58)</f>
        <v>2036.58</v>
      </c>
      <c r="C90" s="1">
        <f>IFERROR(__xludf.DUMMYFUNCTION("""COMPUTED_VALUE"""),2036.58)</f>
        <v>2036.58</v>
      </c>
      <c r="D90" s="1">
        <f>IFERROR(__xludf.DUMMYFUNCTION("""COMPUTED_VALUE"""),2008.49)</f>
        <v>2008.49</v>
      </c>
      <c r="E90" s="1">
        <f>IFERROR(__xludf.DUMMYFUNCTION("""COMPUTED_VALUE"""),2022.54)</f>
        <v>2022.54</v>
      </c>
      <c r="F90" s="1">
        <f>IFERROR(__xludf.DUMMYFUNCTION("""COMPUTED_VALUE"""),21789.0)</f>
        <v>21789</v>
      </c>
    </row>
    <row r="91">
      <c r="A91" s="2">
        <f>IFERROR(__xludf.DUMMYFUNCTION("""COMPUTED_VALUE"""),42059.64583333333)</f>
        <v>42059.64583</v>
      </c>
      <c r="B91" s="1">
        <f>IFERROR(__xludf.DUMMYFUNCTION("""COMPUTED_VALUE"""),2041.27)</f>
        <v>2041.27</v>
      </c>
      <c r="C91" s="1">
        <f>IFERROR(__xludf.DUMMYFUNCTION("""COMPUTED_VALUE"""),2050.63)</f>
        <v>2050.63</v>
      </c>
      <c r="D91" s="1">
        <f>IFERROR(__xludf.DUMMYFUNCTION("""COMPUTED_VALUE"""),2027.22)</f>
        <v>2027.22</v>
      </c>
      <c r="E91" s="1">
        <f>IFERROR(__xludf.DUMMYFUNCTION("""COMPUTED_VALUE"""),2031.9)</f>
        <v>2031.9</v>
      </c>
      <c r="F91" s="1">
        <f>IFERROR(__xludf.DUMMYFUNCTION("""COMPUTED_VALUE"""),14082.0)</f>
        <v>14082</v>
      </c>
    </row>
    <row r="92">
      <c r="A92" s="2">
        <f>IFERROR(__xludf.DUMMYFUNCTION("""COMPUTED_VALUE"""),42060.64583333333)</f>
        <v>42060.64583</v>
      </c>
      <c r="B92" s="1">
        <f>IFERROR(__xludf.DUMMYFUNCTION("""COMPUTED_VALUE"""),2041.27)</f>
        <v>2041.27</v>
      </c>
      <c r="C92" s="1">
        <f>IFERROR(__xludf.DUMMYFUNCTION("""COMPUTED_VALUE"""),2050.63)</f>
        <v>2050.63</v>
      </c>
      <c r="D92" s="1">
        <f>IFERROR(__xludf.DUMMYFUNCTION("""COMPUTED_VALUE"""),2003.81)</f>
        <v>2003.81</v>
      </c>
      <c r="E92" s="1">
        <f>IFERROR(__xludf.DUMMYFUNCTION("""COMPUTED_VALUE"""),2022.54)</f>
        <v>2022.54</v>
      </c>
      <c r="F92" s="1">
        <f>IFERROR(__xludf.DUMMYFUNCTION("""COMPUTED_VALUE"""),41290.0)</f>
        <v>41290</v>
      </c>
    </row>
    <row r="93">
      <c r="A93" s="2">
        <f>IFERROR(__xludf.DUMMYFUNCTION("""COMPUTED_VALUE"""),42061.64583333333)</f>
        <v>42061.64583</v>
      </c>
      <c r="B93" s="1">
        <f>IFERROR(__xludf.DUMMYFUNCTION("""COMPUTED_VALUE"""),2022.54)</f>
        <v>2022.54</v>
      </c>
      <c r="C93" s="1">
        <f>IFERROR(__xludf.DUMMYFUNCTION("""COMPUTED_VALUE"""),2050.63)</f>
        <v>2050.63</v>
      </c>
      <c r="D93" s="1">
        <f>IFERROR(__xludf.DUMMYFUNCTION("""COMPUTED_VALUE"""),2022.54)</f>
        <v>2022.54</v>
      </c>
      <c r="E93" s="1">
        <f>IFERROR(__xludf.DUMMYFUNCTION("""COMPUTED_VALUE"""),2050.63)</f>
        <v>2050.63</v>
      </c>
      <c r="F93" s="1">
        <f>IFERROR(__xludf.DUMMYFUNCTION("""COMPUTED_VALUE"""),30654.0)</f>
        <v>30654</v>
      </c>
    </row>
    <row r="94">
      <c r="A94" s="2">
        <f>IFERROR(__xludf.DUMMYFUNCTION("""COMPUTED_VALUE"""),42062.64583333333)</f>
        <v>42062.64583</v>
      </c>
      <c r="B94" s="1">
        <f>IFERROR(__xludf.DUMMYFUNCTION("""COMPUTED_VALUE"""),2041.27)</f>
        <v>2041.27</v>
      </c>
      <c r="C94" s="1">
        <f>IFERROR(__xludf.DUMMYFUNCTION("""COMPUTED_VALUE"""),2069.36)</f>
        <v>2069.36</v>
      </c>
      <c r="D94" s="1">
        <f>IFERROR(__xludf.DUMMYFUNCTION("""COMPUTED_VALUE"""),2041.27)</f>
        <v>2041.27</v>
      </c>
      <c r="E94" s="1">
        <f>IFERROR(__xludf.DUMMYFUNCTION("""COMPUTED_VALUE"""),2050.63)</f>
        <v>2050.63</v>
      </c>
      <c r="F94" s="1">
        <f>IFERROR(__xludf.DUMMYFUNCTION("""COMPUTED_VALUE"""),19340.0)</f>
        <v>19340</v>
      </c>
    </row>
    <row r="95">
      <c r="A95" s="2">
        <f>IFERROR(__xludf.DUMMYFUNCTION("""COMPUTED_VALUE"""),42065.64583333333)</f>
        <v>42065.64583</v>
      </c>
      <c r="B95" s="1">
        <f>IFERROR(__xludf.DUMMYFUNCTION("""COMPUTED_VALUE"""),2059.99)</f>
        <v>2059.99</v>
      </c>
      <c r="C95" s="1">
        <f>IFERROR(__xludf.DUMMYFUNCTION("""COMPUTED_VALUE"""),2078.72)</f>
        <v>2078.72</v>
      </c>
      <c r="D95" s="1">
        <f>IFERROR(__xludf.DUMMYFUNCTION("""COMPUTED_VALUE"""),2050.63)</f>
        <v>2050.63</v>
      </c>
      <c r="E95" s="1">
        <f>IFERROR(__xludf.DUMMYFUNCTION("""COMPUTED_VALUE"""),2069.36)</f>
        <v>2069.36</v>
      </c>
      <c r="F95" s="1">
        <f>IFERROR(__xludf.DUMMYFUNCTION("""COMPUTED_VALUE"""),23999.0)</f>
        <v>23999</v>
      </c>
    </row>
    <row r="96">
      <c r="A96" s="2">
        <f>IFERROR(__xludf.DUMMYFUNCTION("""COMPUTED_VALUE"""),42066.64583333333)</f>
        <v>42066.64583</v>
      </c>
      <c r="B96" s="1">
        <f>IFERROR(__xludf.DUMMYFUNCTION("""COMPUTED_VALUE"""),2055.31)</f>
        <v>2055.31</v>
      </c>
      <c r="C96" s="1">
        <f>IFERROR(__xludf.DUMMYFUNCTION("""COMPUTED_VALUE"""),2069.36)</f>
        <v>2069.36</v>
      </c>
      <c r="D96" s="1">
        <f>IFERROR(__xludf.DUMMYFUNCTION("""COMPUTED_VALUE"""),2055.31)</f>
        <v>2055.31</v>
      </c>
      <c r="E96" s="1">
        <f>IFERROR(__xludf.DUMMYFUNCTION("""COMPUTED_VALUE"""),2059.99)</f>
        <v>2059.99</v>
      </c>
      <c r="F96" s="1">
        <f>IFERROR(__xludf.DUMMYFUNCTION("""COMPUTED_VALUE"""),30852.0)</f>
        <v>30852</v>
      </c>
    </row>
    <row r="97">
      <c r="A97" s="2">
        <f>IFERROR(__xludf.DUMMYFUNCTION("""COMPUTED_VALUE"""),42067.64583333333)</f>
        <v>42067.64583</v>
      </c>
      <c r="B97" s="1">
        <f>IFERROR(__xludf.DUMMYFUNCTION("""COMPUTED_VALUE"""),2059.99)</f>
        <v>2059.99</v>
      </c>
      <c r="C97" s="1">
        <f>IFERROR(__xludf.DUMMYFUNCTION("""COMPUTED_VALUE"""),2078.72)</f>
        <v>2078.72</v>
      </c>
      <c r="D97" s="1">
        <f>IFERROR(__xludf.DUMMYFUNCTION("""COMPUTED_VALUE"""),2055.31)</f>
        <v>2055.31</v>
      </c>
      <c r="E97" s="1">
        <f>IFERROR(__xludf.DUMMYFUNCTION("""COMPUTED_VALUE"""),2064.68)</f>
        <v>2064.68</v>
      </c>
      <c r="F97" s="1">
        <f>IFERROR(__xludf.DUMMYFUNCTION("""COMPUTED_VALUE"""),40139.0)</f>
        <v>40139</v>
      </c>
    </row>
    <row r="98">
      <c r="A98" s="2">
        <f>IFERROR(__xludf.DUMMYFUNCTION("""COMPUTED_VALUE"""),42068.64583333333)</f>
        <v>42068.64583</v>
      </c>
      <c r="B98" s="1">
        <f>IFERROR(__xludf.DUMMYFUNCTION("""COMPUTED_VALUE"""),2064.68)</f>
        <v>2064.68</v>
      </c>
      <c r="C98" s="1">
        <f>IFERROR(__xludf.DUMMYFUNCTION("""COMPUTED_VALUE"""),2092.77)</f>
        <v>2092.77</v>
      </c>
      <c r="D98" s="1">
        <f>IFERROR(__xludf.DUMMYFUNCTION("""COMPUTED_VALUE"""),2064.68)</f>
        <v>2064.68</v>
      </c>
      <c r="E98" s="1">
        <f>IFERROR(__xludf.DUMMYFUNCTION("""COMPUTED_VALUE"""),2074.04)</f>
        <v>2074.04</v>
      </c>
      <c r="F98" s="1">
        <f>IFERROR(__xludf.DUMMYFUNCTION("""COMPUTED_VALUE"""),41042.0)</f>
        <v>41042</v>
      </c>
    </row>
    <row r="99">
      <c r="A99" s="2">
        <f>IFERROR(__xludf.DUMMYFUNCTION("""COMPUTED_VALUE"""),42069.64583333333)</f>
        <v>42069.64583</v>
      </c>
      <c r="B99" s="1">
        <f>IFERROR(__xludf.DUMMYFUNCTION("""COMPUTED_VALUE"""),2102.13)</f>
        <v>2102.13</v>
      </c>
      <c r="C99" s="1">
        <f>IFERROR(__xludf.DUMMYFUNCTION("""COMPUTED_VALUE"""),2116.18)</f>
        <v>2116.18</v>
      </c>
      <c r="D99" s="1">
        <f>IFERROR(__xludf.DUMMYFUNCTION("""COMPUTED_VALUE"""),2078.72)</f>
        <v>2078.72</v>
      </c>
      <c r="E99" s="1">
        <f>IFERROR(__xludf.DUMMYFUNCTION("""COMPUTED_VALUE"""),2111.49)</f>
        <v>2111.49</v>
      </c>
      <c r="F99" s="1">
        <f>IFERROR(__xludf.DUMMYFUNCTION("""COMPUTED_VALUE"""),42238.0)</f>
        <v>42238</v>
      </c>
    </row>
    <row r="100">
      <c r="A100" s="2">
        <f>IFERROR(__xludf.DUMMYFUNCTION("""COMPUTED_VALUE"""),42072.64583333333)</f>
        <v>42072.64583</v>
      </c>
      <c r="B100" s="1">
        <f>IFERROR(__xludf.DUMMYFUNCTION("""COMPUTED_VALUE"""),2106.81)</f>
        <v>2106.81</v>
      </c>
      <c r="C100" s="1">
        <f>IFERROR(__xludf.DUMMYFUNCTION("""COMPUTED_VALUE"""),2111.49)</f>
        <v>2111.49</v>
      </c>
      <c r="D100" s="1">
        <f>IFERROR(__xludf.DUMMYFUNCTION("""COMPUTED_VALUE"""),2074.04)</f>
        <v>2074.04</v>
      </c>
      <c r="E100" s="1">
        <f>IFERROR(__xludf.DUMMYFUNCTION("""COMPUTED_VALUE"""),2088.08)</f>
        <v>2088.08</v>
      </c>
      <c r="F100" s="1">
        <f>IFERROR(__xludf.DUMMYFUNCTION("""COMPUTED_VALUE"""),28414.0)</f>
        <v>28414</v>
      </c>
    </row>
    <row r="101">
      <c r="A101" s="2">
        <f>IFERROR(__xludf.DUMMYFUNCTION("""COMPUTED_VALUE"""),42073.64583333333)</f>
        <v>42073.64583</v>
      </c>
      <c r="B101" s="1">
        <f>IFERROR(__xludf.DUMMYFUNCTION("""COMPUTED_VALUE"""),2059.99)</f>
        <v>2059.99</v>
      </c>
      <c r="C101" s="1">
        <f>IFERROR(__xludf.DUMMYFUNCTION("""COMPUTED_VALUE"""),2059.99)</f>
        <v>2059.99</v>
      </c>
      <c r="D101" s="1">
        <f>IFERROR(__xludf.DUMMYFUNCTION("""COMPUTED_VALUE"""),1966.36)</f>
        <v>1966.36</v>
      </c>
      <c r="E101" s="1">
        <f>IFERROR(__xludf.DUMMYFUNCTION("""COMPUTED_VALUE"""),2027.22)</f>
        <v>2027.22</v>
      </c>
      <c r="F101" s="1">
        <f>IFERROR(__xludf.DUMMYFUNCTION("""COMPUTED_VALUE"""),139079.0)</f>
        <v>139079</v>
      </c>
    </row>
    <row r="102">
      <c r="A102" s="2">
        <f>IFERROR(__xludf.DUMMYFUNCTION("""COMPUTED_VALUE"""),42074.64583333333)</f>
        <v>42074.64583</v>
      </c>
      <c r="B102" s="1">
        <f>IFERROR(__xludf.DUMMYFUNCTION("""COMPUTED_VALUE"""),2013.18)</f>
        <v>2013.18</v>
      </c>
      <c r="C102" s="1">
        <f>IFERROR(__xludf.DUMMYFUNCTION("""COMPUTED_VALUE"""),2041.27)</f>
        <v>2041.27</v>
      </c>
      <c r="D102" s="1">
        <f>IFERROR(__xludf.DUMMYFUNCTION("""COMPUTED_VALUE"""),2003.81)</f>
        <v>2003.81</v>
      </c>
      <c r="E102" s="1">
        <f>IFERROR(__xludf.DUMMYFUNCTION("""COMPUTED_VALUE"""),2027.22)</f>
        <v>2027.22</v>
      </c>
      <c r="F102" s="1">
        <f>IFERROR(__xludf.DUMMYFUNCTION("""COMPUTED_VALUE"""),69110.0)</f>
        <v>69110</v>
      </c>
    </row>
    <row r="103">
      <c r="A103" s="2">
        <f>IFERROR(__xludf.DUMMYFUNCTION("""COMPUTED_VALUE"""),42075.64583333333)</f>
        <v>42075.64583</v>
      </c>
      <c r="B103" s="1">
        <f>IFERROR(__xludf.DUMMYFUNCTION("""COMPUTED_VALUE"""),2022.54)</f>
        <v>2022.54</v>
      </c>
      <c r="C103" s="1">
        <f>IFERROR(__xludf.DUMMYFUNCTION("""COMPUTED_VALUE"""),2022.54)</f>
        <v>2022.54</v>
      </c>
      <c r="D103" s="1">
        <f>IFERROR(__xludf.DUMMYFUNCTION("""COMPUTED_VALUE"""),1989.77)</f>
        <v>1989.77</v>
      </c>
      <c r="E103" s="1">
        <f>IFERROR(__xludf.DUMMYFUNCTION("""COMPUTED_VALUE"""),2017.86)</f>
        <v>2017.86</v>
      </c>
      <c r="F103" s="1">
        <f>IFERROR(__xludf.DUMMYFUNCTION("""COMPUTED_VALUE"""),57346.0)</f>
        <v>57346</v>
      </c>
    </row>
    <row r="104">
      <c r="A104" s="2">
        <f>IFERROR(__xludf.DUMMYFUNCTION("""COMPUTED_VALUE"""),42076.64583333333)</f>
        <v>42076.64583</v>
      </c>
      <c r="B104" s="1">
        <f>IFERROR(__xludf.DUMMYFUNCTION("""COMPUTED_VALUE"""),2003.81)</f>
        <v>2003.81</v>
      </c>
      <c r="C104" s="1">
        <f>IFERROR(__xludf.DUMMYFUNCTION("""COMPUTED_VALUE"""),2041.27)</f>
        <v>2041.27</v>
      </c>
      <c r="D104" s="1">
        <f>IFERROR(__xludf.DUMMYFUNCTION("""COMPUTED_VALUE"""),2003.81)</f>
        <v>2003.81</v>
      </c>
      <c r="E104" s="1">
        <f>IFERROR(__xludf.DUMMYFUNCTION("""COMPUTED_VALUE"""),2017.86)</f>
        <v>2017.86</v>
      </c>
      <c r="F104" s="1">
        <f>IFERROR(__xludf.DUMMYFUNCTION("""COMPUTED_VALUE"""),24086.0)</f>
        <v>24086</v>
      </c>
    </row>
    <row r="105">
      <c r="A105" s="2">
        <f>IFERROR(__xludf.DUMMYFUNCTION("""COMPUTED_VALUE"""),42079.64583333333)</f>
        <v>42079.64583</v>
      </c>
      <c r="B105" s="1">
        <f>IFERROR(__xludf.DUMMYFUNCTION("""COMPUTED_VALUE"""),2022.54)</f>
        <v>2022.54</v>
      </c>
      <c r="C105" s="1">
        <f>IFERROR(__xludf.DUMMYFUNCTION("""COMPUTED_VALUE"""),2041.27)</f>
        <v>2041.27</v>
      </c>
      <c r="D105" s="1">
        <f>IFERROR(__xludf.DUMMYFUNCTION("""COMPUTED_VALUE"""),2022.54)</f>
        <v>2022.54</v>
      </c>
      <c r="E105" s="1">
        <f>IFERROR(__xludf.DUMMYFUNCTION("""COMPUTED_VALUE"""),2041.27)</f>
        <v>2041.27</v>
      </c>
      <c r="F105" s="1">
        <f>IFERROR(__xludf.DUMMYFUNCTION("""COMPUTED_VALUE"""),40927.0)</f>
        <v>40927</v>
      </c>
    </row>
    <row r="106">
      <c r="A106" s="2">
        <f>IFERROR(__xludf.DUMMYFUNCTION("""COMPUTED_VALUE"""),42080.64583333333)</f>
        <v>42080.64583</v>
      </c>
      <c r="B106" s="1">
        <f>IFERROR(__xludf.DUMMYFUNCTION("""COMPUTED_VALUE"""),2022.54)</f>
        <v>2022.54</v>
      </c>
      <c r="C106" s="1">
        <f>IFERROR(__xludf.DUMMYFUNCTION("""COMPUTED_VALUE"""),2050.63)</f>
        <v>2050.63</v>
      </c>
      <c r="D106" s="1">
        <f>IFERROR(__xludf.DUMMYFUNCTION("""COMPUTED_VALUE"""),2022.54)</f>
        <v>2022.54</v>
      </c>
      <c r="E106" s="1">
        <f>IFERROR(__xludf.DUMMYFUNCTION("""COMPUTED_VALUE"""),2031.9)</f>
        <v>2031.9</v>
      </c>
      <c r="F106" s="1">
        <f>IFERROR(__xludf.DUMMYFUNCTION("""COMPUTED_VALUE"""),27176.0)</f>
        <v>27176</v>
      </c>
    </row>
    <row r="107">
      <c r="A107" s="2">
        <f>IFERROR(__xludf.DUMMYFUNCTION("""COMPUTED_VALUE"""),42081.64583333333)</f>
        <v>42081.64583</v>
      </c>
      <c r="B107" s="1">
        <f>IFERROR(__xludf.DUMMYFUNCTION("""COMPUTED_VALUE"""),2055.31)</f>
        <v>2055.31</v>
      </c>
      <c r="C107" s="1">
        <f>IFERROR(__xludf.DUMMYFUNCTION("""COMPUTED_VALUE"""),2153.63)</f>
        <v>2153.63</v>
      </c>
      <c r="D107" s="1">
        <f>IFERROR(__xludf.DUMMYFUNCTION("""COMPUTED_VALUE"""),2055.31)</f>
        <v>2055.31</v>
      </c>
      <c r="E107" s="1">
        <f>IFERROR(__xludf.DUMMYFUNCTION("""COMPUTED_VALUE"""),2116.18)</f>
        <v>2116.18</v>
      </c>
      <c r="F107" s="1">
        <f>IFERROR(__xludf.DUMMYFUNCTION("""COMPUTED_VALUE"""),145814.0)</f>
        <v>145814</v>
      </c>
    </row>
    <row r="108">
      <c r="A108" s="2">
        <f>IFERROR(__xludf.DUMMYFUNCTION("""COMPUTED_VALUE"""),42082.64583333333)</f>
        <v>42082.64583</v>
      </c>
      <c r="B108" s="1">
        <f>IFERROR(__xludf.DUMMYFUNCTION("""COMPUTED_VALUE"""),2116.18)</f>
        <v>2116.18</v>
      </c>
      <c r="C108" s="1">
        <f>IFERROR(__xludf.DUMMYFUNCTION("""COMPUTED_VALUE"""),2181.72)</f>
        <v>2181.72</v>
      </c>
      <c r="D108" s="1">
        <f>IFERROR(__xludf.DUMMYFUNCTION("""COMPUTED_VALUE"""),2092.77)</f>
        <v>2092.77</v>
      </c>
      <c r="E108" s="1">
        <f>IFERROR(__xludf.DUMMYFUNCTION("""COMPUTED_VALUE"""),2158.31)</f>
        <v>2158.31</v>
      </c>
      <c r="F108" s="1">
        <f>IFERROR(__xludf.DUMMYFUNCTION("""COMPUTED_VALUE"""),147892.0)</f>
        <v>147892</v>
      </c>
    </row>
    <row r="109">
      <c r="A109" s="2">
        <f>IFERROR(__xludf.DUMMYFUNCTION("""COMPUTED_VALUE"""),42083.64583333333)</f>
        <v>42083.64583</v>
      </c>
      <c r="B109" s="1">
        <f>IFERROR(__xludf.DUMMYFUNCTION("""COMPUTED_VALUE"""),2177.04)</f>
        <v>2177.04</v>
      </c>
      <c r="C109" s="1">
        <f>IFERROR(__xludf.DUMMYFUNCTION("""COMPUTED_VALUE"""),2261.31)</f>
        <v>2261.31</v>
      </c>
      <c r="D109" s="1">
        <f>IFERROR(__xludf.DUMMYFUNCTION("""COMPUTED_VALUE"""),2162.99)</f>
        <v>2162.99</v>
      </c>
      <c r="E109" s="1">
        <f>IFERROR(__xludf.DUMMYFUNCTION("""COMPUTED_VALUE"""),2242.58)</f>
        <v>2242.58</v>
      </c>
      <c r="F109" s="1">
        <f>IFERROR(__xludf.DUMMYFUNCTION("""COMPUTED_VALUE"""),110872.0)</f>
        <v>110872</v>
      </c>
    </row>
    <row r="110">
      <c r="A110" s="2">
        <f>IFERROR(__xludf.DUMMYFUNCTION("""COMPUTED_VALUE"""),42086.64583333333)</f>
        <v>42086.64583</v>
      </c>
      <c r="B110" s="1">
        <f>IFERROR(__xludf.DUMMYFUNCTION("""COMPUTED_VALUE"""),2237.9)</f>
        <v>2237.9</v>
      </c>
      <c r="C110" s="1">
        <f>IFERROR(__xludf.DUMMYFUNCTION("""COMPUTED_VALUE"""),2284.72)</f>
        <v>2284.72</v>
      </c>
      <c r="D110" s="1">
        <f>IFERROR(__xludf.DUMMYFUNCTION("""COMPUTED_VALUE"""),2209.81)</f>
        <v>2209.81</v>
      </c>
      <c r="E110" s="1">
        <f>IFERROR(__xludf.DUMMYFUNCTION("""COMPUTED_VALUE"""),2247.27)</f>
        <v>2247.27</v>
      </c>
      <c r="F110" s="1">
        <f>IFERROR(__xludf.DUMMYFUNCTION("""COMPUTED_VALUE"""),96140.0)</f>
        <v>96140</v>
      </c>
    </row>
    <row r="111">
      <c r="A111" s="2">
        <f>IFERROR(__xludf.DUMMYFUNCTION("""COMPUTED_VALUE"""),42087.64583333333)</f>
        <v>42087.64583</v>
      </c>
      <c r="B111" s="1">
        <f>IFERROR(__xludf.DUMMYFUNCTION("""COMPUTED_VALUE"""),2275.36)</f>
        <v>2275.36</v>
      </c>
      <c r="C111" s="1">
        <f>IFERROR(__xludf.DUMMYFUNCTION("""COMPUTED_VALUE"""),2298.77)</f>
        <v>2298.77</v>
      </c>
      <c r="D111" s="1">
        <f>IFERROR(__xludf.DUMMYFUNCTION("""COMPUTED_VALUE"""),2097.45)</f>
        <v>2097.45</v>
      </c>
      <c r="E111" s="1">
        <f>IFERROR(__xludf.DUMMYFUNCTION("""COMPUTED_VALUE"""),2200.45)</f>
        <v>2200.45</v>
      </c>
      <c r="F111" s="1">
        <f>IFERROR(__xludf.DUMMYFUNCTION("""COMPUTED_VALUE"""),97097.0)</f>
        <v>97097</v>
      </c>
    </row>
    <row r="112">
      <c r="A112" s="2">
        <f>IFERROR(__xludf.DUMMYFUNCTION("""COMPUTED_VALUE"""),42088.64583333333)</f>
        <v>42088.64583</v>
      </c>
      <c r="B112" s="1">
        <f>IFERROR(__xludf.DUMMYFUNCTION("""COMPUTED_VALUE"""),2134.9)</f>
        <v>2134.9</v>
      </c>
      <c r="C112" s="1">
        <f>IFERROR(__xludf.DUMMYFUNCTION("""COMPUTED_VALUE"""),2219.18)</f>
        <v>2219.18</v>
      </c>
      <c r="D112" s="1">
        <f>IFERROR(__xludf.DUMMYFUNCTION("""COMPUTED_VALUE"""),2134.9)</f>
        <v>2134.9</v>
      </c>
      <c r="E112" s="1">
        <f>IFERROR(__xludf.DUMMYFUNCTION("""COMPUTED_VALUE"""),2191.08)</f>
        <v>2191.08</v>
      </c>
      <c r="F112" s="1">
        <f>IFERROR(__xludf.DUMMYFUNCTION("""COMPUTED_VALUE"""),159356.0)</f>
        <v>159356</v>
      </c>
    </row>
    <row r="113">
      <c r="A113" s="2">
        <f>IFERROR(__xludf.DUMMYFUNCTION("""COMPUTED_VALUE"""),42089.64583333333)</f>
        <v>42089.64583</v>
      </c>
      <c r="B113" s="1">
        <f>IFERROR(__xludf.DUMMYFUNCTION("""COMPUTED_VALUE"""),2242.58)</f>
        <v>2242.58</v>
      </c>
      <c r="C113" s="1">
        <f>IFERROR(__xludf.DUMMYFUNCTION("""COMPUTED_VALUE"""),2242.58)</f>
        <v>2242.58</v>
      </c>
      <c r="D113" s="1">
        <f>IFERROR(__xludf.DUMMYFUNCTION("""COMPUTED_VALUE"""),2111.49)</f>
        <v>2111.49</v>
      </c>
      <c r="E113" s="1">
        <f>IFERROR(__xludf.DUMMYFUNCTION("""COMPUTED_VALUE"""),2120.86)</f>
        <v>2120.86</v>
      </c>
      <c r="F113" s="1">
        <f>IFERROR(__xludf.DUMMYFUNCTION("""COMPUTED_VALUE"""),45189.0)</f>
        <v>45189</v>
      </c>
    </row>
    <row r="114">
      <c r="A114" s="2">
        <f>IFERROR(__xludf.DUMMYFUNCTION("""COMPUTED_VALUE"""),42090.64583333333)</f>
        <v>42090.64583</v>
      </c>
      <c r="B114" s="1">
        <f>IFERROR(__xludf.DUMMYFUNCTION("""COMPUTED_VALUE"""),2120.86)</f>
        <v>2120.86</v>
      </c>
      <c r="C114" s="1">
        <f>IFERROR(__xludf.DUMMYFUNCTION("""COMPUTED_VALUE"""),2209.81)</f>
        <v>2209.81</v>
      </c>
      <c r="D114" s="1">
        <f>IFERROR(__xludf.DUMMYFUNCTION("""COMPUTED_VALUE"""),2022.54)</f>
        <v>2022.54</v>
      </c>
      <c r="E114" s="1">
        <f>IFERROR(__xludf.DUMMYFUNCTION("""COMPUTED_VALUE"""),2045.95)</f>
        <v>2045.95</v>
      </c>
      <c r="F114" s="1">
        <f>IFERROR(__xludf.DUMMYFUNCTION("""COMPUTED_VALUE"""),97003.0)</f>
        <v>97003</v>
      </c>
    </row>
    <row r="115">
      <c r="A115" s="2">
        <f>IFERROR(__xludf.DUMMYFUNCTION("""COMPUTED_VALUE"""),42093.64583333333)</f>
        <v>42093.64583</v>
      </c>
      <c r="B115" s="1">
        <f>IFERROR(__xludf.DUMMYFUNCTION("""COMPUTED_VALUE"""),2050.63)</f>
        <v>2050.63</v>
      </c>
      <c r="C115" s="1">
        <f>IFERROR(__xludf.DUMMYFUNCTION("""COMPUTED_VALUE"""),2139.58)</f>
        <v>2139.58</v>
      </c>
      <c r="D115" s="1">
        <f>IFERROR(__xludf.DUMMYFUNCTION("""COMPUTED_VALUE"""),2027.22)</f>
        <v>2027.22</v>
      </c>
      <c r="E115" s="1">
        <f>IFERROR(__xludf.DUMMYFUNCTION("""COMPUTED_VALUE"""),2111.49)</f>
        <v>2111.49</v>
      </c>
      <c r="F115" s="1">
        <f>IFERROR(__xludf.DUMMYFUNCTION("""COMPUTED_VALUE"""),86998.0)</f>
        <v>86998</v>
      </c>
    </row>
    <row r="116">
      <c r="A116" s="2">
        <f>IFERROR(__xludf.DUMMYFUNCTION("""COMPUTED_VALUE"""),42094.64583333333)</f>
        <v>42094.64583</v>
      </c>
      <c r="B116" s="1">
        <f>IFERROR(__xludf.DUMMYFUNCTION("""COMPUTED_VALUE"""),2125.54)</f>
        <v>2125.54</v>
      </c>
      <c r="C116" s="1">
        <f>IFERROR(__xludf.DUMMYFUNCTION("""COMPUTED_VALUE"""),2125.54)</f>
        <v>2125.54</v>
      </c>
      <c r="D116" s="1">
        <f>IFERROR(__xludf.DUMMYFUNCTION("""COMPUTED_VALUE"""),2027.22)</f>
        <v>2027.22</v>
      </c>
      <c r="E116" s="1">
        <f>IFERROR(__xludf.DUMMYFUNCTION("""COMPUTED_VALUE"""),2045.95)</f>
        <v>2045.95</v>
      </c>
      <c r="F116" s="1">
        <f>IFERROR(__xludf.DUMMYFUNCTION("""COMPUTED_VALUE"""),31983.0)</f>
        <v>31983</v>
      </c>
    </row>
    <row r="117">
      <c r="A117" s="2">
        <f>IFERROR(__xludf.DUMMYFUNCTION("""COMPUTED_VALUE"""),42095.64583333333)</f>
        <v>42095.64583</v>
      </c>
      <c r="B117" s="1">
        <f>IFERROR(__xludf.DUMMYFUNCTION("""COMPUTED_VALUE"""),2045.95)</f>
        <v>2045.95</v>
      </c>
      <c r="C117" s="1">
        <f>IFERROR(__xludf.DUMMYFUNCTION("""COMPUTED_VALUE"""),2078.72)</f>
        <v>2078.72</v>
      </c>
      <c r="D117" s="1">
        <f>IFERROR(__xludf.DUMMYFUNCTION("""COMPUTED_VALUE"""),2036.58)</f>
        <v>2036.58</v>
      </c>
      <c r="E117" s="1">
        <f>IFERROR(__xludf.DUMMYFUNCTION("""COMPUTED_VALUE"""),2055.31)</f>
        <v>2055.31</v>
      </c>
      <c r="F117" s="1">
        <f>IFERROR(__xludf.DUMMYFUNCTION("""COMPUTED_VALUE"""),29784.0)</f>
        <v>29784</v>
      </c>
    </row>
    <row r="118">
      <c r="A118" s="2">
        <f>IFERROR(__xludf.DUMMYFUNCTION("""COMPUTED_VALUE"""),42096.64583333333)</f>
        <v>42096.64583</v>
      </c>
      <c r="B118" s="1">
        <f>IFERROR(__xludf.DUMMYFUNCTION("""COMPUTED_VALUE"""),2041.27)</f>
        <v>2041.27</v>
      </c>
      <c r="C118" s="1">
        <f>IFERROR(__xludf.DUMMYFUNCTION("""COMPUTED_VALUE"""),2069.36)</f>
        <v>2069.36</v>
      </c>
      <c r="D118" s="1">
        <f>IFERROR(__xludf.DUMMYFUNCTION("""COMPUTED_VALUE"""),2041.27)</f>
        <v>2041.27</v>
      </c>
      <c r="E118" s="1">
        <f>IFERROR(__xludf.DUMMYFUNCTION("""COMPUTED_VALUE"""),2059.99)</f>
        <v>2059.99</v>
      </c>
      <c r="F118" s="1">
        <f>IFERROR(__xludf.DUMMYFUNCTION("""COMPUTED_VALUE"""),22048.0)</f>
        <v>22048</v>
      </c>
    </row>
    <row r="119">
      <c r="A119" s="2">
        <f>IFERROR(__xludf.DUMMYFUNCTION("""COMPUTED_VALUE"""),42097.64583333333)</f>
        <v>42097.64583</v>
      </c>
      <c r="B119" s="1">
        <f>IFERROR(__xludf.DUMMYFUNCTION("""COMPUTED_VALUE"""),2059.99)</f>
        <v>2059.99</v>
      </c>
      <c r="C119" s="1">
        <f>IFERROR(__xludf.DUMMYFUNCTION("""COMPUTED_VALUE"""),2083.4)</f>
        <v>2083.4</v>
      </c>
      <c r="D119" s="1">
        <f>IFERROR(__xludf.DUMMYFUNCTION("""COMPUTED_VALUE"""),2059.99)</f>
        <v>2059.99</v>
      </c>
      <c r="E119" s="1">
        <f>IFERROR(__xludf.DUMMYFUNCTION("""COMPUTED_VALUE"""),2074.04)</f>
        <v>2074.04</v>
      </c>
      <c r="F119" s="1">
        <f>IFERROR(__xludf.DUMMYFUNCTION("""COMPUTED_VALUE"""),4651.0)</f>
        <v>4651</v>
      </c>
    </row>
    <row r="120">
      <c r="A120" s="2">
        <f>IFERROR(__xludf.DUMMYFUNCTION("""COMPUTED_VALUE"""),42100.64583333333)</f>
        <v>42100.64583</v>
      </c>
      <c r="B120" s="1">
        <f>IFERROR(__xludf.DUMMYFUNCTION("""COMPUTED_VALUE"""),2088.08)</f>
        <v>2088.08</v>
      </c>
      <c r="C120" s="1">
        <f>IFERROR(__xludf.DUMMYFUNCTION("""COMPUTED_VALUE"""),2097.45)</f>
        <v>2097.45</v>
      </c>
      <c r="D120" s="1">
        <f>IFERROR(__xludf.DUMMYFUNCTION("""COMPUTED_VALUE"""),2078.72)</f>
        <v>2078.72</v>
      </c>
      <c r="E120" s="1">
        <f>IFERROR(__xludf.DUMMYFUNCTION("""COMPUTED_VALUE"""),2092.77)</f>
        <v>2092.77</v>
      </c>
      <c r="F120" s="1">
        <f>IFERROR(__xludf.DUMMYFUNCTION("""COMPUTED_VALUE"""),9241.0)</f>
        <v>9241</v>
      </c>
    </row>
    <row r="121">
      <c r="A121" s="2">
        <f>IFERROR(__xludf.DUMMYFUNCTION("""COMPUTED_VALUE"""),42101.64583333333)</f>
        <v>42101.64583</v>
      </c>
      <c r="B121" s="1">
        <f>IFERROR(__xludf.DUMMYFUNCTION("""COMPUTED_VALUE"""),2064.68)</f>
        <v>2064.68</v>
      </c>
      <c r="C121" s="1">
        <f>IFERROR(__xludf.DUMMYFUNCTION("""COMPUTED_VALUE"""),2088.08)</f>
        <v>2088.08</v>
      </c>
      <c r="D121" s="1">
        <f>IFERROR(__xludf.DUMMYFUNCTION("""COMPUTED_VALUE"""),2064.68)</f>
        <v>2064.68</v>
      </c>
      <c r="E121" s="1">
        <f>IFERROR(__xludf.DUMMYFUNCTION("""COMPUTED_VALUE"""),2088.08)</f>
        <v>2088.08</v>
      </c>
      <c r="F121" s="1">
        <f>IFERROR(__xludf.DUMMYFUNCTION("""COMPUTED_VALUE"""),8458.0)</f>
        <v>8458</v>
      </c>
    </row>
    <row r="122">
      <c r="A122" s="2">
        <f>IFERROR(__xludf.DUMMYFUNCTION("""COMPUTED_VALUE"""),42102.64583333333)</f>
        <v>42102.64583</v>
      </c>
      <c r="B122" s="1">
        <f>IFERROR(__xludf.DUMMYFUNCTION("""COMPUTED_VALUE"""),2102.13)</f>
        <v>2102.13</v>
      </c>
      <c r="C122" s="1">
        <f>IFERROR(__xludf.DUMMYFUNCTION("""COMPUTED_VALUE"""),2102.13)</f>
        <v>2102.13</v>
      </c>
      <c r="D122" s="1">
        <f>IFERROR(__xludf.DUMMYFUNCTION("""COMPUTED_VALUE"""),2059.99)</f>
        <v>2059.99</v>
      </c>
      <c r="E122" s="1">
        <f>IFERROR(__xludf.DUMMYFUNCTION("""COMPUTED_VALUE"""),2059.99)</f>
        <v>2059.99</v>
      </c>
      <c r="F122" s="1">
        <f>IFERROR(__xludf.DUMMYFUNCTION("""COMPUTED_VALUE"""),40961.0)</f>
        <v>40961</v>
      </c>
    </row>
    <row r="123">
      <c r="A123" s="2">
        <f>IFERROR(__xludf.DUMMYFUNCTION("""COMPUTED_VALUE"""),42103.64583333333)</f>
        <v>42103.64583</v>
      </c>
      <c r="B123" s="1">
        <f>IFERROR(__xludf.DUMMYFUNCTION("""COMPUTED_VALUE"""),2069.36)</f>
        <v>2069.36</v>
      </c>
      <c r="C123" s="1">
        <f>IFERROR(__xludf.DUMMYFUNCTION("""COMPUTED_VALUE"""),2074.04)</f>
        <v>2074.04</v>
      </c>
      <c r="D123" s="1">
        <f>IFERROR(__xludf.DUMMYFUNCTION("""COMPUTED_VALUE"""),2055.31)</f>
        <v>2055.31</v>
      </c>
      <c r="E123" s="1">
        <f>IFERROR(__xludf.DUMMYFUNCTION("""COMPUTED_VALUE"""),2069.36)</f>
        <v>2069.36</v>
      </c>
      <c r="F123" s="1">
        <f>IFERROR(__xludf.DUMMYFUNCTION("""COMPUTED_VALUE"""),39758.0)</f>
        <v>39758</v>
      </c>
    </row>
    <row r="124">
      <c r="A124" s="2">
        <f>IFERROR(__xludf.DUMMYFUNCTION("""COMPUTED_VALUE"""),42104.64583333333)</f>
        <v>42104.64583</v>
      </c>
      <c r="B124" s="1">
        <f>IFERROR(__xludf.DUMMYFUNCTION("""COMPUTED_VALUE"""),2059.99)</f>
        <v>2059.99</v>
      </c>
      <c r="C124" s="1">
        <f>IFERROR(__xludf.DUMMYFUNCTION("""COMPUTED_VALUE"""),2088.08)</f>
        <v>2088.08</v>
      </c>
      <c r="D124" s="1">
        <f>IFERROR(__xludf.DUMMYFUNCTION("""COMPUTED_VALUE"""),2059.99)</f>
        <v>2059.99</v>
      </c>
      <c r="E124" s="1">
        <f>IFERROR(__xludf.DUMMYFUNCTION("""COMPUTED_VALUE"""),2074.04)</f>
        <v>2074.04</v>
      </c>
      <c r="F124" s="1">
        <f>IFERROR(__xludf.DUMMYFUNCTION("""COMPUTED_VALUE"""),16677.0)</f>
        <v>16677</v>
      </c>
    </row>
    <row r="125">
      <c r="A125" s="2">
        <f>IFERROR(__xludf.DUMMYFUNCTION("""COMPUTED_VALUE"""),42107.64583333333)</f>
        <v>42107.64583</v>
      </c>
      <c r="B125" s="1">
        <f>IFERROR(__xludf.DUMMYFUNCTION("""COMPUTED_VALUE"""),2144.27)</f>
        <v>2144.27</v>
      </c>
      <c r="C125" s="1">
        <f>IFERROR(__xludf.DUMMYFUNCTION("""COMPUTED_VALUE"""),2144.27)</f>
        <v>2144.27</v>
      </c>
      <c r="D125" s="1">
        <f>IFERROR(__xludf.DUMMYFUNCTION("""COMPUTED_VALUE"""),2059.99)</f>
        <v>2059.99</v>
      </c>
      <c r="E125" s="1">
        <f>IFERROR(__xludf.DUMMYFUNCTION("""COMPUTED_VALUE"""),2064.68)</f>
        <v>2064.68</v>
      </c>
      <c r="F125" s="1">
        <f>IFERROR(__xludf.DUMMYFUNCTION("""COMPUTED_VALUE"""),22343.0)</f>
        <v>22343</v>
      </c>
    </row>
    <row r="126">
      <c r="A126" s="2">
        <f>IFERROR(__xludf.DUMMYFUNCTION("""COMPUTED_VALUE"""),42108.64583333333)</f>
        <v>42108.64583</v>
      </c>
      <c r="B126" s="1">
        <f>IFERROR(__xludf.DUMMYFUNCTION("""COMPUTED_VALUE"""),2059.99)</f>
        <v>2059.99</v>
      </c>
      <c r="C126" s="1">
        <f>IFERROR(__xludf.DUMMYFUNCTION("""COMPUTED_VALUE"""),2120.86)</f>
        <v>2120.86</v>
      </c>
      <c r="D126" s="1">
        <f>IFERROR(__xludf.DUMMYFUNCTION("""COMPUTED_VALUE"""),2055.31)</f>
        <v>2055.31</v>
      </c>
      <c r="E126" s="1">
        <f>IFERROR(__xludf.DUMMYFUNCTION("""COMPUTED_VALUE"""),2069.36)</f>
        <v>2069.36</v>
      </c>
      <c r="F126" s="1">
        <f>IFERROR(__xludf.DUMMYFUNCTION("""COMPUTED_VALUE"""),43495.0)</f>
        <v>43495</v>
      </c>
    </row>
    <row r="127">
      <c r="A127" s="2">
        <f>IFERROR(__xludf.DUMMYFUNCTION("""COMPUTED_VALUE"""),42109.64583333333)</f>
        <v>42109.64583</v>
      </c>
      <c r="B127" s="1">
        <f>IFERROR(__xludf.DUMMYFUNCTION("""COMPUTED_VALUE"""),2074.04)</f>
        <v>2074.04</v>
      </c>
      <c r="C127" s="1">
        <f>IFERROR(__xludf.DUMMYFUNCTION("""COMPUTED_VALUE"""),2134.9)</f>
        <v>2134.9</v>
      </c>
      <c r="D127" s="1">
        <f>IFERROR(__xludf.DUMMYFUNCTION("""COMPUTED_VALUE"""),2064.68)</f>
        <v>2064.68</v>
      </c>
      <c r="E127" s="1">
        <f>IFERROR(__xludf.DUMMYFUNCTION("""COMPUTED_VALUE"""),2102.13)</f>
        <v>2102.13</v>
      </c>
      <c r="F127" s="1">
        <f>IFERROR(__xludf.DUMMYFUNCTION("""COMPUTED_VALUE"""),18605.0)</f>
        <v>18605</v>
      </c>
    </row>
    <row r="128">
      <c r="A128" s="2">
        <f>IFERROR(__xludf.DUMMYFUNCTION("""COMPUTED_VALUE"""),42110.64583333333)</f>
        <v>42110.64583</v>
      </c>
      <c r="B128" s="1">
        <f>IFERROR(__xludf.DUMMYFUNCTION("""COMPUTED_VALUE"""),2134.9)</f>
        <v>2134.9</v>
      </c>
      <c r="C128" s="1">
        <f>IFERROR(__xludf.DUMMYFUNCTION("""COMPUTED_VALUE"""),2134.9)</f>
        <v>2134.9</v>
      </c>
      <c r="D128" s="1">
        <f>IFERROR(__xludf.DUMMYFUNCTION("""COMPUTED_VALUE"""),2083.4)</f>
        <v>2083.4</v>
      </c>
      <c r="E128" s="1">
        <f>IFERROR(__xludf.DUMMYFUNCTION("""COMPUTED_VALUE"""),2102.13)</f>
        <v>2102.13</v>
      </c>
      <c r="F128" s="1">
        <f>IFERROR(__xludf.DUMMYFUNCTION("""COMPUTED_VALUE"""),10847.0)</f>
        <v>10847</v>
      </c>
    </row>
    <row r="129">
      <c r="A129" s="2">
        <f>IFERROR(__xludf.DUMMYFUNCTION("""COMPUTED_VALUE"""),42111.64583333333)</f>
        <v>42111.64583</v>
      </c>
      <c r="B129" s="1">
        <f>IFERROR(__xludf.DUMMYFUNCTION("""COMPUTED_VALUE"""),2083.4)</f>
        <v>2083.4</v>
      </c>
      <c r="C129" s="1">
        <f>IFERROR(__xludf.DUMMYFUNCTION("""COMPUTED_VALUE"""),2144.27)</f>
        <v>2144.27</v>
      </c>
      <c r="D129" s="1">
        <f>IFERROR(__xludf.DUMMYFUNCTION("""COMPUTED_VALUE"""),2083.4)</f>
        <v>2083.4</v>
      </c>
      <c r="E129" s="1">
        <f>IFERROR(__xludf.DUMMYFUNCTION("""COMPUTED_VALUE"""),2097.45)</f>
        <v>2097.45</v>
      </c>
      <c r="F129" s="1">
        <f>IFERROR(__xludf.DUMMYFUNCTION("""COMPUTED_VALUE"""),12144.0)</f>
        <v>12144</v>
      </c>
    </row>
    <row r="130">
      <c r="A130" s="2">
        <f>IFERROR(__xludf.DUMMYFUNCTION("""COMPUTED_VALUE"""),42114.64583333333)</f>
        <v>42114.64583</v>
      </c>
      <c r="B130" s="1">
        <f>IFERROR(__xludf.DUMMYFUNCTION("""COMPUTED_VALUE"""),2106.81)</f>
        <v>2106.81</v>
      </c>
      <c r="C130" s="1">
        <f>IFERROR(__xludf.DUMMYFUNCTION("""COMPUTED_VALUE"""),2106.81)</f>
        <v>2106.81</v>
      </c>
      <c r="D130" s="1">
        <f>IFERROR(__xludf.DUMMYFUNCTION("""COMPUTED_VALUE"""),2078.72)</f>
        <v>2078.72</v>
      </c>
      <c r="E130" s="1">
        <f>IFERROR(__xludf.DUMMYFUNCTION("""COMPUTED_VALUE"""),2102.13)</f>
        <v>2102.13</v>
      </c>
      <c r="F130" s="1">
        <f>IFERROR(__xludf.DUMMYFUNCTION("""COMPUTED_VALUE"""),44528.0)</f>
        <v>44528</v>
      </c>
    </row>
    <row r="131">
      <c r="A131" s="2">
        <f>IFERROR(__xludf.DUMMYFUNCTION("""COMPUTED_VALUE"""),42115.64583333333)</f>
        <v>42115.64583</v>
      </c>
      <c r="B131" s="1">
        <f>IFERROR(__xludf.DUMMYFUNCTION("""COMPUTED_VALUE"""),2106.81)</f>
        <v>2106.81</v>
      </c>
      <c r="C131" s="1">
        <f>IFERROR(__xludf.DUMMYFUNCTION("""COMPUTED_VALUE"""),2153.63)</f>
        <v>2153.63</v>
      </c>
      <c r="D131" s="1">
        <f>IFERROR(__xludf.DUMMYFUNCTION("""COMPUTED_VALUE"""),2102.13)</f>
        <v>2102.13</v>
      </c>
      <c r="E131" s="1">
        <f>IFERROR(__xludf.DUMMYFUNCTION("""COMPUTED_VALUE"""),2130.22)</f>
        <v>2130.22</v>
      </c>
      <c r="F131" s="1">
        <f>IFERROR(__xludf.DUMMYFUNCTION("""COMPUTED_VALUE"""),81251.0)</f>
        <v>81251</v>
      </c>
    </row>
    <row r="132">
      <c r="A132" s="2">
        <f>IFERROR(__xludf.DUMMYFUNCTION("""COMPUTED_VALUE"""),42116.64583333333)</f>
        <v>42116.64583</v>
      </c>
      <c r="B132" s="1">
        <f>IFERROR(__xludf.DUMMYFUNCTION("""COMPUTED_VALUE"""),2130.22)</f>
        <v>2130.22</v>
      </c>
      <c r="C132" s="1">
        <f>IFERROR(__xludf.DUMMYFUNCTION("""COMPUTED_VALUE"""),2148.95)</f>
        <v>2148.95</v>
      </c>
      <c r="D132" s="1">
        <f>IFERROR(__xludf.DUMMYFUNCTION("""COMPUTED_VALUE"""),2120.86)</f>
        <v>2120.86</v>
      </c>
      <c r="E132" s="1">
        <f>IFERROR(__xludf.DUMMYFUNCTION("""COMPUTED_VALUE"""),2130.22)</f>
        <v>2130.22</v>
      </c>
      <c r="F132" s="1">
        <f>IFERROR(__xludf.DUMMYFUNCTION("""COMPUTED_VALUE"""),42875.0)</f>
        <v>42875</v>
      </c>
    </row>
    <row r="133">
      <c r="A133" s="2">
        <f>IFERROR(__xludf.DUMMYFUNCTION("""COMPUTED_VALUE"""),42117.64583333333)</f>
        <v>42117.64583</v>
      </c>
      <c r="B133" s="1">
        <f>IFERROR(__xludf.DUMMYFUNCTION("""COMPUTED_VALUE"""),2144.27)</f>
        <v>2144.27</v>
      </c>
      <c r="C133" s="1">
        <f>IFERROR(__xludf.DUMMYFUNCTION("""COMPUTED_VALUE"""),2144.27)</f>
        <v>2144.27</v>
      </c>
      <c r="D133" s="1">
        <f>IFERROR(__xludf.DUMMYFUNCTION("""COMPUTED_VALUE"""),2125.54)</f>
        <v>2125.54</v>
      </c>
      <c r="E133" s="1">
        <f>IFERROR(__xludf.DUMMYFUNCTION("""COMPUTED_VALUE"""),2134.9)</f>
        <v>2134.9</v>
      </c>
      <c r="F133" s="1">
        <f>IFERROR(__xludf.DUMMYFUNCTION("""COMPUTED_VALUE"""),8339.0)</f>
        <v>8339</v>
      </c>
    </row>
    <row r="134">
      <c r="A134" s="2">
        <f>IFERROR(__xludf.DUMMYFUNCTION("""COMPUTED_VALUE"""),42118.64583333333)</f>
        <v>42118.64583</v>
      </c>
      <c r="B134" s="1">
        <f>IFERROR(__xludf.DUMMYFUNCTION("""COMPUTED_VALUE"""),2116.18)</f>
        <v>2116.18</v>
      </c>
      <c r="C134" s="1">
        <f>IFERROR(__xludf.DUMMYFUNCTION("""COMPUTED_VALUE"""),2148.95)</f>
        <v>2148.95</v>
      </c>
      <c r="D134" s="1">
        <f>IFERROR(__xludf.DUMMYFUNCTION("""COMPUTED_VALUE"""),2083.4)</f>
        <v>2083.4</v>
      </c>
      <c r="E134" s="1">
        <f>IFERROR(__xludf.DUMMYFUNCTION("""COMPUTED_VALUE"""),2111.49)</f>
        <v>2111.49</v>
      </c>
      <c r="F134" s="1">
        <f>IFERROR(__xludf.DUMMYFUNCTION("""COMPUTED_VALUE"""),36317.0)</f>
        <v>36317</v>
      </c>
    </row>
    <row r="135">
      <c r="A135" s="2">
        <f>IFERROR(__xludf.DUMMYFUNCTION("""COMPUTED_VALUE"""),42121.64583333333)</f>
        <v>42121.64583</v>
      </c>
      <c r="B135" s="1">
        <f>IFERROR(__xludf.DUMMYFUNCTION("""COMPUTED_VALUE"""),2134.9)</f>
        <v>2134.9</v>
      </c>
      <c r="C135" s="1">
        <f>IFERROR(__xludf.DUMMYFUNCTION("""COMPUTED_VALUE"""),2134.9)</f>
        <v>2134.9</v>
      </c>
      <c r="D135" s="1">
        <f>IFERROR(__xludf.DUMMYFUNCTION("""COMPUTED_VALUE"""),2092.77)</f>
        <v>2092.77</v>
      </c>
      <c r="E135" s="1">
        <f>IFERROR(__xludf.DUMMYFUNCTION("""COMPUTED_VALUE"""),2116.18)</f>
        <v>2116.18</v>
      </c>
      <c r="F135" s="1">
        <f>IFERROR(__xludf.DUMMYFUNCTION("""COMPUTED_VALUE"""),16863.0)</f>
        <v>16863</v>
      </c>
    </row>
    <row r="136">
      <c r="A136" s="2">
        <f>IFERROR(__xludf.DUMMYFUNCTION("""COMPUTED_VALUE"""),42122.64583333333)</f>
        <v>42122.64583</v>
      </c>
      <c r="B136" s="1">
        <f>IFERROR(__xludf.DUMMYFUNCTION("""COMPUTED_VALUE"""),2106.81)</f>
        <v>2106.81</v>
      </c>
      <c r="C136" s="1">
        <f>IFERROR(__xludf.DUMMYFUNCTION("""COMPUTED_VALUE"""),2106.81)</f>
        <v>2106.81</v>
      </c>
      <c r="D136" s="1">
        <f>IFERROR(__xludf.DUMMYFUNCTION("""COMPUTED_VALUE"""),2092.77)</f>
        <v>2092.77</v>
      </c>
      <c r="E136" s="1">
        <f>IFERROR(__xludf.DUMMYFUNCTION("""COMPUTED_VALUE"""),2102.13)</f>
        <v>2102.13</v>
      </c>
      <c r="F136" s="1">
        <f>IFERROR(__xludf.DUMMYFUNCTION("""COMPUTED_VALUE"""),19320.0)</f>
        <v>19320</v>
      </c>
    </row>
    <row r="137">
      <c r="A137" s="2">
        <f>IFERROR(__xludf.DUMMYFUNCTION("""COMPUTED_VALUE"""),42123.64583333333)</f>
        <v>42123.64583</v>
      </c>
      <c r="B137" s="1">
        <f>IFERROR(__xludf.DUMMYFUNCTION("""COMPUTED_VALUE"""),2102.13)</f>
        <v>2102.13</v>
      </c>
      <c r="C137" s="1">
        <f>IFERROR(__xludf.DUMMYFUNCTION("""COMPUTED_VALUE"""),2130.22)</f>
        <v>2130.22</v>
      </c>
      <c r="D137" s="1">
        <f>IFERROR(__xludf.DUMMYFUNCTION("""COMPUTED_VALUE"""),2097.45)</f>
        <v>2097.45</v>
      </c>
      <c r="E137" s="1">
        <f>IFERROR(__xludf.DUMMYFUNCTION("""COMPUTED_VALUE"""),2111.49)</f>
        <v>2111.49</v>
      </c>
      <c r="F137" s="1">
        <f>IFERROR(__xludf.DUMMYFUNCTION("""COMPUTED_VALUE"""),5515.0)</f>
        <v>5515</v>
      </c>
    </row>
    <row r="138">
      <c r="A138" s="2">
        <f>IFERROR(__xludf.DUMMYFUNCTION("""COMPUTED_VALUE"""),42124.64583333333)</f>
        <v>42124.64583</v>
      </c>
      <c r="B138" s="1">
        <f>IFERROR(__xludf.DUMMYFUNCTION("""COMPUTED_VALUE"""),2111.49)</f>
        <v>2111.49</v>
      </c>
      <c r="C138" s="1">
        <f>IFERROR(__xludf.DUMMYFUNCTION("""COMPUTED_VALUE"""),2111.49)</f>
        <v>2111.49</v>
      </c>
      <c r="D138" s="1">
        <f>IFERROR(__xludf.DUMMYFUNCTION("""COMPUTED_VALUE"""),2078.72)</f>
        <v>2078.72</v>
      </c>
      <c r="E138" s="1">
        <f>IFERROR(__xludf.DUMMYFUNCTION("""COMPUTED_VALUE"""),2097.45)</f>
        <v>2097.45</v>
      </c>
      <c r="F138" s="1">
        <f>IFERROR(__xludf.DUMMYFUNCTION("""COMPUTED_VALUE"""),135413.0)</f>
        <v>135413</v>
      </c>
    </row>
    <row r="139">
      <c r="A139" s="2">
        <f>IFERROR(__xludf.DUMMYFUNCTION("""COMPUTED_VALUE"""),42128.64583333333)</f>
        <v>42128.64583</v>
      </c>
      <c r="B139" s="1">
        <f>IFERROR(__xludf.DUMMYFUNCTION("""COMPUTED_VALUE"""),2088.08)</f>
        <v>2088.08</v>
      </c>
      <c r="C139" s="1">
        <f>IFERROR(__xludf.DUMMYFUNCTION("""COMPUTED_VALUE"""),2097.45)</f>
        <v>2097.45</v>
      </c>
      <c r="D139" s="1">
        <f>IFERROR(__xludf.DUMMYFUNCTION("""COMPUTED_VALUE"""),2083.4)</f>
        <v>2083.4</v>
      </c>
      <c r="E139" s="1">
        <f>IFERROR(__xludf.DUMMYFUNCTION("""COMPUTED_VALUE"""),2088.08)</f>
        <v>2088.08</v>
      </c>
      <c r="F139" s="1">
        <f>IFERROR(__xludf.DUMMYFUNCTION("""COMPUTED_VALUE"""),41781.0)</f>
        <v>41781</v>
      </c>
    </row>
    <row r="140">
      <c r="A140" s="2">
        <f>IFERROR(__xludf.DUMMYFUNCTION("""COMPUTED_VALUE"""),42130.64583333333)</f>
        <v>42130.64583</v>
      </c>
      <c r="B140" s="1">
        <f>IFERROR(__xludf.DUMMYFUNCTION("""COMPUTED_VALUE"""),2088.08)</f>
        <v>2088.08</v>
      </c>
      <c r="C140" s="1">
        <f>IFERROR(__xludf.DUMMYFUNCTION("""COMPUTED_VALUE"""),2092.77)</f>
        <v>2092.77</v>
      </c>
      <c r="D140" s="1">
        <f>IFERROR(__xludf.DUMMYFUNCTION("""COMPUTED_VALUE"""),2078.72)</f>
        <v>2078.72</v>
      </c>
      <c r="E140" s="1">
        <f>IFERROR(__xludf.DUMMYFUNCTION("""COMPUTED_VALUE"""),2088.08)</f>
        <v>2088.08</v>
      </c>
      <c r="F140" s="1">
        <f>IFERROR(__xludf.DUMMYFUNCTION("""COMPUTED_VALUE"""),18410.0)</f>
        <v>18410</v>
      </c>
    </row>
    <row r="141">
      <c r="A141" s="2">
        <f>IFERROR(__xludf.DUMMYFUNCTION("""COMPUTED_VALUE"""),42131.64583333333)</f>
        <v>42131.64583</v>
      </c>
      <c r="B141" s="1">
        <f>IFERROR(__xludf.DUMMYFUNCTION("""COMPUTED_VALUE"""),2083.4)</f>
        <v>2083.4</v>
      </c>
      <c r="C141" s="1">
        <f>IFERROR(__xludf.DUMMYFUNCTION("""COMPUTED_VALUE"""),2088.08)</f>
        <v>2088.08</v>
      </c>
      <c r="D141" s="1">
        <f>IFERROR(__xludf.DUMMYFUNCTION("""COMPUTED_VALUE"""),2069.36)</f>
        <v>2069.36</v>
      </c>
      <c r="E141" s="1">
        <f>IFERROR(__xludf.DUMMYFUNCTION("""COMPUTED_VALUE"""),2088.08)</f>
        <v>2088.08</v>
      </c>
      <c r="F141" s="1">
        <f>IFERROR(__xludf.DUMMYFUNCTION("""COMPUTED_VALUE"""),21334.0)</f>
        <v>21334</v>
      </c>
    </row>
    <row r="142">
      <c r="A142" s="2">
        <f>IFERROR(__xludf.DUMMYFUNCTION("""COMPUTED_VALUE"""),42132.64583333333)</f>
        <v>42132.64583</v>
      </c>
      <c r="B142" s="1">
        <f>IFERROR(__xludf.DUMMYFUNCTION("""COMPUTED_VALUE"""),2078.72)</f>
        <v>2078.72</v>
      </c>
      <c r="C142" s="1">
        <f>IFERROR(__xludf.DUMMYFUNCTION("""COMPUTED_VALUE"""),2092.77)</f>
        <v>2092.77</v>
      </c>
      <c r="D142" s="1">
        <f>IFERROR(__xludf.DUMMYFUNCTION("""COMPUTED_VALUE"""),2074.04)</f>
        <v>2074.04</v>
      </c>
      <c r="E142" s="1">
        <f>IFERROR(__xludf.DUMMYFUNCTION("""COMPUTED_VALUE"""),2092.77)</f>
        <v>2092.77</v>
      </c>
      <c r="F142" s="1">
        <f>IFERROR(__xludf.DUMMYFUNCTION("""COMPUTED_VALUE"""),34356.0)</f>
        <v>34356</v>
      </c>
    </row>
    <row r="143">
      <c r="A143" s="2">
        <f>IFERROR(__xludf.DUMMYFUNCTION("""COMPUTED_VALUE"""),42135.64583333333)</f>
        <v>42135.64583</v>
      </c>
      <c r="B143" s="1">
        <f>IFERROR(__xludf.DUMMYFUNCTION("""COMPUTED_VALUE"""),2092.77)</f>
        <v>2092.77</v>
      </c>
      <c r="C143" s="1">
        <f>IFERROR(__xludf.DUMMYFUNCTION("""COMPUTED_VALUE"""),2130.22)</f>
        <v>2130.22</v>
      </c>
      <c r="D143" s="1">
        <f>IFERROR(__xludf.DUMMYFUNCTION("""COMPUTED_VALUE"""),2092.77)</f>
        <v>2092.77</v>
      </c>
      <c r="E143" s="1">
        <f>IFERROR(__xludf.DUMMYFUNCTION("""COMPUTED_VALUE"""),2106.81)</f>
        <v>2106.81</v>
      </c>
      <c r="F143" s="1">
        <f>IFERROR(__xludf.DUMMYFUNCTION("""COMPUTED_VALUE"""),5999.0)</f>
        <v>5999</v>
      </c>
    </row>
    <row r="144">
      <c r="A144" s="2">
        <f>IFERROR(__xludf.DUMMYFUNCTION("""COMPUTED_VALUE"""),42136.64583333333)</f>
        <v>42136.64583</v>
      </c>
      <c r="B144" s="1">
        <f>IFERROR(__xludf.DUMMYFUNCTION("""COMPUTED_VALUE"""),2069.36)</f>
        <v>2069.36</v>
      </c>
      <c r="C144" s="1">
        <f>IFERROR(__xludf.DUMMYFUNCTION("""COMPUTED_VALUE"""),2111.49)</f>
        <v>2111.49</v>
      </c>
      <c r="D144" s="1">
        <f>IFERROR(__xludf.DUMMYFUNCTION("""COMPUTED_VALUE"""),2069.36)</f>
        <v>2069.36</v>
      </c>
      <c r="E144" s="1">
        <f>IFERROR(__xludf.DUMMYFUNCTION("""COMPUTED_VALUE"""),2092.77)</f>
        <v>2092.77</v>
      </c>
      <c r="F144" s="1">
        <f>IFERROR(__xludf.DUMMYFUNCTION("""COMPUTED_VALUE"""),4609.0)</f>
        <v>4609</v>
      </c>
    </row>
    <row r="145">
      <c r="A145" s="2">
        <f>IFERROR(__xludf.DUMMYFUNCTION("""COMPUTED_VALUE"""),42137.64583333333)</f>
        <v>42137.64583</v>
      </c>
      <c r="B145" s="1">
        <f>IFERROR(__xludf.DUMMYFUNCTION("""COMPUTED_VALUE"""),2116.18)</f>
        <v>2116.18</v>
      </c>
      <c r="C145" s="1">
        <f>IFERROR(__xludf.DUMMYFUNCTION("""COMPUTED_VALUE"""),2116.18)</f>
        <v>2116.18</v>
      </c>
      <c r="D145" s="1">
        <f>IFERROR(__xludf.DUMMYFUNCTION("""COMPUTED_VALUE"""),2078.72)</f>
        <v>2078.72</v>
      </c>
      <c r="E145" s="1">
        <f>IFERROR(__xludf.DUMMYFUNCTION("""COMPUTED_VALUE"""),2097.45)</f>
        <v>2097.45</v>
      </c>
      <c r="F145" s="1">
        <f>IFERROR(__xludf.DUMMYFUNCTION("""COMPUTED_VALUE"""),12295.0)</f>
        <v>12295</v>
      </c>
    </row>
    <row r="146">
      <c r="A146" s="2">
        <f>IFERROR(__xludf.DUMMYFUNCTION("""COMPUTED_VALUE"""),42138.64583333333)</f>
        <v>42138.64583</v>
      </c>
      <c r="B146" s="1">
        <f>IFERROR(__xludf.DUMMYFUNCTION("""COMPUTED_VALUE"""),2097.45)</f>
        <v>2097.45</v>
      </c>
      <c r="C146" s="1">
        <f>IFERROR(__xludf.DUMMYFUNCTION("""COMPUTED_VALUE"""),2097.45)</f>
        <v>2097.45</v>
      </c>
      <c r="D146" s="1">
        <f>IFERROR(__xludf.DUMMYFUNCTION("""COMPUTED_VALUE"""),2083.4)</f>
        <v>2083.4</v>
      </c>
      <c r="E146" s="1">
        <f>IFERROR(__xludf.DUMMYFUNCTION("""COMPUTED_VALUE"""),2088.08)</f>
        <v>2088.08</v>
      </c>
      <c r="F146" s="1">
        <f>IFERROR(__xludf.DUMMYFUNCTION("""COMPUTED_VALUE"""),12533.0)</f>
        <v>12533</v>
      </c>
    </row>
    <row r="147">
      <c r="A147" s="2">
        <f>IFERROR(__xludf.DUMMYFUNCTION("""COMPUTED_VALUE"""),42139.64583333333)</f>
        <v>42139.64583</v>
      </c>
      <c r="B147" s="1">
        <f>IFERROR(__xludf.DUMMYFUNCTION("""COMPUTED_VALUE"""),2088.08)</f>
        <v>2088.08</v>
      </c>
      <c r="C147" s="1">
        <f>IFERROR(__xludf.DUMMYFUNCTION("""COMPUTED_VALUE"""),2102.13)</f>
        <v>2102.13</v>
      </c>
      <c r="D147" s="1">
        <f>IFERROR(__xludf.DUMMYFUNCTION("""COMPUTED_VALUE"""),2083.4)</f>
        <v>2083.4</v>
      </c>
      <c r="E147" s="1">
        <f>IFERROR(__xludf.DUMMYFUNCTION("""COMPUTED_VALUE"""),2102.13)</f>
        <v>2102.13</v>
      </c>
      <c r="F147" s="1">
        <f>IFERROR(__xludf.DUMMYFUNCTION("""COMPUTED_VALUE"""),19402.0)</f>
        <v>19402</v>
      </c>
    </row>
    <row r="148">
      <c r="A148" s="2">
        <f>IFERROR(__xludf.DUMMYFUNCTION("""COMPUTED_VALUE"""),42142.64583333333)</f>
        <v>42142.64583</v>
      </c>
      <c r="B148" s="1">
        <f>IFERROR(__xludf.DUMMYFUNCTION("""COMPUTED_VALUE"""),2102.13)</f>
        <v>2102.13</v>
      </c>
      <c r="C148" s="1">
        <f>IFERROR(__xludf.DUMMYFUNCTION("""COMPUTED_VALUE"""),2106.81)</f>
        <v>2106.81</v>
      </c>
      <c r="D148" s="1">
        <f>IFERROR(__xludf.DUMMYFUNCTION("""COMPUTED_VALUE"""),2088.08)</f>
        <v>2088.08</v>
      </c>
      <c r="E148" s="1">
        <f>IFERROR(__xludf.DUMMYFUNCTION("""COMPUTED_VALUE"""),2102.13)</f>
        <v>2102.13</v>
      </c>
      <c r="F148" s="1">
        <f>IFERROR(__xludf.DUMMYFUNCTION("""COMPUTED_VALUE"""),16897.0)</f>
        <v>16897</v>
      </c>
    </row>
    <row r="149">
      <c r="A149" s="2">
        <f>IFERROR(__xludf.DUMMYFUNCTION("""COMPUTED_VALUE"""),42143.64583333333)</f>
        <v>42143.64583</v>
      </c>
      <c r="B149" s="1">
        <f>IFERROR(__xludf.DUMMYFUNCTION("""COMPUTED_VALUE"""),2102.13)</f>
        <v>2102.13</v>
      </c>
      <c r="C149" s="1">
        <f>IFERROR(__xludf.DUMMYFUNCTION("""COMPUTED_VALUE"""),2139.58)</f>
        <v>2139.58</v>
      </c>
      <c r="D149" s="1">
        <f>IFERROR(__xludf.DUMMYFUNCTION("""COMPUTED_VALUE"""),2102.13)</f>
        <v>2102.13</v>
      </c>
      <c r="E149" s="1">
        <f>IFERROR(__xludf.DUMMYFUNCTION("""COMPUTED_VALUE"""),2134.9)</f>
        <v>2134.9</v>
      </c>
      <c r="F149" s="1">
        <f>IFERROR(__xludf.DUMMYFUNCTION("""COMPUTED_VALUE"""),61322.0)</f>
        <v>61322</v>
      </c>
    </row>
    <row r="150">
      <c r="A150" s="2">
        <f>IFERROR(__xludf.DUMMYFUNCTION("""COMPUTED_VALUE"""),42144.64583333333)</f>
        <v>42144.64583</v>
      </c>
      <c r="B150" s="1">
        <f>IFERROR(__xludf.DUMMYFUNCTION("""COMPUTED_VALUE"""),2144.27)</f>
        <v>2144.27</v>
      </c>
      <c r="C150" s="1">
        <f>IFERROR(__xludf.DUMMYFUNCTION("""COMPUTED_VALUE"""),2144.27)</f>
        <v>2144.27</v>
      </c>
      <c r="D150" s="1">
        <f>IFERROR(__xludf.DUMMYFUNCTION("""COMPUTED_VALUE"""),2116.18)</f>
        <v>2116.18</v>
      </c>
      <c r="E150" s="1">
        <f>IFERROR(__xludf.DUMMYFUNCTION("""COMPUTED_VALUE"""),2116.18)</f>
        <v>2116.18</v>
      </c>
      <c r="F150" s="1">
        <f>IFERROR(__xludf.DUMMYFUNCTION("""COMPUTED_VALUE"""),8204.0)</f>
        <v>8204</v>
      </c>
    </row>
    <row r="151">
      <c r="A151" s="2">
        <f>IFERROR(__xludf.DUMMYFUNCTION("""COMPUTED_VALUE"""),42145.64583333333)</f>
        <v>42145.64583</v>
      </c>
      <c r="B151" s="1">
        <f>IFERROR(__xludf.DUMMYFUNCTION("""COMPUTED_VALUE"""),2106.81)</f>
        <v>2106.81</v>
      </c>
      <c r="C151" s="1">
        <f>IFERROR(__xludf.DUMMYFUNCTION("""COMPUTED_VALUE"""),2106.81)</f>
        <v>2106.81</v>
      </c>
      <c r="D151" s="1">
        <f>IFERROR(__xludf.DUMMYFUNCTION("""COMPUTED_VALUE"""),2097.45)</f>
        <v>2097.45</v>
      </c>
      <c r="E151" s="1">
        <f>IFERROR(__xludf.DUMMYFUNCTION("""COMPUTED_VALUE"""),2106.81)</f>
        <v>2106.81</v>
      </c>
      <c r="F151" s="1">
        <f>IFERROR(__xludf.DUMMYFUNCTION("""COMPUTED_VALUE"""),4447.0)</f>
        <v>4447</v>
      </c>
    </row>
    <row r="152">
      <c r="A152" s="2">
        <f>IFERROR(__xludf.DUMMYFUNCTION("""COMPUTED_VALUE"""),42146.64583333333)</f>
        <v>42146.64583</v>
      </c>
      <c r="B152" s="1">
        <f>IFERROR(__xludf.DUMMYFUNCTION("""COMPUTED_VALUE"""),2092.77)</f>
        <v>2092.77</v>
      </c>
      <c r="C152" s="1">
        <f>IFERROR(__xludf.DUMMYFUNCTION("""COMPUTED_VALUE"""),2111.49)</f>
        <v>2111.49</v>
      </c>
      <c r="D152" s="1">
        <f>IFERROR(__xludf.DUMMYFUNCTION("""COMPUTED_VALUE"""),2083.4)</f>
        <v>2083.4</v>
      </c>
      <c r="E152" s="1">
        <f>IFERROR(__xludf.DUMMYFUNCTION("""COMPUTED_VALUE"""),2106.81)</f>
        <v>2106.81</v>
      </c>
      <c r="F152" s="1">
        <f>IFERROR(__xludf.DUMMYFUNCTION("""COMPUTED_VALUE"""),5349.0)</f>
        <v>5349</v>
      </c>
    </row>
    <row r="153">
      <c r="A153" s="2">
        <f>IFERROR(__xludf.DUMMYFUNCTION("""COMPUTED_VALUE"""),42150.64583333333)</f>
        <v>42150.64583</v>
      </c>
      <c r="B153" s="1">
        <f>IFERROR(__xludf.DUMMYFUNCTION("""COMPUTED_VALUE"""),2078.72)</f>
        <v>2078.72</v>
      </c>
      <c r="C153" s="1">
        <f>IFERROR(__xludf.DUMMYFUNCTION("""COMPUTED_VALUE"""),2102.13)</f>
        <v>2102.13</v>
      </c>
      <c r="D153" s="1">
        <f>IFERROR(__xludf.DUMMYFUNCTION("""COMPUTED_VALUE"""),2078.72)</f>
        <v>2078.72</v>
      </c>
      <c r="E153" s="1">
        <f>IFERROR(__xludf.DUMMYFUNCTION("""COMPUTED_VALUE"""),2078.72)</f>
        <v>2078.72</v>
      </c>
      <c r="F153" s="1">
        <f>IFERROR(__xludf.DUMMYFUNCTION("""COMPUTED_VALUE"""),19147.0)</f>
        <v>19147</v>
      </c>
    </row>
    <row r="154">
      <c r="A154" s="2">
        <f>IFERROR(__xludf.DUMMYFUNCTION("""COMPUTED_VALUE"""),42151.64583333333)</f>
        <v>42151.64583</v>
      </c>
      <c r="B154" s="1">
        <f>IFERROR(__xludf.DUMMYFUNCTION("""COMPUTED_VALUE"""),2074.04)</f>
        <v>2074.04</v>
      </c>
      <c r="C154" s="1">
        <f>IFERROR(__xludf.DUMMYFUNCTION("""COMPUTED_VALUE"""),2083.4)</f>
        <v>2083.4</v>
      </c>
      <c r="D154" s="1">
        <f>IFERROR(__xludf.DUMMYFUNCTION("""COMPUTED_VALUE"""),2059.99)</f>
        <v>2059.99</v>
      </c>
      <c r="E154" s="1">
        <f>IFERROR(__xludf.DUMMYFUNCTION("""COMPUTED_VALUE"""),2078.72)</f>
        <v>2078.72</v>
      </c>
      <c r="F154" s="1">
        <f>IFERROR(__xludf.DUMMYFUNCTION("""COMPUTED_VALUE"""),31395.0)</f>
        <v>31395</v>
      </c>
    </row>
    <row r="155">
      <c r="A155" s="2">
        <f>IFERROR(__xludf.DUMMYFUNCTION("""COMPUTED_VALUE"""),42152.64583333333)</f>
        <v>42152.64583</v>
      </c>
      <c r="B155" s="1">
        <f>IFERROR(__xludf.DUMMYFUNCTION("""COMPUTED_VALUE"""),2088.08)</f>
        <v>2088.08</v>
      </c>
      <c r="C155" s="1">
        <f>IFERROR(__xludf.DUMMYFUNCTION("""COMPUTED_VALUE"""),2092.77)</f>
        <v>2092.77</v>
      </c>
      <c r="D155" s="1">
        <f>IFERROR(__xludf.DUMMYFUNCTION("""COMPUTED_VALUE"""),2069.36)</f>
        <v>2069.36</v>
      </c>
      <c r="E155" s="1">
        <f>IFERROR(__xludf.DUMMYFUNCTION("""COMPUTED_VALUE"""),2083.4)</f>
        <v>2083.4</v>
      </c>
      <c r="F155" s="1">
        <f>IFERROR(__xludf.DUMMYFUNCTION("""COMPUTED_VALUE"""),19717.0)</f>
        <v>19717</v>
      </c>
    </row>
    <row r="156">
      <c r="A156" s="2">
        <f>IFERROR(__xludf.DUMMYFUNCTION("""COMPUTED_VALUE"""),42153.64583333333)</f>
        <v>42153.64583</v>
      </c>
      <c r="B156" s="1">
        <f>IFERROR(__xludf.DUMMYFUNCTION("""COMPUTED_VALUE"""),2074.04)</f>
        <v>2074.04</v>
      </c>
      <c r="C156" s="1">
        <f>IFERROR(__xludf.DUMMYFUNCTION("""COMPUTED_VALUE"""),2083.4)</f>
        <v>2083.4</v>
      </c>
      <c r="D156" s="1">
        <f>IFERROR(__xludf.DUMMYFUNCTION("""COMPUTED_VALUE"""),2074.04)</f>
        <v>2074.04</v>
      </c>
      <c r="E156" s="1">
        <f>IFERROR(__xludf.DUMMYFUNCTION("""COMPUTED_VALUE"""),2078.72)</f>
        <v>2078.72</v>
      </c>
      <c r="F156" s="1">
        <f>IFERROR(__xludf.DUMMYFUNCTION("""COMPUTED_VALUE"""),6801.0)</f>
        <v>6801</v>
      </c>
    </row>
    <row r="157">
      <c r="A157" s="2">
        <f>IFERROR(__xludf.DUMMYFUNCTION("""COMPUTED_VALUE"""),42156.64583333333)</f>
        <v>42156.64583</v>
      </c>
      <c r="B157" s="1">
        <f>IFERROR(__xludf.DUMMYFUNCTION("""COMPUTED_VALUE"""),2078.72)</f>
        <v>2078.72</v>
      </c>
      <c r="C157" s="1">
        <f>IFERROR(__xludf.DUMMYFUNCTION("""COMPUTED_VALUE"""),2083.4)</f>
        <v>2083.4</v>
      </c>
      <c r="D157" s="1">
        <f>IFERROR(__xludf.DUMMYFUNCTION("""COMPUTED_VALUE"""),2059.99)</f>
        <v>2059.99</v>
      </c>
      <c r="E157" s="1">
        <f>IFERROR(__xludf.DUMMYFUNCTION("""COMPUTED_VALUE"""),2078.72)</f>
        <v>2078.72</v>
      </c>
      <c r="F157" s="1">
        <f>IFERROR(__xludf.DUMMYFUNCTION("""COMPUTED_VALUE"""),41839.0)</f>
        <v>41839</v>
      </c>
    </row>
    <row r="158">
      <c r="A158" s="2">
        <f>IFERROR(__xludf.DUMMYFUNCTION("""COMPUTED_VALUE"""),42157.64583333333)</f>
        <v>42157.64583</v>
      </c>
      <c r="B158" s="1">
        <f>IFERROR(__xludf.DUMMYFUNCTION("""COMPUTED_VALUE"""),2078.72)</f>
        <v>2078.72</v>
      </c>
      <c r="C158" s="1">
        <f>IFERROR(__xludf.DUMMYFUNCTION("""COMPUTED_VALUE"""),2083.4)</f>
        <v>2083.4</v>
      </c>
      <c r="D158" s="1">
        <f>IFERROR(__xludf.DUMMYFUNCTION("""COMPUTED_VALUE"""),2064.68)</f>
        <v>2064.68</v>
      </c>
      <c r="E158" s="1">
        <f>IFERROR(__xludf.DUMMYFUNCTION("""COMPUTED_VALUE"""),2074.04)</f>
        <v>2074.04</v>
      </c>
      <c r="F158" s="1">
        <f>IFERROR(__xludf.DUMMYFUNCTION("""COMPUTED_VALUE"""),4453.0)</f>
        <v>4453</v>
      </c>
    </row>
    <row r="159">
      <c r="A159" s="2">
        <f>IFERROR(__xludf.DUMMYFUNCTION("""COMPUTED_VALUE"""),42158.64583333333)</f>
        <v>42158.64583</v>
      </c>
      <c r="B159" s="1">
        <f>IFERROR(__xludf.DUMMYFUNCTION("""COMPUTED_VALUE"""),2064.68)</f>
        <v>2064.68</v>
      </c>
      <c r="C159" s="1">
        <f>IFERROR(__xludf.DUMMYFUNCTION("""COMPUTED_VALUE"""),2078.72)</f>
        <v>2078.72</v>
      </c>
      <c r="D159" s="1">
        <f>IFERROR(__xludf.DUMMYFUNCTION("""COMPUTED_VALUE"""),2059.99)</f>
        <v>2059.99</v>
      </c>
      <c r="E159" s="1">
        <f>IFERROR(__xludf.DUMMYFUNCTION("""COMPUTED_VALUE"""),2074.04)</f>
        <v>2074.04</v>
      </c>
      <c r="F159" s="1">
        <f>IFERROR(__xludf.DUMMYFUNCTION("""COMPUTED_VALUE"""),48222.0)</f>
        <v>48222</v>
      </c>
    </row>
    <row r="160">
      <c r="A160" s="2">
        <f>IFERROR(__xludf.DUMMYFUNCTION("""COMPUTED_VALUE"""),42159.64583333333)</f>
        <v>42159.64583</v>
      </c>
      <c r="B160" s="1">
        <f>IFERROR(__xludf.DUMMYFUNCTION("""COMPUTED_VALUE"""),2059.99)</f>
        <v>2059.99</v>
      </c>
      <c r="C160" s="1">
        <f>IFERROR(__xludf.DUMMYFUNCTION("""COMPUTED_VALUE"""),2074.04)</f>
        <v>2074.04</v>
      </c>
      <c r="D160" s="1">
        <f>IFERROR(__xludf.DUMMYFUNCTION("""COMPUTED_VALUE"""),2059.99)</f>
        <v>2059.99</v>
      </c>
      <c r="E160" s="1">
        <f>IFERROR(__xludf.DUMMYFUNCTION("""COMPUTED_VALUE"""),2074.04)</f>
        <v>2074.04</v>
      </c>
      <c r="F160" s="1">
        <f>IFERROR(__xludf.DUMMYFUNCTION("""COMPUTED_VALUE"""),59104.0)</f>
        <v>59104</v>
      </c>
    </row>
    <row r="161">
      <c r="A161" s="2">
        <f>IFERROR(__xludf.DUMMYFUNCTION("""COMPUTED_VALUE"""),42160.64583333333)</f>
        <v>42160.64583</v>
      </c>
      <c r="B161" s="1">
        <f>IFERROR(__xludf.DUMMYFUNCTION("""COMPUTED_VALUE"""),2059.99)</f>
        <v>2059.99</v>
      </c>
      <c r="C161" s="1">
        <f>IFERROR(__xludf.DUMMYFUNCTION("""COMPUTED_VALUE"""),2083.4)</f>
        <v>2083.4</v>
      </c>
      <c r="D161" s="1">
        <f>IFERROR(__xludf.DUMMYFUNCTION("""COMPUTED_VALUE"""),2059.99)</f>
        <v>2059.99</v>
      </c>
      <c r="E161" s="1">
        <f>IFERROR(__xludf.DUMMYFUNCTION("""COMPUTED_VALUE"""),2078.72)</f>
        <v>2078.72</v>
      </c>
      <c r="F161" s="1">
        <f>IFERROR(__xludf.DUMMYFUNCTION("""COMPUTED_VALUE"""),13420.0)</f>
        <v>13420</v>
      </c>
    </row>
    <row r="162">
      <c r="A162" s="2">
        <f>IFERROR(__xludf.DUMMYFUNCTION("""COMPUTED_VALUE"""),42163.64583333333)</f>
        <v>42163.64583</v>
      </c>
      <c r="B162" s="1">
        <f>IFERROR(__xludf.DUMMYFUNCTION("""COMPUTED_VALUE"""),2078.72)</f>
        <v>2078.72</v>
      </c>
      <c r="C162" s="1">
        <f>IFERROR(__xludf.DUMMYFUNCTION("""COMPUTED_VALUE"""),2097.45)</f>
        <v>2097.45</v>
      </c>
      <c r="D162" s="1">
        <f>IFERROR(__xludf.DUMMYFUNCTION("""COMPUTED_VALUE"""),2064.68)</f>
        <v>2064.68</v>
      </c>
      <c r="E162" s="1">
        <f>IFERROR(__xludf.DUMMYFUNCTION("""COMPUTED_VALUE"""),2083.4)</f>
        <v>2083.4</v>
      </c>
      <c r="F162" s="1">
        <f>IFERROR(__xludf.DUMMYFUNCTION("""COMPUTED_VALUE"""),11938.0)</f>
        <v>11938</v>
      </c>
    </row>
    <row r="163">
      <c r="A163" s="2">
        <f>IFERROR(__xludf.DUMMYFUNCTION("""COMPUTED_VALUE"""),42164.64583333333)</f>
        <v>42164.64583</v>
      </c>
      <c r="B163" s="1">
        <f>IFERROR(__xludf.DUMMYFUNCTION("""COMPUTED_VALUE"""),2064.68)</f>
        <v>2064.68</v>
      </c>
      <c r="C163" s="1">
        <f>IFERROR(__xludf.DUMMYFUNCTION("""COMPUTED_VALUE"""),2092.77)</f>
        <v>2092.77</v>
      </c>
      <c r="D163" s="1">
        <f>IFERROR(__xludf.DUMMYFUNCTION("""COMPUTED_VALUE"""),2064.68)</f>
        <v>2064.68</v>
      </c>
      <c r="E163" s="1">
        <f>IFERROR(__xludf.DUMMYFUNCTION("""COMPUTED_VALUE"""),2083.4)</f>
        <v>2083.4</v>
      </c>
      <c r="F163" s="1">
        <f>IFERROR(__xludf.DUMMYFUNCTION("""COMPUTED_VALUE"""),1408.0)</f>
        <v>1408</v>
      </c>
    </row>
    <row r="164">
      <c r="A164" s="2">
        <f>IFERROR(__xludf.DUMMYFUNCTION("""COMPUTED_VALUE"""),42165.64583333333)</f>
        <v>42165.64583</v>
      </c>
      <c r="B164" s="1">
        <f>IFERROR(__xludf.DUMMYFUNCTION("""COMPUTED_VALUE"""),2059.99)</f>
        <v>2059.99</v>
      </c>
      <c r="C164" s="1">
        <f>IFERROR(__xludf.DUMMYFUNCTION("""COMPUTED_VALUE"""),2074.04)</f>
        <v>2074.04</v>
      </c>
      <c r="D164" s="1">
        <f>IFERROR(__xludf.DUMMYFUNCTION("""COMPUTED_VALUE"""),2055.31)</f>
        <v>2055.31</v>
      </c>
      <c r="E164" s="1">
        <f>IFERROR(__xludf.DUMMYFUNCTION("""COMPUTED_VALUE"""),2059.99)</f>
        <v>2059.99</v>
      </c>
      <c r="F164" s="1">
        <f>IFERROR(__xludf.DUMMYFUNCTION("""COMPUTED_VALUE"""),35011.0)</f>
        <v>35011</v>
      </c>
    </row>
    <row r="165">
      <c r="A165" s="2">
        <f>IFERROR(__xludf.DUMMYFUNCTION("""COMPUTED_VALUE"""),42166.64583333333)</f>
        <v>42166.64583</v>
      </c>
      <c r="B165" s="1">
        <f>IFERROR(__xludf.DUMMYFUNCTION("""COMPUTED_VALUE"""),2059.99)</f>
        <v>2059.99</v>
      </c>
      <c r="C165" s="1">
        <f>IFERROR(__xludf.DUMMYFUNCTION("""COMPUTED_VALUE"""),2083.4)</f>
        <v>2083.4</v>
      </c>
      <c r="D165" s="1">
        <f>IFERROR(__xludf.DUMMYFUNCTION("""COMPUTED_VALUE"""),2041.27)</f>
        <v>2041.27</v>
      </c>
      <c r="E165" s="1">
        <f>IFERROR(__xludf.DUMMYFUNCTION("""COMPUTED_VALUE"""),2059.99)</f>
        <v>2059.99</v>
      </c>
      <c r="F165" s="1">
        <f>IFERROR(__xludf.DUMMYFUNCTION("""COMPUTED_VALUE"""),38090.0)</f>
        <v>38090</v>
      </c>
    </row>
    <row r="166">
      <c r="A166" s="2">
        <f>IFERROR(__xludf.DUMMYFUNCTION("""COMPUTED_VALUE"""),42167.64583333333)</f>
        <v>42167.64583</v>
      </c>
      <c r="B166" s="1">
        <f>IFERROR(__xludf.DUMMYFUNCTION("""COMPUTED_VALUE"""),2050.63)</f>
        <v>2050.63</v>
      </c>
      <c r="C166" s="1">
        <f>IFERROR(__xludf.DUMMYFUNCTION("""COMPUTED_VALUE"""),2055.31)</f>
        <v>2055.31</v>
      </c>
      <c r="D166" s="1">
        <f>IFERROR(__xludf.DUMMYFUNCTION("""COMPUTED_VALUE"""),2013.18)</f>
        <v>2013.18</v>
      </c>
      <c r="E166" s="1">
        <f>IFERROR(__xludf.DUMMYFUNCTION("""COMPUTED_VALUE"""),2041.27)</f>
        <v>2041.27</v>
      </c>
      <c r="F166" s="1">
        <f>IFERROR(__xludf.DUMMYFUNCTION("""COMPUTED_VALUE"""),42872.0)</f>
        <v>42872</v>
      </c>
    </row>
    <row r="167">
      <c r="A167" s="2">
        <f>IFERROR(__xludf.DUMMYFUNCTION("""COMPUTED_VALUE"""),42170.64583333333)</f>
        <v>42170.64583</v>
      </c>
      <c r="B167" s="1">
        <f>IFERROR(__xludf.DUMMYFUNCTION("""COMPUTED_VALUE"""),2078.72)</f>
        <v>2078.72</v>
      </c>
      <c r="C167" s="1">
        <f>IFERROR(__xludf.DUMMYFUNCTION("""COMPUTED_VALUE"""),2078.72)</f>
        <v>2078.72</v>
      </c>
      <c r="D167" s="1">
        <f>IFERROR(__xludf.DUMMYFUNCTION("""COMPUTED_VALUE"""),1989.77)</f>
        <v>1989.77</v>
      </c>
      <c r="E167" s="1">
        <f>IFERROR(__xludf.DUMMYFUNCTION("""COMPUTED_VALUE"""),2055.31)</f>
        <v>2055.31</v>
      </c>
      <c r="F167" s="1">
        <f>IFERROR(__xludf.DUMMYFUNCTION("""COMPUTED_VALUE"""),3018.0)</f>
        <v>3018</v>
      </c>
    </row>
    <row r="168">
      <c r="A168" s="2">
        <f>IFERROR(__xludf.DUMMYFUNCTION("""COMPUTED_VALUE"""),42171.64583333333)</f>
        <v>42171.64583</v>
      </c>
      <c r="B168" s="1">
        <f>IFERROR(__xludf.DUMMYFUNCTION("""COMPUTED_VALUE"""),2027.22)</f>
        <v>2027.22</v>
      </c>
      <c r="C168" s="1">
        <f>IFERROR(__xludf.DUMMYFUNCTION("""COMPUTED_VALUE"""),2059.99)</f>
        <v>2059.99</v>
      </c>
      <c r="D168" s="1">
        <f>IFERROR(__xludf.DUMMYFUNCTION("""COMPUTED_VALUE"""),1966.36)</f>
        <v>1966.36</v>
      </c>
      <c r="E168" s="1">
        <f>IFERROR(__xludf.DUMMYFUNCTION("""COMPUTED_VALUE"""),2003.81)</f>
        <v>2003.81</v>
      </c>
      <c r="F168" s="1">
        <f>IFERROR(__xludf.DUMMYFUNCTION("""COMPUTED_VALUE"""),25960.0)</f>
        <v>25960</v>
      </c>
    </row>
    <row r="169">
      <c r="A169" s="2">
        <f>IFERROR(__xludf.DUMMYFUNCTION("""COMPUTED_VALUE"""),42172.64583333333)</f>
        <v>42172.64583</v>
      </c>
      <c r="B169" s="1">
        <f>IFERROR(__xludf.DUMMYFUNCTION("""COMPUTED_VALUE"""),1999.13)</f>
        <v>1999.13</v>
      </c>
      <c r="C169" s="1">
        <f>IFERROR(__xludf.DUMMYFUNCTION("""COMPUTED_VALUE"""),2003.81)</f>
        <v>2003.81</v>
      </c>
      <c r="D169" s="1">
        <f>IFERROR(__xludf.DUMMYFUNCTION("""COMPUTED_VALUE"""),1919.54)</f>
        <v>1919.54</v>
      </c>
      <c r="E169" s="1">
        <f>IFERROR(__xludf.DUMMYFUNCTION("""COMPUTED_VALUE"""),1989.77)</f>
        <v>1989.77</v>
      </c>
      <c r="F169" s="1">
        <f>IFERROR(__xludf.DUMMYFUNCTION("""COMPUTED_VALUE"""),42209.0)</f>
        <v>42209</v>
      </c>
    </row>
    <row r="170">
      <c r="A170" s="2">
        <f>IFERROR(__xludf.DUMMYFUNCTION("""COMPUTED_VALUE"""),42173.64583333333)</f>
        <v>42173.64583</v>
      </c>
      <c r="B170" s="1">
        <f>IFERROR(__xludf.DUMMYFUNCTION("""COMPUTED_VALUE"""),1985.09)</f>
        <v>1985.09</v>
      </c>
      <c r="C170" s="1">
        <f>IFERROR(__xludf.DUMMYFUNCTION("""COMPUTED_VALUE"""),1985.09)</f>
        <v>1985.09</v>
      </c>
      <c r="D170" s="1">
        <f>IFERROR(__xludf.DUMMYFUNCTION("""COMPUTED_VALUE"""),1933.59)</f>
        <v>1933.59</v>
      </c>
      <c r="E170" s="1">
        <f>IFERROR(__xludf.DUMMYFUNCTION("""COMPUTED_VALUE"""),1985.09)</f>
        <v>1985.09</v>
      </c>
      <c r="F170" s="1">
        <f>IFERROR(__xludf.DUMMYFUNCTION("""COMPUTED_VALUE"""),20437.0)</f>
        <v>20437</v>
      </c>
    </row>
    <row r="171">
      <c r="A171" s="2">
        <f>IFERROR(__xludf.DUMMYFUNCTION("""COMPUTED_VALUE"""),42174.64583333333)</f>
        <v>42174.64583</v>
      </c>
      <c r="B171" s="1">
        <f>IFERROR(__xludf.DUMMYFUNCTION("""COMPUTED_VALUE"""),1985.09)</f>
        <v>1985.09</v>
      </c>
      <c r="C171" s="1">
        <f>IFERROR(__xludf.DUMMYFUNCTION("""COMPUTED_VALUE"""),1985.09)</f>
        <v>1985.09</v>
      </c>
      <c r="D171" s="1">
        <f>IFERROR(__xludf.DUMMYFUNCTION("""COMPUTED_VALUE"""),1980.4)</f>
        <v>1980.4</v>
      </c>
      <c r="E171" s="1">
        <f>IFERROR(__xludf.DUMMYFUNCTION("""COMPUTED_VALUE"""),1980.4)</f>
        <v>1980.4</v>
      </c>
      <c r="F171" s="1">
        <f>IFERROR(__xludf.DUMMYFUNCTION("""COMPUTED_VALUE"""),3083.0)</f>
        <v>3083</v>
      </c>
    </row>
    <row r="172">
      <c r="A172" s="2">
        <f>IFERROR(__xludf.DUMMYFUNCTION("""COMPUTED_VALUE"""),42177.64583333333)</f>
        <v>42177.64583</v>
      </c>
      <c r="B172" s="1">
        <f>IFERROR(__xludf.DUMMYFUNCTION("""COMPUTED_VALUE"""),1980.4)</f>
        <v>1980.4</v>
      </c>
      <c r="C172" s="1">
        <f>IFERROR(__xludf.DUMMYFUNCTION("""COMPUTED_VALUE"""),1994.45)</f>
        <v>1994.45</v>
      </c>
      <c r="D172" s="1">
        <f>IFERROR(__xludf.DUMMYFUNCTION("""COMPUTED_VALUE"""),1980.4)</f>
        <v>1980.4</v>
      </c>
      <c r="E172" s="1">
        <f>IFERROR(__xludf.DUMMYFUNCTION("""COMPUTED_VALUE"""),1985.09)</f>
        <v>1985.09</v>
      </c>
      <c r="F172" s="1">
        <f>IFERROR(__xludf.DUMMYFUNCTION("""COMPUTED_VALUE"""),4675.0)</f>
        <v>4675</v>
      </c>
    </row>
    <row r="173">
      <c r="A173" s="2">
        <f>IFERROR(__xludf.DUMMYFUNCTION("""COMPUTED_VALUE"""),42178.64583333333)</f>
        <v>42178.64583</v>
      </c>
      <c r="B173" s="1">
        <f>IFERROR(__xludf.DUMMYFUNCTION("""COMPUTED_VALUE"""),1938.27)</f>
        <v>1938.27</v>
      </c>
      <c r="C173" s="1">
        <f>IFERROR(__xludf.DUMMYFUNCTION("""COMPUTED_VALUE"""),1994.45)</f>
        <v>1994.45</v>
      </c>
      <c r="D173" s="1">
        <f>IFERROR(__xludf.DUMMYFUNCTION("""COMPUTED_VALUE"""),1938.27)</f>
        <v>1938.27</v>
      </c>
      <c r="E173" s="1">
        <f>IFERROR(__xludf.DUMMYFUNCTION("""COMPUTED_VALUE"""),1985.09)</f>
        <v>1985.09</v>
      </c>
      <c r="F173" s="1">
        <f>IFERROR(__xludf.DUMMYFUNCTION("""COMPUTED_VALUE"""),10524.0)</f>
        <v>10524</v>
      </c>
    </row>
    <row r="174">
      <c r="A174" s="2">
        <f>IFERROR(__xludf.DUMMYFUNCTION("""COMPUTED_VALUE"""),42179.64583333333)</f>
        <v>42179.64583</v>
      </c>
      <c r="B174" s="1">
        <f>IFERROR(__xludf.DUMMYFUNCTION("""COMPUTED_VALUE"""),1966.36)</f>
        <v>1966.36</v>
      </c>
      <c r="C174" s="1">
        <f>IFERROR(__xludf.DUMMYFUNCTION("""COMPUTED_VALUE"""),1971.04)</f>
        <v>1971.04</v>
      </c>
      <c r="D174" s="1">
        <f>IFERROR(__xludf.DUMMYFUNCTION("""COMPUTED_VALUE"""),1966.36)</f>
        <v>1966.36</v>
      </c>
      <c r="E174" s="1">
        <f>IFERROR(__xludf.DUMMYFUNCTION("""COMPUTED_VALUE"""),1971.04)</f>
        <v>1971.04</v>
      </c>
      <c r="F174" s="1">
        <f>IFERROR(__xludf.DUMMYFUNCTION("""COMPUTED_VALUE"""),212.0)</f>
        <v>212</v>
      </c>
    </row>
    <row r="175">
      <c r="A175" s="2">
        <f>IFERROR(__xludf.DUMMYFUNCTION("""COMPUTED_VALUE"""),42180.64583333333)</f>
        <v>42180.64583</v>
      </c>
      <c r="B175" s="1">
        <f>IFERROR(__xludf.DUMMYFUNCTION("""COMPUTED_VALUE"""),1971.04)</f>
        <v>1971.04</v>
      </c>
      <c r="C175" s="1">
        <f>IFERROR(__xludf.DUMMYFUNCTION("""COMPUTED_VALUE"""),1999.13)</f>
        <v>1999.13</v>
      </c>
      <c r="D175" s="1">
        <f>IFERROR(__xludf.DUMMYFUNCTION("""COMPUTED_VALUE"""),1947.63)</f>
        <v>1947.63</v>
      </c>
      <c r="E175" s="1">
        <f>IFERROR(__xludf.DUMMYFUNCTION("""COMPUTED_VALUE"""),1989.77)</f>
        <v>1989.77</v>
      </c>
      <c r="F175" s="1">
        <f>IFERROR(__xludf.DUMMYFUNCTION("""COMPUTED_VALUE"""),5621.0)</f>
        <v>5621</v>
      </c>
    </row>
    <row r="176">
      <c r="A176" s="2">
        <f>IFERROR(__xludf.DUMMYFUNCTION("""COMPUTED_VALUE"""),42181.64583333333)</f>
        <v>42181.64583</v>
      </c>
      <c r="B176" s="1">
        <f>IFERROR(__xludf.DUMMYFUNCTION("""COMPUTED_VALUE"""),2078.72)</f>
        <v>2078.72</v>
      </c>
      <c r="C176" s="1">
        <f>IFERROR(__xludf.DUMMYFUNCTION("""COMPUTED_VALUE"""),2078.72)</f>
        <v>2078.72</v>
      </c>
      <c r="D176" s="1">
        <f>IFERROR(__xludf.DUMMYFUNCTION("""COMPUTED_VALUE"""),1999.13)</f>
        <v>1999.13</v>
      </c>
      <c r="E176" s="1">
        <f>IFERROR(__xludf.DUMMYFUNCTION("""COMPUTED_VALUE"""),2022.54)</f>
        <v>2022.54</v>
      </c>
      <c r="F176" s="1">
        <f>IFERROR(__xludf.DUMMYFUNCTION("""COMPUTED_VALUE"""),7171.0)</f>
        <v>7171</v>
      </c>
    </row>
    <row r="177">
      <c r="A177" s="2">
        <f>IFERROR(__xludf.DUMMYFUNCTION("""COMPUTED_VALUE"""),42184.64583333333)</f>
        <v>42184.64583</v>
      </c>
      <c r="B177" s="1">
        <f>IFERROR(__xludf.DUMMYFUNCTION("""COMPUTED_VALUE"""),2022.54)</f>
        <v>2022.54</v>
      </c>
      <c r="C177" s="1">
        <f>IFERROR(__xludf.DUMMYFUNCTION("""COMPUTED_VALUE"""),2172.36)</f>
        <v>2172.36</v>
      </c>
      <c r="D177" s="1">
        <f>IFERROR(__xludf.DUMMYFUNCTION("""COMPUTED_VALUE"""),2022.54)</f>
        <v>2022.54</v>
      </c>
      <c r="E177" s="1">
        <f>IFERROR(__xludf.DUMMYFUNCTION("""COMPUTED_VALUE"""),2074.04)</f>
        <v>2074.04</v>
      </c>
      <c r="F177" s="1">
        <f>IFERROR(__xludf.DUMMYFUNCTION("""COMPUTED_VALUE"""),122519.0)</f>
        <v>122519</v>
      </c>
    </row>
    <row r="178">
      <c r="A178" s="2">
        <f>IFERROR(__xludf.DUMMYFUNCTION("""COMPUTED_VALUE"""),42185.64583333333)</f>
        <v>42185.64583</v>
      </c>
      <c r="B178" s="1">
        <f>IFERROR(__xludf.DUMMYFUNCTION("""COMPUTED_VALUE"""),2078.72)</f>
        <v>2078.72</v>
      </c>
      <c r="C178" s="1">
        <f>IFERROR(__xludf.DUMMYFUNCTION("""COMPUTED_VALUE"""),2083.4)</f>
        <v>2083.4</v>
      </c>
      <c r="D178" s="1">
        <f>IFERROR(__xludf.DUMMYFUNCTION("""COMPUTED_VALUE"""),2013.18)</f>
        <v>2013.18</v>
      </c>
      <c r="E178" s="1">
        <f>IFERROR(__xludf.DUMMYFUNCTION("""COMPUTED_VALUE"""),2078.72)</f>
        <v>2078.72</v>
      </c>
      <c r="F178" s="1">
        <f>IFERROR(__xludf.DUMMYFUNCTION("""COMPUTED_VALUE"""),7091.0)</f>
        <v>7091</v>
      </c>
    </row>
    <row r="179">
      <c r="A179" s="2">
        <f>IFERROR(__xludf.DUMMYFUNCTION("""COMPUTED_VALUE"""),42186.64583333333)</f>
        <v>42186.64583</v>
      </c>
      <c r="B179" s="1">
        <f>IFERROR(__xludf.DUMMYFUNCTION("""COMPUTED_VALUE"""),2106.81)</f>
        <v>2106.81</v>
      </c>
      <c r="C179" s="1">
        <f>IFERROR(__xludf.DUMMYFUNCTION("""COMPUTED_VALUE"""),2106.81)</f>
        <v>2106.81</v>
      </c>
      <c r="D179" s="1">
        <f>IFERROR(__xludf.DUMMYFUNCTION("""COMPUTED_VALUE"""),2059.99)</f>
        <v>2059.99</v>
      </c>
      <c r="E179" s="1">
        <f>IFERROR(__xludf.DUMMYFUNCTION("""COMPUTED_VALUE"""),2064.68)</f>
        <v>2064.68</v>
      </c>
      <c r="F179" s="1">
        <f>IFERROR(__xludf.DUMMYFUNCTION("""COMPUTED_VALUE"""),6051.0)</f>
        <v>6051</v>
      </c>
    </row>
    <row r="180">
      <c r="A180" s="2">
        <f>IFERROR(__xludf.DUMMYFUNCTION("""COMPUTED_VALUE"""),42187.64583333333)</f>
        <v>42187.64583</v>
      </c>
      <c r="B180" s="1">
        <f>IFERROR(__xludf.DUMMYFUNCTION("""COMPUTED_VALUE"""),2017.86)</f>
        <v>2017.86</v>
      </c>
      <c r="C180" s="1">
        <f>IFERROR(__xludf.DUMMYFUNCTION("""COMPUTED_VALUE"""),2059.99)</f>
        <v>2059.99</v>
      </c>
      <c r="D180" s="1">
        <f>IFERROR(__xludf.DUMMYFUNCTION("""COMPUTED_VALUE"""),2017.86)</f>
        <v>2017.86</v>
      </c>
      <c r="E180" s="1">
        <f>IFERROR(__xludf.DUMMYFUNCTION("""COMPUTED_VALUE"""),2059.99)</f>
        <v>2059.99</v>
      </c>
      <c r="F180" s="1">
        <f>IFERROR(__xludf.DUMMYFUNCTION("""COMPUTED_VALUE"""),1496.0)</f>
        <v>1496</v>
      </c>
    </row>
    <row r="181">
      <c r="A181" s="2">
        <f>IFERROR(__xludf.DUMMYFUNCTION("""COMPUTED_VALUE"""),42188.64583333333)</f>
        <v>42188.64583</v>
      </c>
      <c r="B181" s="1">
        <f>IFERROR(__xludf.DUMMYFUNCTION("""COMPUTED_VALUE"""),2055.31)</f>
        <v>2055.31</v>
      </c>
      <c r="C181" s="1">
        <f>IFERROR(__xludf.DUMMYFUNCTION("""COMPUTED_VALUE"""),2069.36)</f>
        <v>2069.36</v>
      </c>
      <c r="D181" s="1">
        <f>IFERROR(__xludf.DUMMYFUNCTION("""COMPUTED_VALUE"""),2041.27)</f>
        <v>2041.27</v>
      </c>
      <c r="E181" s="1">
        <f>IFERROR(__xludf.DUMMYFUNCTION("""COMPUTED_VALUE"""),2045.95)</f>
        <v>2045.95</v>
      </c>
      <c r="F181" s="1">
        <f>IFERROR(__xludf.DUMMYFUNCTION("""COMPUTED_VALUE"""),8157.0)</f>
        <v>8157</v>
      </c>
    </row>
    <row r="182">
      <c r="A182" s="2">
        <f>IFERROR(__xludf.DUMMYFUNCTION("""COMPUTED_VALUE"""),42191.64583333333)</f>
        <v>42191.64583</v>
      </c>
      <c r="B182" s="1">
        <f>IFERROR(__xludf.DUMMYFUNCTION("""COMPUTED_VALUE"""),2083.4)</f>
        <v>2083.4</v>
      </c>
      <c r="C182" s="1">
        <f>IFERROR(__xludf.DUMMYFUNCTION("""COMPUTED_VALUE"""),2083.4)</f>
        <v>2083.4</v>
      </c>
      <c r="D182" s="1">
        <f>IFERROR(__xludf.DUMMYFUNCTION("""COMPUTED_VALUE"""),2027.22)</f>
        <v>2027.22</v>
      </c>
      <c r="E182" s="1">
        <f>IFERROR(__xludf.DUMMYFUNCTION("""COMPUTED_VALUE"""),2041.27)</f>
        <v>2041.27</v>
      </c>
      <c r="F182" s="1">
        <f>IFERROR(__xludf.DUMMYFUNCTION("""COMPUTED_VALUE"""),6752.0)</f>
        <v>6752</v>
      </c>
    </row>
    <row r="183">
      <c r="A183" s="2">
        <f>IFERROR(__xludf.DUMMYFUNCTION("""COMPUTED_VALUE"""),42192.64583333333)</f>
        <v>42192.64583</v>
      </c>
      <c r="B183" s="1">
        <f>IFERROR(__xludf.DUMMYFUNCTION("""COMPUTED_VALUE"""),2027.22)</f>
        <v>2027.22</v>
      </c>
      <c r="C183" s="1">
        <f>IFERROR(__xludf.DUMMYFUNCTION("""COMPUTED_VALUE"""),2088.08)</f>
        <v>2088.08</v>
      </c>
      <c r="D183" s="1">
        <f>IFERROR(__xludf.DUMMYFUNCTION("""COMPUTED_VALUE"""),2022.54)</f>
        <v>2022.54</v>
      </c>
      <c r="E183" s="1">
        <f>IFERROR(__xludf.DUMMYFUNCTION("""COMPUTED_VALUE"""),2055.31)</f>
        <v>2055.31</v>
      </c>
      <c r="F183" s="1">
        <f>IFERROR(__xludf.DUMMYFUNCTION("""COMPUTED_VALUE"""),39849.0)</f>
        <v>39849</v>
      </c>
    </row>
    <row r="184">
      <c r="A184" s="2">
        <f>IFERROR(__xludf.DUMMYFUNCTION("""COMPUTED_VALUE"""),42193.64583333333)</f>
        <v>42193.64583</v>
      </c>
      <c r="B184" s="1">
        <f>IFERROR(__xludf.DUMMYFUNCTION("""COMPUTED_VALUE"""),2050.63)</f>
        <v>2050.63</v>
      </c>
      <c r="C184" s="1">
        <f>IFERROR(__xludf.DUMMYFUNCTION("""COMPUTED_VALUE"""),2088.08)</f>
        <v>2088.08</v>
      </c>
      <c r="D184" s="1">
        <f>IFERROR(__xludf.DUMMYFUNCTION("""COMPUTED_VALUE"""),2036.58)</f>
        <v>2036.58</v>
      </c>
      <c r="E184" s="1">
        <f>IFERROR(__xludf.DUMMYFUNCTION("""COMPUTED_VALUE"""),2083.4)</f>
        <v>2083.4</v>
      </c>
      <c r="F184" s="1">
        <f>IFERROR(__xludf.DUMMYFUNCTION("""COMPUTED_VALUE"""),6566.0)</f>
        <v>6566</v>
      </c>
    </row>
    <row r="185">
      <c r="A185" s="2">
        <f>IFERROR(__xludf.DUMMYFUNCTION("""COMPUTED_VALUE"""),42194.64583333333)</f>
        <v>42194.64583</v>
      </c>
      <c r="B185" s="1">
        <f>IFERROR(__xludf.DUMMYFUNCTION("""COMPUTED_VALUE"""),2074.04)</f>
        <v>2074.04</v>
      </c>
      <c r="C185" s="1">
        <f>IFERROR(__xludf.DUMMYFUNCTION("""COMPUTED_VALUE"""),2074.04)</f>
        <v>2074.04</v>
      </c>
      <c r="D185" s="1">
        <f>IFERROR(__xludf.DUMMYFUNCTION("""COMPUTED_VALUE"""),2074.04)</f>
        <v>2074.04</v>
      </c>
      <c r="E185" s="1">
        <f>IFERROR(__xludf.DUMMYFUNCTION("""COMPUTED_VALUE"""),2074.04)</f>
        <v>2074.04</v>
      </c>
      <c r="F185" s="1">
        <f>IFERROR(__xludf.DUMMYFUNCTION("""COMPUTED_VALUE"""),3000.0)</f>
        <v>3000</v>
      </c>
    </row>
    <row r="186">
      <c r="A186" s="2">
        <f>IFERROR(__xludf.DUMMYFUNCTION("""COMPUTED_VALUE"""),42195.64583333333)</f>
        <v>42195.64583</v>
      </c>
      <c r="B186" s="1">
        <f>IFERROR(__xludf.DUMMYFUNCTION("""COMPUTED_VALUE"""),2078.72)</f>
        <v>2078.72</v>
      </c>
      <c r="C186" s="1">
        <f>IFERROR(__xludf.DUMMYFUNCTION("""COMPUTED_VALUE"""),2083.4)</f>
        <v>2083.4</v>
      </c>
      <c r="D186" s="1">
        <f>IFERROR(__xludf.DUMMYFUNCTION("""COMPUTED_VALUE"""),2074.04)</f>
        <v>2074.04</v>
      </c>
      <c r="E186" s="1">
        <f>IFERROR(__xludf.DUMMYFUNCTION("""COMPUTED_VALUE"""),2083.4)</f>
        <v>2083.4</v>
      </c>
      <c r="F186" s="1">
        <f>IFERROR(__xludf.DUMMYFUNCTION("""COMPUTED_VALUE"""),4425.0)</f>
        <v>4425</v>
      </c>
    </row>
    <row r="187">
      <c r="A187" s="2">
        <f>IFERROR(__xludf.DUMMYFUNCTION("""COMPUTED_VALUE"""),42198.64583333333)</f>
        <v>42198.64583</v>
      </c>
      <c r="B187" s="1">
        <f>IFERROR(__xludf.DUMMYFUNCTION("""COMPUTED_VALUE"""),2083.4)</f>
        <v>2083.4</v>
      </c>
      <c r="C187" s="1">
        <f>IFERROR(__xludf.DUMMYFUNCTION("""COMPUTED_VALUE"""),2083.4)</f>
        <v>2083.4</v>
      </c>
      <c r="D187" s="1">
        <f>IFERROR(__xludf.DUMMYFUNCTION("""COMPUTED_VALUE"""),2041.27)</f>
        <v>2041.27</v>
      </c>
      <c r="E187" s="1">
        <f>IFERROR(__xludf.DUMMYFUNCTION("""COMPUTED_VALUE"""),2078.72)</f>
        <v>2078.72</v>
      </c>
      <c r="F187" s="1">
        <f>IFERROR(__xludf.DUMMYFUNCTION("""COMPUTED_VALUE"""),4774.0)</f>
        <v>4774</v>
      </c>
    </row>
    <row r="188">
      <c r="A188" s="2">
        <f>IFERROR(__xludf.DUMMYFUNCTION("""COMPUTED_VALUE"""),42199.64583333333)</f>
        <v>42199.64583</v>
      </c>
      <c r="B188" s="1">
        <f>IFERROR(__xludf.DUMMYFUNCTION("""COMPUTED_VALUE"""),2092.77)</f>
        <v>2092.77</v>
      </c>
      <c r="C188" s="1">
        <f>IFERROR(__xludf.DUMMYFUNCTION("""COMPUTED_VALUE"""),2092.77)</f>
        <v>2092.77</v>
      </c>
      <c r="D188" s="1">
        <f>IFERROR(__xludf.DUMMYFUNCTION("""COMPUTED_VALUE"""),2078.72)</f>
        <v>2078.72</v>
      </c>
      <c r="E188" s="1">
        <f>IFERROR(__xludf.DUMMYFUNCTION("""COMPUTED_VALUE"""),2083.4)</f>
        <v>2083.4</v>
      </c>
      <c r="F188" s="1">
        <f>IFERROR(__xludf.DUMMYFUNCTION("""COMPUTED_VALUE"""),5756.0)</f>
        <v>5756</v>
      </c>
    </row>
    <row r="189">
      <c r="A189" s="2">
        <f>IFERROR(__xludf.DUMMYFUNCTION("""COMPUTED_VALUE"""),42200.64583333333)</f>
        <v>42200.64583</v>
      </c>
      <c r="B189" s="1">
        <f>IFERROR(__xludf.DUMMYFUNCTION("""COMPUTED_VALUE"""),2092.77)</f>
        <v>2092.77</v>
      </c>
      <c r="C189" s="1">
        <f>IFERROR(__xludf.DUMMYFUNCTION("""COMPUTED_VALUE"""),2092.77)</f>
        <v>2092.77</v>
      </c>
      <c r="D189" s="1">
        <f>IFERROR(__xludf.DUMMYFUNCTION("""COMPUTED_VALUE"""),2059.99)</f>
        <v>2059.99</v>
      </c>
      <c r="E189" s="1">
        <f>IFERROR(__xludf.DUMMYFUNCTION("""COMPUTED_VALUE"""),2083.4)</f>
        <v>2083.4</v>
      </c>
      <c r="F189" s="1">
        <f>IFERROR(__xludf.DUMMYFUNCTION("""COMPUTED_VALUE"""),16703.0)</f>
        <v>16703</v>
      </c>
    </row>
    <row r="190">
      <c r="A190" s="2">
        <f>IFERROR(__xludf.DUMMYFUNCTION("""COMPUTED_VALUE"""),42201.64583333333)</f>
        <v>42201.64583</v>
      </c>
      <c r="B190" s="1">
        <f>IFERROR(__xludf.DUMMYFUNCTION("""COMPUTED_VALUE"""),2083.4)</f>
        <v>2083.4</v>
      </c>
      <c r="C190" s="1">
        <f>IFERROR(__xludf.DUMMYFUNCTION("""COMPUTED_VALUE"""),2083.4)</f>
        <v>2083.4</v>
      </c>
      <c r="D190" s="1">
        <f>IFERROR(__xludf.DUMMYFUNCTION("""COMPUTED_VALUE"""),2074.04)</f>
        <v>2074.04</v>
      </c>
      <c r="E190" s="1">
        <f>IFERROR(__xludf.DUMMYFUNCTION("""COMPUTED_VALUE"""),2078.72)</f>
        <v>2078.72</v>
      </c>
      <c r="F190" s="1">
        <f>IFERROR(__xludf.DUMMYFUNCTION("""COMPUTED_VALUE"""),2968.0)</f>
        <v>2968</v>
      </c>
    </row>
    <row r="191">
      <c r="A191" s="2">
        <f>IFERROR(__xludf.DUMMYFUNCTION("""COMPUTED_VALUE"""),42202.64583333333)</f>
        <v>42202.64583</v>
      </c>
      <c r="B191" s="1">
        <f>IFERROR(__xludf.DUMMYFUNCTION("""COMPUTED_VALUE"""),2059.99)</f>
        <v>2059.99</v>
      </c>
      <c r="C191" s="1">
        <f>IFERROR(__xludf.DUMMYFUNCTION("""COMPUTED_VALUE"""),2088.08)</f>
        <v>2088.08</v>
      </c>
      <c r="D191" s="1">
        <f>IFERROR(__xludf.DUMMYFUNCTION("""COMPUTED_VALUE"""),2059.99)</f>
        <v>2059.99</v>
      </c>
      <c r="E191" s="1">
        <f>IFERROR(__xludf.DUMMYFUNCTION("""COMPUTED_VALUE"""),2083.4)</f>
        <v>2083.4</v>
      </c>
      <c r="F191" s="1">
        <f>IFERROR(__xludf.DUMMYFUNCTION("""COMPUTED_VALUE"""),1199.0)</f>
        <v>1199</v>
      </c>
    </row>
    <row r="192">
      <c r="A192" s="2">
        <f>IFERROR(__xludf.DUMMYFUNCTION("""COMPUTED_VALUE"""),42205.64583333333)</f>
        <v>42205.64583</v>
      </c>
      <c r="B192" s="1">
        <f>IFERROR(__xludf.DUMMYFUNCTION("""COMPUTED_VALUE"""),2092.77)</f>
        <v>2092.77</v>
      </c>
      <c r="C192" s="1">
        <f>IFERROR(__xludf.DUMMYFUNCTION("""COMPUTED_VALUE"""),2092.77)</f>
        <v>2092.77</v>
      </c>
      <c r="D192" s="1">
        <f>IFERROR(__xludf.DUMMYFUNCTION("""COMPUTED_VALUE"""),2078.72)</f>
        <v>2078.72</v>
      </c>
      <c r="E192" s="1">
        <f>IFERROR(__xludf.DUMMYFUNCTION("""COMPUTED_VALUE"""),2088.08)</f>
        <v>2088.08</v>
      </c>
      <c r="F192" s="1">
        <f>IFERROR(__xludf.DUMMYFUNCTION("""COMPUTED_VALUE"""),18660.0)</f>
        <v>18660</v>
      </c>
    </row>
    <row r="193">
      <c r="A193" s="2">
        <f>IFERROR(__xludf.DUMMYFUNCTION("""COMPUTED_VALUE"""),42206.64583333333)</f>
        <v>42206.64583</v>
      </c>
      <c r="B193" s="1">
        <f>IFERROR(__xludf.DUMMYFUNCTION("""COMPUTED_VALUE"""),2092.77)</f>
        <v>2092.77</v>
      </c>
      <c r="C193" s="1">
        <f>IFERROR(__xludf.DUMMYFUNCTION("""COMPUTED_VALUE"""),2102.13)</f>
        <v>2102.13</v>
      </c>
      <c r="D193" s="1">
        <f>IFERROR(__xludf.DUMMYFUNCTION("""COMPUTED_VALUE"""),2088.08)</f>
        <v>2088.08</v>
      </c>
      <c r="E193" s="1">
        <f>IFERROR(__xludf.DUMMYFUNCTION("""COMPUTED_VALUE"""),2097.45)</f>
        <v>2097.45</v>
      </c>
      <c r="F193" s="1">
        <f>IFERROR(__xludf.DUMMYFUNCTION("""COMPUTED_VALUE"""),10066.0)</f>
        <v>10066</v>
      </c>
    </row>
    <row r="194">
      <c r="A194" s="2">
        <f>IFERROR(__xludf.DUMMYFUNCTION("""COMPUTED_VALUE"""),42207.64583333333)</f>
        <v>42207.64583</v>
      </c>
      <c r="B194" s="1">
        <f>IFERROR(__xludf.DUMMYFUNCTION("""COMPUTED_VALUE"""),2097.45)</f>
        <v>2097.45</v>
      </c>
      <c r="C194" s="1">
        <f>IFERROR(__xludf.DUMMYFUNCTION("""COMPUTED_VALUE"""),2106.81)</f>
        <v>2106.81</v>
      </c>
      <c r="D194" s="1">
        <f>IFERROR(__xludf.DUMMYFUNCTION("""COMPUTED_VALUE"""),2088.08)</f>
        <v>2088.08</v>
      </c>
      <c r="E194" s="1">
        <f>IFERROR(__xludf.DUMMYFUNCTION("""COMPUTED_VALUE"""),2088.08)</f>
        <v>2088.08</v>
      </c>
      <c r="F194" s="1">
        <f>IFERROR(__xludf.DUMMYFUNCTION("""COMPUTED_VALUE"""),5787.0)</f>
        <v>5787</v>
      </c>
    </row>
    <row r="195">
      <c r="A195" s="2">
        <f>IFERROR(__xludf.DUMMYFUNCTION("""COMPUTED_VALUE"""),42208.64583333333)</f>
        <v>42208.64583</v>
      </c>
      <c r="B195" s="1">
        <f>IFERROR(__xludf.DUMMYFUNCTION("""COMPUTED_VALUE"""),2106.81)</f>
        <v>2106.81</v>
      </c>
      <c r="C195" s="1">
        <f>IFERROR(__xludf.DUMMYFUNCTION("""COMPUTED_VALUE"""),2139.58)</f>
        <v>2139.58</v>
      </c>
      <c r="D195" s="1">
        <f>IFERROR(__xludf.DUMMYFUNCTION("""COMPUTED_VALUE"""),2106.81)</f>
        <v>2106.81</v>
      </c>
      <c r="E195" s="1">
        <f>IFERROR(__xludf.DUMMYFUNCTION("""COMPUTED_VALUE"""),2134.9)</f>
        <v>2134.9</v>
      </c>
      <c r="F195" s="1">
        <f>IFERROR(__xludf.DUMMYFUNCTION("""COMPUTED_VALUE"""),10962.0)</f>
        <v>10962</v>
      </c>
    </row>
    <row r="196">
      <c r="A196" s="2">
        <f>IFERROR(__xludf.DUMMYFUNCTION("""COMPUTED_VALUE"""),42209.64583333333)</f>
        <v>42209.64583</v>
      </c>
      <c r="B196" s="1">
        <f>IFERROR(__xludf.DUMMYFUNCTION("""COMPUTED_VALUE"""),2125.54)</f>
        <v>2125.54</v>
      </c>
      <c r="C196" s="1">
        <f>IFERROR(__xludf.DUMMYFUNCTION("""COMPUTED_VALUE"""),2265.99)</f>
        <v>2265.99</v>
      </c>
      <c r="D196" s="1">
        <f>IFERROR(__xludf.DUMMYFUNCTION("""COMPUTED_VALUE"""),2125.54)</f>
        <v>2125.54</v>
      </c>
      <c r="E196" s="1">
        <f>IFERROR(__xludf.DUMMYFUNCTION("""COMPUTED_VALUE"""),2186.4)</f>
        <v>2186.4</v>
      </c>
      <c r="F196" s="1">
        <f>IFERROR(__xludf.DUMMYFUNCTION("""COMPUTED_VALUE"""),117210.0)</f>
        <v>117210</v>
      </c>
    </row>
    <row r="197">
      <c r="A197" s="2">
        <f>IFERROR(__xludf.DUMMYFUNCTION("""COMPUTED_VALUE"""),42212.64583333333)</f>
        <v>42212.64583</v>
      </c>
      <c r="B197" s="1">
        <f>IFERROR(__xludf.DUMMYFUNCTION("""COMPUTED_VALUE"""),2195.77)</f>
        <v>2195.77</v>
      </c>
      <c r="C197" s="1">
        <f>IFERROR(__xludf.DUMMYFUNCTION("""COMPUTED_VALUE"""),2195.77)</f>
        <v>2195.77</v>
      </c>
      <c r="D197" s="1">
        <f>IFERROR(__xludf.DUMMYFUNCTION("""COMPUTED_VALUE"""),2116.18)</f>
        <v>2116.18</v>
      </c>
      <c r="E197" s="1">
        <f>IFERROR(__xludf.DUMMYFUNCTION("""COMPUTED_VALUE"""),2116.18)</f>
        <v>2116.18</v>
      </c>
      <c r="F197" s="1">
        <f>IFERROR(__xludf.DUMMYFUNCTION("""COMPUTED_VALUE"""),21499.0)</f>
        <v>21499</v>
      </c>
    </row>
    <row r="198">
      <c r="A198" s="2">
        <f>IFERROR(__xludf.DUMMYFUNCTION("""COMPUTED_VALUE"""),42213.64583333333)</f>
        <v>42213.64583</v>
      </c>
      <c r="B198" s="1">
        <f>IFERROR(__xludf.DUMMYFUNCTION("""COMPUTED_VALUE"""),2106.81)</f>
        <v>2106.81</v>
      </c>
      <c r="C198" s="1">
        <f>IFERROR(__xludf.DUMMYFUNCTION("""COMPUTED_VALUE"""),2125.54)</f>
        <v>2125.54</v>
      </c>
      <c r="D198" s="1">
        <f>IFERROR(__xludf.DUMMYFUNCTION("""COMPUTED_VALUE"""),2069.36)</f>
        <v>2069.36</v>
      </c>
      <c r="E198" s="1">
        <f>IFERROR(__xludf.DUMMYFUNCTION("""COMPUTED_VALUE"""),2102.13)</f>
        <v>2102.13</v>
      </c>
      <c r="F198" s="1">
        <f>IFERROR(__xludf.DUMMYFUNCTION("""COMPUTED_VALUE"""),17989.0)</f>
        <v>17989</v>
      </c>
    </row>
    <row r="199">
      <c r="A199" s="2">
        <f>IFERROR(__xludf.DUMMYFUNCTION("""COMPUTED_VALUE"""),42214.64583333333)</f>
        <v>42214.64583</v>
      </c>
      <c r="B199" s="1">
        <f>IFERROR(__xludf.DUMMYFUNCTION("""COMPUTED_VALUE"""),2102.13)</f>
        <v>2102.13</v>
      </c>
      <c r="C199" s="1">
        <f>IFERROR(__xludf.DUMMYFUNCTION("""COMPUTED_VALUE"""),2125.54)</f>
        <v>2125.54</v>
      </c>
      <c r="D199" s="1">
        <f>IFERROR(__xludf.DUMMYFUNCTION("""COMPUTED_VALUE"""),2102.13)</f>
        <v>2102.13</v>
      </c>
      <c r="E199" s="1">
        <f>IFERROR(__xludf.DUMMYFUNCTION("""COMPUTED_VALUE"""),2111.49)</f>
        <v>2111.49</v>
      </c>
      <c r="F199" s="1">
        <f>IFERROR(__xludf.DUMMYFUNCTION("""COMPUTED_VALUE"""),3071.0)</f>
        <v>3071</v>
      </c>
    </row>
    <row r="200">
      <c r="A200" s="2">
        <f>IFERROR(__xludf.DUMMYFUNCTION("""COMPUTED_VALUE"""),42215.64583333333)</f>
        <v>42215.64583</v>
      </c>
      <c r="B200" s="1">
        <f>IFERROR(__xludf.DUMMYFUNCTION("""COMPUTED_VALUE"""),2111.49)</f>
        <v>2111.49</v>
      </c>
      <c r="C200" s="1">
        <f>IFERROR(__xludf.DUMMYFUNCTION("""COMPUTED_VALUE"""),2134.9)</f>
        <v>2134.9</v>
      </c>
      <c r="D200" s="1">
        <f>IFERROR(__xludf.DUMMYFUNCTION("""COMPUTED_VALUE"""),2083.4)</f>
        <v>2083.4</v>
      </c>
      <c r="E200" s="1">
        <f>IFERROR(__xludf.DUMMYFUNCTION("""COMPUTED_VALUE"""),2116.18)</f>
        <v>2116.18</v>
      </c>
      <c r="F200" s="1">
        <f>IFERROR(__xludf.DUMMYFUNCTION("""COMPUTED_VALUE"""),17118.0)</f>
        <v>17118</v>
      </c>
    </row>
    <row r="201">
      <c r="A201" s="2">
        <f>IFERROR(__xludf.DUMMYFUNCTION("""COMPUTED_VALUE"""),42216.64583333333)</f>
        <v>42216.64583</v>
      </c>
      <c r="B201" s="1">
        <f>IFERROR(__xludf.DUMMYFUNCTION("""COMPUTED_VALUE"""),2162.99)</f>
        <v>2162.99</v>
      </c>
      <c r="C201" s="1">
        <f>IFERROR(__xludf.DUMMYFUNCTION("""COMPUTED_VALUE"""),2167.68)</f>
        <v>2167.68</v>
      </c>
      <c r="D201" s="1">
        <f>IFERROR(__xludf.DUMMYFUNCTION("""COMPUTED_VALUE"""),2111.49)</f>
        <v>2111.49</v>
      </c>
      <c r="E201" s="1">
        <f>IFERROR(__xludf.DUMMYFUNCTION("""COMPUTED_VALUE"""),2167.68)</f>
        <v>2167.68</v>
      </c>
      <c r="F201" s="1">
        <f>IFERROR(__xludf.DUMMYFUNCTION("""COMPUTED_VALUE"""),11956.0)</f>
        <v>11956</v>
      </c>
    </row>
    <row r="202">
      <c r="A202" s="2">
        <f>IFERROR(__xludf.DUMMYFUNCTION("""COMPUTED_VALUE"""),42219.64583333333)</f>
        <v>42219.64583</v>
      </c>
      <c r="B202" s="1">
        <f>IFERROR(__xludf.DUMMYFUNCTION("""COMPUTED_VALUE"""),2167.68)</f>
        <v>2167.68</v>
      </c>
      <c r="C202" s="1">
        <f>IFERROR(__xludf.DUMMYFUNCTION("""COMPUTED_VALUE"""),2167.68)</f>
        <v>2167.68</v>
      </c>
      <c r="D202" s="1">
        <f>IFERROR(__xludf.DUMMYFUNCTION("""COMPUTED_VALUE"""),2092.77)</f>
        <v>2092.77</v>
      </c>
      <c r="E202" s="1">
        <f>IFERROR(__xludf.DUMMYFUNCTION("""COMPUTED_VALUE"""),2158.31)</f>
        <v>2158.31</v>
      </c>
      <c r="F202" s="1">
        <f>IFERROR(__xludf.DUMMYFUNCTION("""COMPUTED_VALUE"""),3222.0)</f>
        <v>3222</v>
      </c>
    </row>
    <row r="203">
      <c r="A203" s="2">
        <f>IFERROR(__xludf.DUMMYFUNCTION("""COMPUTED_VALUE"""),42220.64583333333)</f>
        <v>42220.64583</v>
      </c>
      <c r="B203" s="1">
        <f>IFERROR(__xludf.DUMMYFUNCTION("""COMPUTED_VALUE"""),2167.68)</f>
        <v>2167.68</v>
      </c>
      <c r="C203" s="1">
        <f>IFERROR(__xludf.DUMMYFUNCTION("""COMPUTED_VALUE"""),2172.36)</f>
        <v>2172.36</v>
      </c>
      <c r="D203" s="1">
        <f>IFERROR(__xludf.DUMMYFUNCTION("""COMPUTED_VALUE"""),2120.86)</f>
        <v>2120.86</v>
      </c>
      <c r="E203" s="1">
        <f>IFERROR(__xludf.DUMMYFUNCTION("""COMPUTED_VALUE"""),2167.68)</f>
        <v>2167.68</v>
      </c>
      <c r="F203" s="1">
        <f>IFERROR(__xludf.DUMMYFUNCTION("""COMPUTED_VALUE"""),1060.0)</f>
        <v>1060</v>
      </c>
    </row>
    <row r="204">
      <c r="A204" s="2">
        <f>IFERROR(__xludf.DUMMYFUNCTION("""COMPUTED_VALUE"""),42221.64583333333)</f>
        <v>42221.64583</v>
      </c>
      <c r="B204" s="1">
        <f>IFERROR(__xludf.DUMMYFUNCTION("""COMPUTED_VALUE"""),2172.36)</f>
        <v>2172.36</v>
      </c>
      <c r="C204" s="1">
        <f>IFERROR(__xludf.DUMMYFUNCTION("""COMPUTED_VALUE"""),2172.36)</f>
        <v>2172.36</v>
      </c>
      <c r="D204" s="1">
        <f>IFERROR(__xludf.DUMMYFUNCTION("""COMPUTED_VALUE"""),2102.13)</f>
        <v>2102.13</v>
      </c>
      <c r="E204" s="1">
        <f>IFERROR(__xludf.DUMMYFUNCTION("""COMPUTED_VALUE"""),2111.49)</f>
        <v>2111.49</v>
      </c>
      <c r="F204" s="1">
        <f>IFERROR(__xludf.DUMMYFUNCTION("""COMPUTED_VALUE"""),49028.0)</f>
        <v>49028</v>
      </c>
    </row>
    <row r="205">
      <c r="A205" s="2">
        <f>IFERROR(__xludf.DUMMYFUNCTION("""COMPUTED_VALUE"""),42222.64583333333)</f>
        <v>42222.64583</v>
      </c>
      <c r="B205" s="1">
        <f>IFERROR(__xludf.DUMMYFUNCTION("""COMPUTED_VALUE"""),2120.86)</f>
        <v>2120.86</v>
      </c>
      <c r="C205" s="1">
        <f>IFERROR(__xludf.DUMMYFUNCTION("""COMPUTED_VALUE"""),2172.36)</f>
        <v>2172.36</v>
      </c>
      <c r="D205" s="1">
        <f>IFERROR(__xludf.DUMMYFUNCTION("""COMPUTED_VALUE"""),2116.18)</f>
        <v>2116.18</v>
      </c>
      <c r="E205" s="1">
        <f>IFERROR(__xludf.DUMMYFUNCTION("""COMPUTED_VALUE"""),2172.36)</f>
        <v>2172.36</v>
      </c>
      <c r="F205" s="1">
        <f>IFERROR(__xludf.DUMMYFUNCTION("""COMPUTED_VALUE"""),17054.0)</f>
        <v>17054</v>
      </c>
    </row>
    <row r="206">
      <c r="A206" s="2">
        <f>IFERROR(__xludf.DUMMYFUNCTION("""COMPUTED_VALUE"""),42223.64583333333)</f>
        <v>42223.64583</v>
      </c>
      <c r="B206" s="1">
        <f>IFERROR(__xludf.DUMMYFUNCTION("""COMPUTED_VALUE"""),2153.63)</f>
        <v>2153.63</v>
      </c>
      <c r="C206" s="1">
        <f>IFERROR(__xludf.DUMMYFUNCTION("""COMPUTED_VALUE"""),2172.36)</f>
        <v>2172.36</v>
      </c>
      <c r="D206" s="1">
        <f>IFERROR(__xludf.DUMMYFUNCTION("""COMPUTED_VALUE"""),2144.27)</f>
        <v>2144.27</v>
      </c>
      <c r="E206" s="1">
        <f>IFERROR(__xludf.DUMMYFUNCTION("""COMPUTED_VALUE"""),2153.63)</f>
        <v>2153.63</v>
      </c>
      <c r="F206" s="1">
        <f>IFERROR(__xludf.DUMMYFUNCTION("""COMPUTED_VALUE"""),12540.0)</f>
        <v>12540</v>
      </c>
    </row>
    <row r="207">
      <c r="A207" s="2">
        <f>IFERROR(__xludf.DUMMYFUNCTION("""COMPUTED_VALUE"""),42226.64583333333)</f>
        <v>42226.64583</v>
      </c>
      <c r="B207" s="1">
        <f>IFERROR(__xludf.DUMMYFUNCTION("""COMPUTED_VALUE"""),2134.9)</f>
        <v>2134.9</v>
      </c>
      <c r="C207" s="1">
        <f>IFERROR(__xludf.DUMMYFUNCTION("""COMPUTED_VALUE"""),2181.72)</f>
        <v>2181.72</v>
      </c>
      <c r="D207" s="1">
        <f>IFERROR(__xludf.DUMMYFUNCTION("""COMPUTED_VALUE"""),2134.9)</f>
        <v>2134.9</v>
      </c>
      <c r="E207" s="1">
        <f>IFERROR(__xludf.DUMMYFUNCTION("""COMPUTED_VALUE"""),2167.68)</f>
        <v>2167.68</v>
      </c>
      <c r="F207" s="1">
        <f>IFERROR(__xludf.DUMMYFUNCTION("""COMPUTED_VALUE"""),29971.0)</f>
        <v>29971</v>
      </c>
    </row>
    <row r="208">
      <c r="A208" s="2">
        <f>IFERROR(__xludf.DUMMYFUNCTION("""COMPUTED_VALUE"""),42227.64583333333)</f>
        <v>42227.64583</v>
      </c>
      <c r="B208" s="1">
        <f>IFERROR(__xludf.DUMMYFUNCTION("""COMPUTED_VALUE"""),2191.08)</f>
        <v>2191.08</v>
      </c>
      <c r="C208" s="1">
        <f>IFERROR(__xludf.DUMMYFUNCTION("""COMPUTED_VALUE"""),2191.08)</f>
        <v>2191.08</v>
      </c>
      <c r="D208" s="1">
        <f>IFERROR(__xludf.DUMMYFUNCTION("""COMPUTED_VALUE"""),2144.27)</f>
        <v>2144.27</v>
      </c>
      <c r="E208" s="1">
        <f>IFERROR(__xludf.DUMMYFUNCTION("""COMPUTED_VALUE"""),2177.04)</f>
        <v>2177.04</v>
      </c>
      <c r="F208" s="1">
        <f>IFERROR(__xludf.DUMMYFUNCTION("""COMPUTED_VALUE"""),32164.0)</f>
        <v>32164</v>
      </c>
    </row>
    <row r="209">
      <c r="A209" s="2">
        <f>IFERROR(__xludf.DUMMYFUNCTION("""COMPUTED_VALUE"""),42228.64583333333)</f>
        <v>42228.64583</v>
      </c>
      <c r="B209" s="1">
        <f>IFERROR(__xludf.DUMMYFUNCTION("""COMPUTED_VALUE"""),2134.9)</f>
        <v>2134.9</v>
      </c>
      <c r="C209" s="1">
        <f>IFERROR(__xludf.DUMMYFUNCTION("""COMPUTED_VALUE"""),2181.72)</f>
        <v>2181.72</v>
      </c>
      <c r="D209" s="1">
        <f>IFERROR(__xludf.DUMMYFUNCTION("""COMPUTED_VALUE"""),2120.86)</f>
        <v>2120.86</v>
      </c>
      <c r="E209" s="1">
        <f>IFERROR(__xludf.DUMMYFUNCTION("""COMPUTED_VALUE"""),2148.95)</f>
        <v>2148.95</v>
      </c>
      <c r="F209" s="1">
        <f>IFERROR(__xludf.DUMMYFUNCTION("""COMPUTED_VALUE"""),10474.0)</f>
        <v>10474</v>
      </c>
    </row>
    <row r="210">
      <c r="A210" s="2">
        <f>IFERROR(__xludf.DUMMYFUNCTION("""COMPUTED_VALUE"""),42229.64583333333)</f>
        <v>42229.64583</v>
      </c>
      <c r="B210" s="1">
        <f>IFERROR(__xludf.DUMMYFUNCTION("""COMPUTED_VALUE"""),2106.81)</f>
        <v>2106.81</v>
      </c>
      <c r="C210" s="1">
        <f>IFERROR(__xludf.DUMMYFUNCTION("""COMPUTED_VALUE"""),2191.08)</f>
        <v>2191.08</v>
      </c>
      <c r="D210" s="1">
        <f>IFERROR(__xludf.DUMMYFUNCTION("""COMPUTED_VALUE"""),2106.81)</f>
        <v>2106.81</v>
      </c>
      <c r="E210" s="1">
        <f>IFERROR(__xludf.DUMMYFUNCTION("""COMPUTED_VALUE"""),2153.63)</f>
        <v>2153.63</v>
      </c>
      <c r="F210" s="1">
        <f>IFERROR(__xludf.DUMMYFUNCTION("""COMPUTED_VALUE"""),2607.0)</f>
        <v>2607</v>
      </c>
    </row>
    <row r="211">
      <c r="A211" s="2">
        <f>IFERROR(__xludf.DUMMYFUNCTION("""COMPUTED_VALUE"""),42233.64583333333)</f>
        <v>42233.64583</v>
      </c>
      <c r="B211" s="1">
        <f>IFERROR(__xludf.DUMMYFUNCTION("""COMPUTED_VALUE"""),2111.49)</f>
        <v>2111.49</v>
      </c>
      <c r="C211" s="1">
        <f>IFERROR(__xludf.DUMMYFUNCTION("""COMPUTED_VALUE"""),2191.08)</f>
        <v>2191.08</v>
      </c>
      <c r="D211" s="1">
        <f>IFERROR(__xludf.DUMMYFUNCTION("""COMPUTED_VALUE"""),2111.49)</f>
        <v>2111.49</v>
      </c>
      <c r="E211" s="1">
        <f>IFERROR(__xludf.DUMMYFUNCTION("""COMPUTED_VALUE"""),2116.18)</f>
        <v>2116.18</v>
      </c>
      <c r="F211" s="1">
        <f>IFERROR(__xludf.DUMMYFUNCTION("""COMPUTED_VALUE"""),8147.0)</f>
        <v>8147</v>
      </c>
    </row>
    <row r="212">
      <c r="A212" s="2">
        <f>IFERROR(__xludf.DUMMYFUNCTION("""COMPUTED_VALUE"""),42234.64583333333)</f>
        <v>42234.64583</v>
      </c>
      <c r="B212" s="1">
        <f>IFERROR(__xludf.DUMMYFUNCTION("""COMPUTED_VALUE"""),2106.81)</f>
        <v>2106.81</v>
      </c>
      <c r="C212" s="1">
        <f>IFERROR(__xludf.DUMMYFUNCTION("""COMPUTED_VALUE"""),2191.08)</f>
        <v>2191.08</v>
      </c>
      <c r="D212" s="1">
        <f>IFERROR(__xludf.DUMMYFUNCTION("""COMPUTED_VALUE"""),2106.81)</f>
        <v>2106.81</v>
      </c>
      <c r="E212" s="1">
        <f>IFERROR(__xludf.DUMMYFUNCTION("""COMPUTED_VALUE"""),2139.58)</f>
        <v>2139.58</v>
      </c>
      <c r="F212" s="1">
        <f>IFERROR(__xludf.DUMMYFUNCTION("""COMPUTED_VALUE"""),16383.0)</f>
        <v>16383</v>
      </c>
    </row>
    <row r="213">
      <c r="A213" s="2">
        <f>IFERROR(__xludf.DUMMYFUNCTION("""COMPUTED_VALUE"""),42235.64583333333)</f>
        <v>42235.64583</v>
      </c>
      <c r="B213" s="1">
        <f>IFERROR(__xludf.DUMMYFUNCTION("""COMPUTED_VALUE"""),2111.49)</f>
        <v>2111.49</v>
      </c>
      <c r="C213" s="1">
        <f>IFERROR(__xludf.DUMMYFUNCTION("""COMPUTED_VALUE"""),2130.22)</f>
        <v>2130.22</v>
      </c>
      <c r="D213" s="1">
        <f>IFERROR(__xludf.DUMMYFUNCTION("""COMPUTED_VALUE"""),2059.99)</f>
        <v>2059.99</v>
      </c>
      <c r="E213" s="1">
        <f>IFERROR(__xludf.DUMMYFUNCTION("""COMPUTED_VALUE"""),2078.72)</f>
        <v>2078.72</v>
      </c>
      <c r="F213" s="1">
        <f>IFERROR(__xludf.DUMMYFUNCTION("""COMPUTED_VALUE"""),53568.0)</f>
        <v>53568</v>
      </c>
    </row>
    <row r="214">
      <c r="A214" s="2">
        <f>IFERROR(__xludf.DUMMYFUNCTION("""COMPUTED_VALUE"""),42236.64583333333)</f>
        <v>42236.64583</v>
      </c>
      <c r="B214" s="1">
        <f>IFERROR(__xludf.DUMMYFUNCTION("""COMPUTED_VALUE"""),2078.72)</f>
        <v>2078.72</v>
      </c>
      <c r="C214" s="1">
        <f>IFERROR(__xludf.DUMMYFUNCTION("""COMPUTED_VALUE"""),2186.4)</f>
        <v>2186.4</v>
      </c>
      <c r="D214" s="1">
        <f>IFERROR(__xludf.DUMMYFUNCTION("""COMPUTED_VALUE"""),2078.72)</f>
        <v>2078.72</v>
      </c>
      <c r="E214" s="1">
        <f>IFERROR(__xludf.DUMMYFUNCTION("""COMPUTED_VALUE"""),2153.63)</f>
        <v>2153.63</v>
      </c>
      <c r="F214" s="1">
        <f>IFERROR(__xludf.DUMMYFUNCTION("""COMPUTED_VALUE"""),39335.0)</f>
        <v>39335</v>
      </c>
    </row>
    <row r="215">
      <c r="A215" s="2">
        <f>IFERROR(__xludf.DUMMYFUNCTION("""COMPUTED_VALUE"""),42237.64583333333)</f>
        <v>42237.64583</v>
      </c>
      <c r="B215" s="1">
        <f>IFERROR(__xludf.DUMMYFUNCTION("""COMPUTED_VALUE"""),2092.77)</f>
        <v>2092.77</v>
      </c>
      <c r="C215" s="1">
        <f>IFERROR(__xludf.DUMMYFUNCTION("""COMPUTED_VALUE"""),2134.9)</f>
        <v>2134.9</v>
      </c>
      <c r="D215" s="1">
        <f>IFERROR(__xludf.DUMMYFUNCTION("""COMPUTED_VALUE"""),2064.68)</f>
        <v>2064.68</v>
      </c>
      <c r="E215" s="1">
        <f>IFERROR(__xludf.DUMMYFUNCTION("""COMPUTED_VALUE"""),2120.86)</f>
        <v>2120.86</v>
      </c>
      <c r="F215" s="1">
        <f>IFERROR(__xludf.DUMMYFUNCTION("""COMPUTED_VALUE"""),5379.0)</f>
        <v>5379</v>
      </c>
    </row>
    <row r="216">
      <c r="A216" s="2">
        <f>IFERROR(__xludf.DUMMYFUNCTION("""COMPUTED_VALUE"""),42240.64583333333)</f>
        <v>42240.64583</v>
      </c>
      <c r="B216" s="1">
        <f>IFERROR(__xludf.DUMMYFUNCTION("""COMPUTED_VALUE"""),2116.18)</f>
        <v>2116.18</v>
      </c>
      <c r="C216" s="1">
        <f>IFERROR(__xludf.DUMMYFUNCTION("""COMPUTED_VALUE"""),2116.18)</f>
        <v>2116.18</v>
      </c>
      <c r="D216" s="1">
        <f>IFERROR(__xludf.DUMMYFUNCTION("""COMPUTED_VALUE"""),2022.54)</f>
        <v>2022.54</v>
      </c>
      <c r="E216" s="1">
        <f>IFERROR(__xludf.DUMMYFUNCTION("""COMPUTED_VALUE"""),2055.31)</f>
        <v>2055.31</v>
      </c>
      <c r="F216" s="1">
        <f>IFERROR(__xludf.DUMMYFUNCTION("""COMPUTED_VALUE"""),17185.0)</f>
        <v>17185</v>
      </c>
    </row>
    <row r="217">
      <c r="A217" s="2">
        <f>IFERROR(__xludf.DUMMYFUNCTION("""COMPUTED_VALUE"""),42241.64583333333)</f>
        <v>42241.64583</v>
      </c>
      <c r="B217" s="1">
        <f>IFERROR(__xludf.DUMMYFUNCTION("""COMPUTED_VALUE"""),2074.04)</f>
        <v>2074.04</v>
      </c>
      <c r="C217" s="1">
        <f>IFERROR(__xludf.DUMMYFUNCTION("""COMPUTED_VALUE"""),2106.81)</f>
        <v>2106.81</v>
      </c>
      <c r="D217" s="1">
        <f>IFERROR(__xludf.DUMMYFUNCTION("""COMPUTED_VALUE"""),2050.63)</f>
        <v>2050.63</v>
      </c>
      <c r="E217" s="1">
        <f>IFERROR(__xludf.DUMMYFUNCTION("""COMPUTED_VALUE"""),2106.81)</f>
        <v>2106.81</v>
      </c>
      <c r="F217" s="1">
        <f>IFERROR(__xludf.DUMMYFUNCTION("""COMPUTED_VALUE"""),8707.0)</f>
        <v>8707</v>
      </c>
    </row>
    <row r="218">
      <c r="A218" s="2">
        <f>IFERROR(__xludf.DUMMYFUNCTION("""COMPUTED_VALUE"""),42242.64583333333)</f>
        <v>42242.64583</v>
      </c>
      <c r="B218" s="1">
        <f>IFERROR(__xludf.DUMMYFUNCTION("""COMPUTED_VALUE"""),2106.81)</f>
        <v>2106.81</v>
      </c>
      <c r="C218" s="1">
        <f>IFERROR(__xludf.DUMMYFUNCTION("""COMPUTED_VALUE"""),2106.81)</f>
        <v>2106.81</v>
      </c>
      <c r="D218" s="1">
        <f>IFERROR(__xludf.DUMMYFUNCTION("""COMPUTED_VALUE"""),2050.63)</f>
        <v>2050.63</v>
      </c>
      <c r="E218" s="1">
        <f>IFERROR(__xludf.DUMMYFUNCTION("""COMPUTED_VALUE"""),2083.4)</f>
        <v>2083.4</v>
      </c>
      <c r="F218" s="1">
        <f>IFERROR(__xludf.DUMMYFUNCTION("""COMPUTED_VALUE"""),6371.0)</f>
        <v>6371</v>
      </c>
    </row>
    <row r="219">
      <c r="A219" s="2">
        <f>IFERROR(__xludf.DUMMYFUNCTION("""COMPUTED_VALUE"""),42243.64583333333)</f>
        <v>42243.64583</v>
      </c>
      <c r="B219" s="1">
        <f>IFERROR(__xludf.DUMMYFUNCTION("""COMPUTED_VALUE"""),2083.4)</f>
        <v>2083.4</v>
      </c>
      <c r="C219" s="1">
        <f>IFERROR(__xludf.DUMMYFUNCTION("""COMPUTED_VALUE"""),2083.4)</f>
        <v>2083.4</v>
      </c>
      <c r="D219" s="1">
        <f>IFERROR(__xludf.DUMMYFUNCTION("""COMPUTED_VALUE"""),2083.4)</f>
        <v>2083.4</v>
      </c>
      <c r="E219" s="1">
        <f>IFERROR(__xludf.DUMMYFUNCTION("""COMPUTED_VALUE"""),2083.4)</f>
        <v>2083.4</v>
      </c>
      <c r="F219" s="1">
        <f>IFERROR(__xludf.DUMMYFUNCTION("""COMPUTED_VALUE"""),91.0)</f>
        <v>91</v>
      </c>
    </row>
    <row r="220">
      <c r="A220" s="2">
        <f>IFERROR(__xludf.DUMMYFUNCTION("""COMPUTED_VALUE"""),42244.64583333333)</f>
        <v>42244.64583</v>
      </c>
      <c r="B220" s="1">
        <f>IFERROR(__xludf.DUMMYFUNCTION("""COMPUTED_VALUE"""),2083.4)</f>
        <v>2083.4</v>
      </c>
      <c r="C220" s="1">
        <f>IFERROR(__xludf.DUMMYFUNCTION("""COMPUTED_VALUE"""),2088.08)</f>
        <v>2088.08</v>
      </c>
      <c r="D220" s="1">
        <f>IFERROR(__xludf.DUMMYFUNCTION("""COMPUTED_VALUE"""),2059.99)</f>
        <v>2059.99</v>
      </c>
      <c r="E220" s="1">
        <f>IFERROR(__xludf.DUMMYFUNCTION("""COMPUTED_VALUE"""),2088.08)</f>
        <v>2088.08</v>
      </c>
      <c r="F220" s="1">
        <f>IFERROR(__xludf.DUMMYFUNCTION("""COMPUTED_VALUE"""),6219.0)</f>
        <v>6219</v>
      </c>
    </row>
    <row r="221">
      <c r="A221" s="2">
        <f>IFERROR(__xludf.DUMMYFUNCTION("""COMPUTED_VALUE"""),42247.64583333333)</f>
        <v>42247.64583</v>
      </c>
      <c r="B221" s="1">
        <f>IFERROR(__xludf.DUMMYFUNCTION("""COMPUTED_VALUE"""),2097.45)</f>
        <v>2097.45</v>
      </c>
      <c r="C221" s="1">
        <f>IFERROR(__xludf.DUMMYFUNCTION("""COMPUTED_VALUE"""),2134.9)</f>
        <v>2134.9</v>
      </c>
      <c r="D221" s="1">
        <f>IFERROR(__xludf.DUMMYFUNCTION("""COMPUTED_VALUE"""),2055.31)</f>
        <v>2055.31</v>
      </c>
      <c r="E221" s="1">
        <f>IFERROR(__xludf.DUMMYFUNCTION("""COMPUTED_VALUE"""),2088.08)</f>
        <v>2088.08</v>
      </c>
      <c r="F221" s="1">
        <f>IFERROR(__xludf.DUMMYFUNCTION("""COMPUTED_VALUE"""),10858.0)</f>
        <v>10858</v>
      </c>
    </row>
    <row r="222">
      <c r="A222" s="2">
        <f>IFERROR(__xludf.DUMMYFUNCTION("""COMPUTED_VALUE"""),42248.64583333333)</f>
        <v>42248.64583</v>
      </c>
      <c r="B222" s="1">
        <f>IFERROR(__xludf.DUMMYFUNCTION("""COMPUTED_VALUE"""),2111.49)</f>
        <v>2111.49</v>
      </c>
      <c r="C222" s="1">
        <f>IFERROR(__xludf.DUMMYFUNCTION("""COMPUTED_VALUE"""),2111.49)</f>
        <v>2111.49</v>
      </c>
      <c r="D222" s="1">
        <f>IFERROR(__xludf.DUMMYFUNCTION("""COMPUTED_VALUE"""),2064.68)</f>
        <v>2064.68</v>
      </c>
      <c r="E222" s="1">
        <f>IFERROR(__xludf.DUMMYFUNCTION("""COMPUTED_VALUE"""),2064.68)</f>
        <v>2064.68</v>
      </c>
      <c r="F222" s="1">
        <f>IFERROR(__xludf.DUMMYFUNCTION("""COMPUTED_VALUE"""),2185.0)</f>
        <v>2185</v>
      </c>
    </row>
    <row r="223">
      <c r="A223" s="2">
        <f>IFERROR(__xludf.DUMMYFUNCTION("""COMPUTED_VALUE"""),42249.64583333333)</f>
        <v>42249.64583</v>
      </c>
      <c r="B223" s="1">
        <f>IFERROR(__xludf.DUMMYFUNCTION("""COMPUTED_VALUE"""),2064.68)</f>
        <v>2064.68</v>
      </c>
      <c r="C223" s="1">
        <f>IFERROR(__xludf.DUMMYFUNCTION("""COMPUTED_VALUE"""),2106.81)</f>
        <v>2106.81</v>
      </c>
      <c r="D223" s="1">
        <f>IFERROR(__xludf.DUMMYFUNCTION("""COMPUTED_VALUE"""),2064.68)</f>
        <v>2064.68</v>
      </c>
      <c r="E223" s="1">
        <f>IFERROR(__xludf.DUMMYFUNCTION("""COMPUTED_VALUE"""),2106.81)</f>
        <v>2106.81</v>
      </c>
      <c r="F223" s="1">
        <f>IFERROR(__xludf.DUMMYFUNCTION("""COMPUTED_VALUE"""),12715.0)</f>
        <v>12715</v>
      </c>
    </row>
    <row r="224">
      <c r="A224" s="2">
        <f>IFERROR(__xludf.DUMMYFUNCTION("""COMPUTED_VALUE"""),42250.64583333333)</f>
        <v>42250.64583</v>
      </c>
      <c r="B224" s="1">
        <f>IFERROR(__xludf.DUMMYFUNCTION("""COMPUTED_VALUE"""),2074.04)</f>
        <v>2074.04</v>
      </c>
      <c r="C224" s="1">
        <f>IFERROR(__xludf.DUMMYFUNCTION("""COMPUTED_VALUE"""),2139.58)</f>
        <v>2139.58</v>
      </c>
      <c r="D224" s="1">
        <f>IFERROR(__xludf.DUMMYFUNCTION("""COMPUTED_VALUE"""),2041.27)</f>
        <v>2041.27</v>
      </c>
      <c r="E224" s="1">
        <f>IFERROR(__xludf.DUMMYFUNCTION("""COMPUTED_VALUE"""),2041.27)</f>
        <v>2041.27</v>
      </c>
      <c r="F224" s="1">
        <f>IFERROR(__xludf.DUMMYFUNCTION("""COMPUTED_VALUE"""),27612.0)</f>
        <v>27612</v>
      </c>
    </row>
    <row r="225">
      <c r="A225" s="2">
        <f>IFERROR(__xludf.DUMMYFUNCTION("""COMPUTED_VALUE"""),42251.64583333333)</f>
        <v>42251.64583</v>
      </c>
      <c r="B225" s="1">
        <f>IFERROR(__xludf.DUMMYFUNCTION("""COMPUTED_VALUE"""),2041.27)</f>
        <v>2041.27</v>
      </c>
      <c r="C225" s="1">
        <f>IFERROR(__xludf.DUMMYFUNCTION("""COMPUTED_VALUE"""),2116.18)</f>
        <v>2116.18</v>
      </c>
      <c r="D225" s="1">
        <f>IFERROR(__xludf.DUMMYFUNCTION("""COMPUTED_VALUE"""),2036.58)</f>
        <v>2036.58</v>
      </c>
      <c r="E225" s="1">
        <f>IFERROR(__xludf.DUMMYFUNCTION("""COMPUTED_VALUE"""),2036.58)</f>
        <v>2036.58</v>
      </c>
      <c r="F225" s="1">
        <f>IFERROR(__xludf.DUMMYFUNCTION("""COMPUTED_VALUE"""),1834.0)</f>
        <v>1834</v>
      </c>
    </row>
    <row r="226">
      <c r="A226" s="2">
        <f>IFERROR(__xludf.DUMMYFUNCTION("""COMPUTED_VALUE"""),42254.64583333333)</f>
        <v>42254.64583</v>
      </c>
      <c r="B226" s="1">
        <f>IFERROR(__xludf.DUMMYFUNCTION("""COMPUTED_VALUE"""),2027.22)</f>
        <v>2027.22</v>
      </c>
      <c r="C226" s="1">
        <f>IFERROR(__xludf.DUMMYFUNCTION("""COMPUTED_VALUE"""),2045.95)</f>
        <v>2045.95</v>
      </c>
      <c r="D226" s="1">
        <f>IFERROR(__xludf.DUMMYFUNCTION("""COMPUTED_VALUE"""),2027.22)</f>
        <v>2027.22</v>
      </c>
      <c r="E226" s="1">
        <f>IFERROR(__xludf.DUMMYFUNCTION("""COMPUTED_VALUE"""),2036.58)</f>
        <v>2036.58</v>
      </c>
      <c r="F226" s="1">
        <f>IFERROR(__xludf.DUMMYFUNCTION("""COMPUTED_VALUE"""),19867.0)</f>
        <v>19867</v>
      </c>
    </row>
    <row r="227">
      <c r="A227" s="2">
        <f>IFERROR(__xludf.DUMMYFUNCTION("""COMPUTED_VALUE"""),42255.64583333333)</f>
        <v>42255.64583</v>
      </c>
      <c r="B227" s="1">
        <f>IFERROR(__xludf.DUMMYFUNCTION("""COMPUTED_VALUE"""),2031.9)</f>
        <v>2031.9</v>
      </c>
      <c r="C227" s="1">
        <f>IFERROR(__xludf.DUMMYFUNCTION("""COMPUTED_VALUE"""),2036.58)</f>
        <v>2036.58</v>
      </c>
      <c r="D227" s="1">
        <f>IFERROR(__xludf.DUMMYFUNCTION("""COMPUTED_VALUE"""),2027.22)</f>
        <v>2027.22</v>
      </c>
      <c r="E227" s="1">
        <f>IFERROR(__xludf.DUMMYFUNCTION("""COMPUTED_VALUE"""),2036.58)</f>
        <v>2036.58</v>
      </c>
      <c r="F227" s="1">
        <f>IFERROR(__xludf.DUMMYFUNCTION("""COMPUTED_VALUE"""),9203.0)</f>
        <v>9203</v>
      </c>
    </row>
    <row r="228">
      <c r="A228" s="2">
        <f>IFERROR(__xludf.DUMMYFUNCTION("""COMPUTED_VALUE"""),42256.64583333333)</f>
        <v>42256.64583</v>
      </c>
      <c r="B228" s="1">
        <f>IFERROR(__xludf.DUMMYFUNCTION("""COMPUTED_VALUE"""),2045.95)</f>
        <v>2045.95</v>
      </c>
      <c r="C228" s="1">
        <f>IFERROR(__xludf.DUMMYFUNCTION("""COMPUTED_VALUE"""),2045.95)</f>
        <v>2045.95</v>
      </c>
      <c r="D228" s="1">
        <f>IFERROR(__xludf.DUMMYFUNCTION("""COMPUTED_VALUE"""),2022.54)</f>
        <v>2022.54</v>
      </c>
      <c r="E228" s="1">
        <f>IFERROR(__xludf.DUMMYFUNCTION("""COMPUTED_VALUE"""),2041.27)</f>
        <v>2041.27</v>
      </c>
      <c r="F228" s="1">
        <f>IFERROR(__xludf.DUMMYFUNCTION("""COMPUTED_VALUE"""),28796.0)</f>
        <v>28796</v>
      </c>
    </row>
    <row r="229">
      <c r="A229" s="2">
        <f>IFERROR(__xludf.DUMMYFUNCTION("""COMPUTED_VALUE"""),42257.64583333333)</f>
        <v>42257.64583</v>
      </c>
      <c r="B229" s="1">
        <f>IFERROR(__xludf.DUMMYFUNCTION("""COMPUTED_VALUE"""),2022.54)</f>
        <v>2022.54</v>
      </c>
      <c r="C229" s="1">
        <f>IFERROR(__xludf.DUMMYFUNCTION("""COMPUTED_VALUE"""),2059.99)</f>
        <v>2059.99</v>
      </c>
      <c r="D229" s="1">
        <f>IFERROR(__xludf.DUMMYFUNCTION("""COMPUTED_VALUE"""),2022.54)</f>
        <v>2022.54</v>
      </c>
      <c r="E229" s="1">
        <f>IFERROR(__xludf.DUMMYFUNCTION("""COMPUTED_VALUE"""),2059.99)</f>
        <v>2059.99</v>
      </c>
      <c r="F229" s="1">
        <f>IFERROR(__xludf.DUMMYFUNCTION("""COMPUTED_VALUE"""),17090.0)</f>
        <v>17090</v>
      </c>
    </row>
    <row r="230">
      <c r="A230" s="2">
        <f>IFERROR(__xludf.DUMMYFUNCTION("""COMPUTED_VALUE"""),42261.64583333333)</f>
        <v>42261.64583</v>
      </c>
      <c r="B230" s="1">
        <f>IFERROR(__xludf.DUMMYFUNCTION("""COMPUTED_VALUE"""),2045.95)</f>
        <v>2045.95</v>
      </c>
      <c r="C230" s="1">
        <f>IFERROR(__xludf.DUMMYFUNCTION("""COMPUTED_VALUE"""),2045.95)</f>
        <v>2045.95</v>
      </c>
      <c r="D230" s="1">
        <f>IFERROR(__xludf.DUMMYFUNCTION("""COMPUTED_VALUE"""),2017.86)</f>
        <v>2017.86</v>
      </c>
      <c r="E230" s="1">
        <f>IFERROR(__xludf.DUMMYFUNCTION("""COMPUTED_VALUE"""),2045.95)</f>
        <v>2045.95</v>
      </c>
      <c r="F230" s="1">
        <f>IFERROR(__xludf.DUMMYFUNCTION("""COMPUTED_VALUE"""),6196.0)</f>
        <v>6196</v>
      </c>
    </row>
    <row r="231">
      <c r="A231" s="2">
        <f>IFERROR(__xludf.DUMMYFUNCTION("""COMPUTED_VALUE"""),42262.64583333333)</f>
        <v>42262.64583</v>
      </c>
      <c r="B231" s="1">
        <f>IFERROR(__xludf.DUMMYFUNCTION("""COMPUTED_VALUE"""),2041.27)</f>
        <v>2041.27</v>
      </c>
      <c r="C231" s="1">
        <f>IFERROR(__xludf.DUMMYFUNCTION("""COMPUTED_VALUE"""),2041.27)</f>
        <v>2041.27</v>
      </c>
      <c r="D231" s="1">
        <f>IFERROR(__xludf.DUMMYFUNCTION("""COMPUTED_VALUE"""),2017.86)</f>
        <v>2017.86</v>
      </c>
      <c r="E231" s="1">
        <f>IFERROR(__xludf.DUMMYFUNCTION("""COMPUTED_VALUE"""),2031.9)</f>
        <v>2031.9</v>
      </c>
      <c r="F231" s="1">
        <f>IFERROR(__xludf.DUMMYFUNCTION("""COMPUTED_VALUE"""),4972.0)</f>
        <v>4972</v>
      </c>
    </row>
    <row r="232">
      <c r="A232" s="2">
        <f>IFERROR(__xludf.DUMMYFUNCTION("""COMPUTED_VALUE"""),42263.64583333333)</f>
        <v>42263.64583</v>
      </c>
      <c r="B232" s="1">
        <f>IFERROR(__xludf.DUMMYFUNCTION("""COMPUTED_VALUE"""),2013.18)</f>
        <v>2013.18</v>
      </c>
      <c r="C232" s="1">
        <f>IFERROR(__xludf.DUMMYFUNCTION("""COMPUTED_VALUE"""),2017.86)</f>
        <v>2017.86</v>
      </c>
      <c r="D232" s="1">
        <f>IFERROR(__xludf.DUMMYFUNCTION("""COMPUTED_VALUE"""),1994.45)</f>
        <v>1994.45</v>
      </c>
      <c r="E232" s="1">
        <f>IFERROR(__xludf.DUMMYFUNCTION("""COMPUTED_VALUE"""),2017.86)</f>
        <v>2017.86</v>
      </c>
      <c r="F232" s="1">
        <f>IFERROR(__xludf.DUMMYFUNCTION("""COMPUTED_VALUE"""),16846.0)</f>
        <v>16846</v>
      </c>
    </row>
    <row r="233">
      <c r="A233" s="2">
        <f>IFERROR(__xludf.DUMMYFUNCTION("""COMPUTED_VALUE"""),42264.64583333333)</f>
        <v>42264.64583</v>
      </c>
      <c r="B233" s="1">
        <f>IFERROR(__xludf.DUMMYFUNCTION("""COMPUTED_VALUE"""),1994.45)</f>
        <v>1994.45</v>
      </c>
      <c r="C233" s="1">
        <f>IFERROR(__xludf.DUMMYFUNCTION("""COMPUTED_VALUE"""),2017.86)</f>
        <v>2017.86</v>
      </c>
      <c r="D233" s="1">
        <f>IFERROR(__xludf.DUMMYFUNCTION("""COMPUTED_VALUE"""),1994.45)</f>
        <v>1994.45</v>
      </c>
      <c r="E233" s="1">
        <f>IFERROR(__xludf.DUMMYFUNCTION("""COMPUTED_VALUE"""),2017.86)</f>
        <v>2017.86</v>
      </c>
      <c r="F233" s="1">
        <f>IFERROR(__xludf.DUMMYFUNCTION("""COMPUTED_VALUE"""),3401.0)</f>
        <v>3401</v>
      </c>
    </row>
    <row r="234">
      <c r="A234" s="2">
        <f>IFERROR(__xludf.DUMMYFUNCTION("""COMPUTED_VALUE"""),42265.64583333333)</f>
        <v>42265.64583</v>
      </c>
      <c r="B234" s="1">
        <f>IFERROR(__xludf.DUMMYFUNCTION("""COMPUTED_VALUE"""),1994.45)</f>
        <v>1994.45</v>
      </c>
      <c r="C234" s="1">
        <f>IFERROR(__xludf.DUMMYFUNCTION("""COMPUTED_VALUE"""),2027.22)</f>
        <v>2027.22</v>
      </c>
      <c r="D234" s="1">
        <f>IFERROR(__xludf.DUMMYFUNCTION("""COMPUTED_VALUE"""),1989.77)</f>
        <v>1989.77</v>
      </c>
      <c r="E234" s="1">
        <f>IFERROR(__xludf.DUMMYFUNCTION("""COMPUTED_VALUE"""),1994.45)</f>
        <v>1994.45</v>
      </c>
      <c r="F234" s="1">
        <f>IFERROR(__xludf.DUMMYFUNCTION("""COMPUTED_VALUE"""),6172.0)</f>
        <v>6172</v>
      </c>
    </row>
    <row r="235">
      <c r="A235" s="2">
        <f>IFERROR(__xludf.DUMMYFUNCTION("""COMPUTED_VALUE"""),42268.64583333333)</f>
        <v>42268.64583</v>
      </c>
      <c r="B235" s="1">
        <f>IFERROR(__xludf.DUMMYFUNCTION("""COMPUTED_VALUE"""),1994.45)</f>
        <v>1994.45</v>
      </c>
      <c r="C235" s="1">
        <f>IFERROR(__xludf.DUMMYFUNCTION("""COMPUTED_VALUE"""),2031.9)</f>
        <v>2031.9</v>
      </c>
      <c r="D235" s="1">
        <f>IFERROR(__xludf.DUMMYFUNCTION("""COMPUTED_VALUE"""),1994.45)</f>
        <v>1994.45</v>
      </c>
      <c r="E235" s="1">
        <f>IFERROR(__xludf.DUMMYFUNCTION("""COMPUTED_VALUE"""),2008.49)</f>
        <v>2008.49</v>
      </c>
      <c r="F235" s="1">
        <f>IFERROR(__xludf.DUMMYFUNCTION("""COMPUTED_VALUE"""),5580.0)</f>
        <v>5580</v>
      </c>
    </row>
    <row r="236">
      <c r="A236" s="2">
        <f>IFERROR(__xludf.DUMMYFUNCTION("""COMPUTED_VALUE"""),42269.64583333333)</f>
        <v>42269.64583</v>
      </c>
      <c r="B236" s="1">
        <f>IFERROR(__xludf.DUMMYFUNCTION("""COMPUTED_VALUE"""),1989.77)</f>
        <v>1989.77</v>
      </c>
      <c r="C236" s="1">
        <f>IFERROR(__xludf.DUMMYFUNCTION("""COMPUTED_VALUE"""),2008.49)</f>
        <v>2008.49</v>
      </c>
      <c r="D236" s="1">
        <f>IFERROR(__xludf.DUMMYFUNCTION("""COMPUTED_VALUE"""),1971.04)</f>
        <v>1971.04</v>
      </c>
      <c r="E236" s="1">
        <f>IFERROR(__xludf.DUMMYFUNCTION("""COMPUTED_VALUE"""),1994.45)</f>
        <v>1994.45</v>
      </c>
      <c r="F236" s="1">
        <f>IFERROR(__xludf.DUMMYFUNCTION("""COMPUTED_VALUE"""),1538.0)</f>
        <v>1538</v>
      </c>
    </row>
    <row r="237">
      <c r="A237" s="2">
        <f>IFERROR(__xludf.DUMMYFUNCTION("""COMPUTED_VALUE"""),42270.64583333333)</f>
        <v>42270.64583</v>
      </c>
      <c r="B237" s="1">
        <f>IFERROR(__xludf.DUMMYFUNCTION("""COMPUTED_VALUE"""),2003.81)</f>
        <v>2003.81</v>
      </c>
      <c r="C237" s="1">
        <f>IFERROR(__xludf.DUMMYFUNCTION("""COMPUTED_VALUE"""),2003.81)</f>
        <v>2003.81</v>
      </c>
      <c r="D237" s="1">
        <f>IFERROR(__xludf.DUMMYFUNCTION("""COMPUTED_VALUE"""),1971.04)</f>
        <v>1971.04</v>
      </c>
      <c r="E237" s="1">
        <f>IFERROR(__xludf.DUMMYFUNCTION("""COMPUTED_VALUE"""),1975.72)</f>
        <v>1975.72</v>
      </c>
      <c r="F237" s="1">
        <f>IFERROR(__xludf.DUMMYFUNCTION("""COMPUTED_VALUE"""),11002.0)</f>
        <v>11002</v>
      </c>
    </row>
    <row r="238">
      <c r="A238" s="2">
        <f>IFERROR(__xludf.DUMMYFUNCTION("""COMPUTED_VALUE"""),42271.64583333333)</f>
        <v>42271.64583</v>
      </c>
      <c r="B238" s="1">
        <f>IFERROR(__xludf.DUMMYFUNCTION("""COMPUTED_VALUE"""),1966.36)</f>
        <v>1966.36</v>
      </c>
      <c r="C238" s="1">
        <f>IFERROR(__xludf.DUMMYFUNCTION("""COMPUTED_VALUE"""),2008.49)</f>
        <v>2008.49</v>
      </c>
      <c r="D238" s="1">
        <f>IFERROR(__xludf.DUMMYFUNCTION("""COMPUTED_VALUE"""),1966.36)</f>
        <v>1966.36</v>
      </c>
      <c r="E238" s="1">
        <f>IFERROR(__xludf.DUMMYFUNCTION("""COMPUTED_VALUE"""),1975.72)</f>
        <v>1975.72</v>
      </c>
      <c r="F238" s="1">
        <f>IFERROR(__xludf.DUMMYFUNCTION("""COMPUTED_VALUE"""),36151.0)</f>
        <v>36151</v>
      </c>
    </row>
    <row r="239">
      <c r="A239" s="2">
        <f>IFERROR(__xludf.DUMMYFUNCTION("""COMPUTED_VALUE"""),42272.64583333333)</f>
        <v>42272.64583</v>
      </c>
      <c r="B239" s="1">
        <f>IFERROR(__xludf.DUMMYFUNCTION("""COMPUTED_VALUE"""),1971.04)</f>
        <v>1971.04</v>
      </c>
      <c r="C239" s="1">
        <f>IFERROR(__xludf.DUMMYFUNCTION("""COMPUTED_VALUE"""),2022.54)</f>
        <v>2022.54</v>
      </c>
      <c r="D239" s="1">
        <f>IFERROR(__xludf.DUMMYFUNCTION("""COMPUTED_VALUE"""),1971.04)</f>
        <v>1971.04</v>
      </c>
      <c r="E239" s="1">
        <f>IFERROR(__xludf.DUMMYFUNCTION("""COMPUTED_VALUE"""),2022.54)</f>
        <v>2022.54</v>
      </c>
      <c r="F239" s="1">
        <f>IFERROR(__xludf.DUMMYFUNCTION("""COMPUTED_VALUE"""),3062.0)</f>
        <v>3062</v>
      </c>
    </row>
    <row r="240">
      <c r="A240" s="2">
        <f>IFERROR(__xludf.DUMMYFUNCTION("""COMPUTED_VALUE"""),42277.64583333333)</f>
        <v>42277.64583</v>
      </c>
      <c r="B240" s="1">
        <f>IFERROR(__xludf.DUMMYFUNCTION("""COMPUTED_VALUE"""),2017.86)</f>
        <v>2017.86</v>
      </c>
      <c r="C240" s="1">
        <f>IFERROR(__xludf.DUMMYFUNCTION("""COMPUTED_VALUE"""),2017.86)</f>
        <v>2017.86</v>
      </c>
      <c r="D240" s="1">
        <f>IFERROR(__xludf.DUMMYFUNCTION("""COMPUTED_VALUE"""),1971.04)</f>
        <v>1971.04</v>
      </c>
      <c r="E240" s="1">
        <f>IFERROR(__xludf.DUMMYFUNCTION("""COMPUTED_VALUE"""),1975.72)</f>
        <v>1975.72</v>
      </c>
      <c r="F240" s="1">
        <f>IFERROR(__xludf.DUMMYFUNCTION("""COMPUTED_VALUE"""),6321.0)</f>
        <v>6321</v>
      </c>
    </row>
    <row r="241">
      <c r="A241" s="2">
        <f>IFERROR(__xludf.DUMMYFUNCTION("""COMPUTED_VALUE"""),42278.64583333333)</f>
        <v>42278.64583</v>
      </c>
      <c r="B241" s="1">
        <f>IFERROR(__xludf.DUMMYFUNCTION("""COMPUTED_VALUE"""),1994.45)</f>
        <v>1994.45</v>
      </c>
      <c r="C241" s="1">
        <f>IFERROR(__xludf.DUMMYFUNCTION("""COMPUTED_VALUE"""),1994.45)</f>
        <v>1994.45</v>
      </c>
      <c r="D241" s="1">
        <f>IFERROR(__xludf.DUMMYFUNCTION("""COMPUTED_VALUE"""),1975.72)</f>
        <v>1975.72</v>
      </c>
      <c r="E241" s="1">
        <f>IFERROR(__xludf.DUMMYFUNCTION("""COMPUTED_VALUE"""),1989.77)</f>
        <v>1989.77</v>
      </c>
      <c r="F241" s="1">
        <f>IFERROR(__xludf.DUMMYFUNCTION("""COMPUTED_VALUE"""),147.0)</f>
        <v>147</v>
      </c>
    </row>
    <row r="242">
      <c r="A242" s="2">
        <f>IFERROR(__xludf.DUMMYFUNCTION("""COMPUTED_VALUE"""),42279.64583333333)</f>
        <v>42279.64583</v>
      </c>
      <c r="B242" s="1">
        <f>IFERROR(__xludf.DUMMYFUNCTION("""COMPUTED_VALUE"""),1971.04)</f>
        <v>1971.04</v>
      </c>
      <c r="C242" s="1">
        <f>IFERROR(__xludf.DUMMYFUNCTION("""COMPUTED_VALUE"""),1989.77)</f>
        <v>1989.77</v>
      </c>
      <c r="D242" s="1">
        <f>IFERROR(__xludf.DUMMYFUNCTION("""COMPUTED_VALUE"""),1971.04)</f>
        <v>1971.04</v>
      </c>
      <c r="E242" s="1">
        <f>IFERROR(__xludf.DUMMYFUNCTION("""COMPUTED_VALUE"""),1989.77)</f>
        <v>1989.77</v>
      </c>
      <c r="F242" s="1">
        <f>IFERROR(__xludf.DUMMYFUNCTION("""COMPUTED_VALUE"""),2503.0)</f>
        <v>2503</v>
      </c>
    </row>
    <row r="243">
      <c r="A243" s="2">
        <f>IFERROR(__xludf.DUMMYFUNCTION("""COMPUTED_VALUE"""),42282.64583333333)</f>
        <v>42282.64583</v>
      </c>
      <c r="B243" s="1">
        <f>IFERROR(__xludf.DUMMYFUNCTION("""COMPUTED_VALUE"""),1971.04)</f>
        <v>1971.04</v>
      </c>
      <c r="C243" s="1">
        <f>IFERROR(__xludf.DUMMYFUNCTION("""COMPUTED_VALUE"""),2041.27)</f>
        <v>2041.27</v>
      </c>
      <c r="D243" s="1">
        <f>IFERROR(__xludf.DUMMYFUNCTION("""COMPUTED_VALUE"""),1966.36)</f>
        <v>1966.36</v>
      </c>
      <c r="E243" s="1">
        <f>IFERROR(__xludf.DUMMYFUNCTION("""COMPUTED_VALUE"""),1975.72)</f>
        <v>1975.72</v>
      </c>
      <c r="F243" s="1">
        <f>IFERROR(__xludf.DUMMYFUNCTION("""COMPUTED_VALUE"""),11816.0)</f>
        <v>11816</v>
      </c>
    </row>
    <row r="244">
      <c r="A244" s="2">
        <f>IFERROR(__xludf.DUMMYFUNCTION("""COMPUTED_VALUE"""),42283.64583333333)</f>
        <v>42283.64583</v>
      </c>
      <c r="B244" s="1">
        <f>IFERROR(__xludf.DUMMYFUNCTION("""COMPUTED_VALUE"""),1975.72)</f>
        <v>1975.72</v>
      </c>
      <c r="C244" s="1">
        <f>IFERROR(__xludf.DUMMYFUNCTION("""COMPUTED_VALUE"""),2031.9)</f>
        <v>2031.9</v>
      </c>
      <c r="D244" s="1">
        <f>IFERROR(__xludf.DUMMYFUNCTION("""COMPUTED_VALUE"""),1975.72)</f>
        <v>1975.72</v>
      </c>
      <c r="E244" s="1">
        <f>IFERROR(__xludf.DUMMYFUNCTION("""COMPUTED_VALUE"""),1999.13)</f>
        <v>1999.13</v>
      </c>
      <c r="F244" s="1">
        <f>IFERROR(__xludf.DUMMYFUNCTION("""COMPUTED_VALUE"""),7152.0)</f>
        <v>7152</v>
      </c>
    </row>
    <row r="245">
      <c r="A245" s="2">
        <f>IFERROR(__xludf.DUMMYFUNCTION("""COMPUTED_VALUE"""),42284.64583333333)</f>
        <v>42284.64583</v>
      </c>
      <c r="B245" s="1">
        <f>IFERROR(__xludf.DUMMYFUNCTION("""COMPUTED_VALUE"""),1999.13)</f>
        <v>1999.13</v>
      </c>
      <c r="C245" s="1">
        <f>IFERROR(__xludf.DUMMYFUNCTION("""COMPUTED_VALUE"""),1999.13)</f>
        <v>1999.13</v>
      </c>
      <c r="D245" s="1">
        <f>IFERROR(__xludf.DUMMYFUNCTION("""COMPUTED_VALUE"""),1975.72)</f>
        <v>1975.72</v>
      </c>
      <c r="E245" s="1">
        <f>IFERROR(__xludf.DUMMYFUNCTION("""COMPUTED_VALUE"""),1985.09)</f>
        <v>1985.09</v>
      </c>
      <c r="F245" s="1">
        <f>IFERROR(__xludf.DUMMYFUNCTION("""COMPUTED_VALUE"""),2383.0)</f>
        <v>2383</v>
      </c>
    </row>
    <row r="246">
      <c r="A246" s="2">
        <f>IFERROR(__xludf.DUMMYFUNCTION("""COMPUTED_VALUE"""),42285.64583333333)</f>
        <v>42285.64583</v>
      </c>
      <c r="B246" s="1">
        <f>IFERROR(__xludf.DUMMYFUNCTION("""COMPUTED_VALUE"""),1966.36)</f>
        <v>1966.36</v>
      </c>
      <c r="C246" s="1">
        <f>IFERROR(__xludf.DUMMYFUNCTION("""COMPUTED_VALUE"""),1994.45)</f>
        <v>1994.45</v>
      </c>
      <c r="D246" s="1">
        <f>IFERROR(__xludf.DUMMYFUNCTION("""COMPUTED_VALUE"""),1966.36)</f>
        <v>1966.36</v>
      </c>
      <c r="E246" s="1">
        <f>IFERROR(__xludf.DUMMYFUNCTION("""COMPUTED_VALUE"""),1971.04)</f>
        <v>1971.04</v>
      </c>
      <c r="F246" s="1">
        <f>IFERROR(__xludf.DUMMYFUNCTION("""COMPUTED_VALUE"""),32250.0)</f>
        <v>32250</v>
      </c>
    </row>
    <row r="247">
      <c r="A247" s="2">
        <f>IFERROR(__xludf.DUMMYFUNCTION("""COMPUTED_VALUE"""),42289.64583333333)</f>
        <v>42289.64583</v>
      </c>
      <c r="B247" s="1">
        <f>IFERROR(__xludf.DUMMYFUNCTION("""COMPUTED_VALUE"""),1971.04)</f>
        <v>1971.04</v>
      </c>
      <c r="C247" s="1">
        <f>IFERROR(__xludf.DUMMYFUNCTION("""COMPUTED_VALUE"""),2013.18)</f>
        <v>2013.18</v>
      </c>
      <c r="D247" s="1">
        <f>IFERROR(__xludf.DUMMYFUNCTION("""COMPUTED_VALUE"""),1966.36)</f>
        <v>1966.36</v>
      </c>
      <c r="E247" s="1">
        <f>IFERROR(__xludf.DUMMYFUNCTION("""COMPUTED_VALUE"""),1980.4)</f>
        <v>1980.4</v>
      </c>
      <c r="F247" s="1">
        <f>IFERROR(__xludf.DUMMYFUNCTION("""COMPUTED_VALUE"""),14021.0)</f>
        <v>14021</v>
      </c>
    </row>
    <row r="248">
      <c r="A248" s="2">
        <f>IFERROR(__xludf.DUMMYFUNCTION("""COMPUTED_VALUE"""),42290.64583333333)</f>
        <v>42290.64583</v>
      </c>
      <c r="B248" s="1">
        <f>IFERROR(__xludf.DUMMYFUNCTION("""COMPUTED_VALUE"""),1975.72)</f>
        <v>1975.72</v>
      </c>
      <c r="C248" s="1">
        <f>IFERROR(__xludf.DUMMYFUNCTION("""COMPUTED_VALUE"""),1975.72)</f>
        <v>1975.72</v>
      </c>
      <c r="D248" s="1">
        <f>IFERROR(__xludf.DUMMYFUNCTION("""COMPUTED_VALUE"""),1971.04)</f>
        <v>1971.04</v>
      </c>
      <c r="E248" s="1">
        <f>IFERROR(__xludf.DUMMYFUNCTION("""COMPUTED_VALUE"""),1975.72)</f>
        <v>1975.72</v>
      </c>
      <c r="F248" s="1">
        <f>IFERROR(__xludf.DUMMYFUNCTION("""COMPUTED_VALUE"""),7907.0)</f>
        <v>7907</v>
      </c>
    </row>
    <row r="249">
      <c r="A249" s="2">
        <f>IFERROR(__xludf.DUMMYFUNCTION("""COMPUTED_VALUE"""),42291.64583333333)</f>
        <v>42291.64583</v>
      </c>
      <c r="B249" s="1">
        <f>IFERROR(__xludf.DUMMYFUNCTION("""COMPUTED_VALUE"""),1966.36)</f>
        <v>1966.36</v>
      </c>
      <c r="C249" s="1">
        <f>IFERROR(__xludf.DUMMYFUNCTION("""COMPUTED_VALUE"""),1975.72)</f>
        <v>1975.72</v>
      </c>
      <c r="D249" s="1">
        <f>IFERROR(__xludf.DUMMYFUNCTION("""COMPUTED_VALUE"""),1966.36)</f>
        <v>1966.36</v>
      </c>
      <c r="E249" s="1">
        <f>IFERROR(__xludf.DUMMYFUNCTION("""COMPUTED_VALUE"""),1975.72)</f>
        <v>1975.72</v>
      </c>
      <c r="F249" s="1">
        <f>IFERROR(__xludf.DUMMYFUNCTION("""COMPUTED_VALUE"""),9427.0)</f>
        <v>9427</v>
      </c>
    </row>
    <row r="250">
      <c r="A250" s="2">
        <f>IFERROR(__xludf.DUMMYFUNCTION("""COMPUTED_VALUE"""),42292.64583333333)</f>
        <v>42292.64583</v>
      </c>
      <c r="B250" s="1">
        <f>IFERROR(__xludf.DUMMYFUNCTION("""COMPUTED_VALUE"""),1966.36)</f>
        <v>1966.36</v>
      </c>
      <c r="C250" s="1">
        <f>IFERROR(__xludf.DUMMYFUNCTION("""COMPUTED_VALUE"""),1980.4)</f>
        <v>1980.4</v>
      </c>
      <c r="D250" s="1">
        <f>IFERROR(__xludf.DUMMYFUNCTION("""COMPUTED_VALUE"""),1961.68)</f>
        <v>1961.68</v>
      </c>
      <c r="E250" s="1">
        <f>IFERROR(__xludf.DUMMYFUNCTION("""COMPUTED_VALUE"""),1975.72)</f>
        <v>1975.72</v>
      </c>
      <c r="F250" s="1">
        <f>IFERROR(__xludf.DUMMYFUNCTION("""COMPUTED_VALUE"""),5456.0)</f>
        <v>5456</v>
      </c>
    </row>
    <row r="251">
      <c r="A251" s="2">
        <f>IFERROR(__xludf.DUMMYFUNCTION("""COMPUTED_VALUE"""),42293.64583333333)</f>
        <v>42293.64583</v>
      </c>
      <c r="B251" s="1">
        <f>IFERROR(__xludf.DUMMYFUNCTION("""COMPUTED_VALUE"""),1971.04)</f>
        <v>1971.04</v>
      </c>
      <c r="C251" s="1">
        <f>IFERROR(__xludf.DUMMYFUNCTION("""COMPUTED_VALUE"""),1985.09)</f>
        <v>1985.09</v>
      </c>
      <c r="D251" s="1">
        <f>IFERROR(__xludf.DUMMYFUNCTION("""COMPUTED_VALUE"""),1971.04)</f>
        <v>1971.04</v>
      </c>
      <c r="E251" s="1">
        <f>IFERROR(__xludf.DUMMYFUNCTION("""COMPUTED_VALUE"""),1985.09)</f>
        <v>1985.09</v>
      </c>
      <c r="F251" s="1">
        <f>IFERROR(__xludf.DUMMYFUNCTION("""COMPUTED_VALUE"""),7245.0)</f>
        <v>7245</v>
      </c>
    </row>
    <row r="252">
      <c r="A252" s="2">
        <f>IFERROR(__xludf.DUMMYFUNCTION("""COMPUTED_VALUE"""),42296.64583333333)</f>
        <v>42296.64583</v>
      </c>
      <c r="B252" s="1">
        <f>IFERROR(__xludf.DUMMYFUNCTION("""COMPUTED_VALUE"""),1985.09)</f>
        <v>1985.09</v>
      </c>
      <c r="C252" s="1">
        <f>IFERROR(__xludf.DUMMYFUNCTION("""COMPUTED_VALUE"""),1985.09)</f>
        <v>1985.09</v>
      </c>
      <c r="D252" s="1">
        <f>IFERROR(__xludf.DUMMYFUNCTION("""COMPUTED_VALUE"""),1985.09)</f>
        <v>1985.09</v>
      </c>
      <c r="E252" s="1">
        <f>IFERROR(__xludf.DUMMYFUNCTION("""COMPUTED_VALUE"""),1985.09)</f>
        <v>1985.09</v>
      </c>
      <c r="F252" s="1">
        <f>IFERROR(__xludf.DUMMYFUNCTION("""COMPUTED_VALUE"""),10.0)</f>
        <v>10</v>
      </c>
    </row>
    <row r="253">
      <c r="A253" s="2">
        <f>IFERROR(__xludf.DUMMYFUNCTION("""COMPUTED_VALUE"""),42297.64583333333)</f>
        <v>42297.64583</v>
      </c>
      <c r="B253" s="1">
        <f>IFERROR(__xludf.DUMMYFUNCTION("""COMPUTED_VALUE"""),1966.36)</f>
        <v>1966.36</v>
      </c>
      <c r="C253" s="1">
        <f>IFERROR(__xludf.DUMMYFUNCTION("""COMPUTED_VALUE"""),1985.09)</f>
        <v>1985.09</v>
      </c>
      <c r="D253" s="1">
        <f>IFERROR(__xludf.DUMMYFUNCTION("""COMPUTED_VALUE"""),1966.36)</f>
        <v>1966.36</v>
      </c>
      <c r="E253" s="1">
        <f>IFERROR(__xludf.DUMMYFUNCTION("""COMPUTED_VALUE"""),1985.09)</f>
        <v>1985.09</v>
      </c>
      <c r="F253" s="1">
        <f>IFERROR(__xludf.DUMMYFUNCTION("""COMPUTED_VALUE"""),2301.0)</f>
        <v>2301</v>
      </c>
    </row>
    <row r="254">
      <c r="A254" s="2">
        <f>IFERROR(__xludf.DUMMYFUNCTION("""COMPUTED_VALUE"""),42298.64583333333)</f>
        <v>42298.64583</v>
      </c>
      <c r="B254" s="1">
        <f>IFERROR(__xludf.DUMMYFUNCTION("""COMPUTED_VALUE"""),1985.09)</f>
        <v>1985.09</v>
      </c>
      <c r="C254" s="1">
        <f>IFERROR(__xludf.DUMMYFUNCTION("""COMPUTED_VALUE"""),1985.09)</f>
        <v>1985.09</v>
      </c>
      <c r="D254" s="1">
        <f>IFERROR(__xludf.DUMMYFUNCTION("""COMPUTED_VALUE"""),1985.09)</f>
        <v>1985.09</v>
      </c>
      <c r="E254" s="1">
        <f>IFERROR(__xludf.DUMMYFUNCTION("""COMPUTED_VALUE"""),1985.09)</f>
        <v>1985.09</v>
      </c>
      <c r="F254" s="1">
        <f>IFERROR(__xludf.DUMMYFUNCTION("""COMPUTED_VALUE"""),510.0)</f>
        <v>510</v>
      </c>
    </row>
    <row r="255">
      <c r="A255" s="2">
        <f>IFERROR(__xludf.DUMMYFUNCTION("""COMPUTED_VALUE"""),42299.64583333333)</f>
        <v>42299.64583</v>
      </c>
      <c r="B255" s="1">
        <f>IFERROR(__xludf.DUMMYFUNCTION("""COMPUTED_VALUE"""),1966.36)</f>
        <v>1966.36</v>
      </c>
      <c r="C255" s="1">
        <f>IFERROR(__xludf.DUMMYFUNCTION("""COMPUTED_VALUE"""),1985.09)</f>
        <v>1985.09</v>
      </c>
      <c r="D255" s="1">
        <f>IFERROR(__xludf.DUMMYFUNCTION("""COMPUTED_VALUE"""),1966.36)</f>
        <v>1966.36</v>
      </c>
      <c r="E255" s="1">
        <f>IFERROR(__xludf.DUMMYFUNCTION("""COMPUTED_VALUE"""),1975.72)</f>
        <v>1975.72</v>
      </c>
      <c r="F255" s="1">
        <f>IFERROR(__xludf.DUMMYFUNCTION("""COMPUTED_VALUE"""),7051.0)</f>
        <v>7051</v>
      </c>
    </row>
    <row r="256">
      <c r="A256" s="2">
        <f>IFERROR(__xludf.DUMMYFUNCTION("""COMPUTED_VALUE"""),42300.64583333333)</f>
        <v>42300.64583</v>
      </c>
      <c r="B256" s="1">
        <f>IFERROR(__xludf.DUMMYFUNCTION("""COMPUTED_VALUE"""),1966.36)</f>
        <v>1966.36</v>
      </c>
      <c r="C256" s="1">
        <f>IFERROR(__xludf.DUMMYFUNCTION("""COMPUTED_VALUE"""),1975.72)</f>
        <v>1975.72</v>
      </c>
      <c r="D256" s="1">
        <f>IFERROR(__xludf.DUMMYFUNCTION("""COMPUTED_VALUE"""),1966.36)</f>
        <v>1966.36</v>
      </c>
      <c r="E256" s="1">
        <f>IFERROR(__xludf.DUMMYFUNCTION("""COMPUTED_VALUE"""),1975.72)</f>
        <v>1975.72</v>
      </c>
      <c r="F256" s="1">
        <f>IFERROR(__xludf.DUMMYFUNCTION("""COMPUTED_VALUE"""),2425.0)</f>
        <v>2425</v>
      </c>
    </row>
    <row r="257">
      <c r="A257" s="2">
        <f>IFERROR(__xludf.DUMMYFUNCTION("""COMPUTED_VALUE"""),42303.64583333333)</f>
        <v>42303.64583</v>
      </c>
      <c r="B257" s="1">
        <f>IFERROR(__xludf.DUMMYFUNCTION("""COMPUTED_VALUE"""),1966.36)</f>
        <v>1966.36</v>
      </c>
      <c r="C257" s="1">
        <f>IFERROR(__xludf.DUMMYFUNCTION("""COMPUTED_VALUE"""),1975.72)</f>
        <v>1975.72</v>
      </c>
      <c r="D257" s="1">
        <f>IFERROR(__xludf.DUMMYFUNCTION("""COMPUTED_VALUE"""),1961.68)</f>
        <v>1961.68</v>
      </c>
      <c r="E257" s="1">
        <f>IFERROR(__xludf.DUMMYFUNCTION("""COMPUTED_VALUE"""),1975.72)</f>
        <v>1975.72</v>
      </c>
      <c r="F257" s="1">
        <f>IFERROR(__xludf.DUMMYFUNCTION("""COMPUTED_VALUE"""),14654.0)</f>
        <v>14654</v>
      </c>
    </row>
    <row r="258">
      <c r="A258" s="2">
        <f>IFERROR(__xludf.DUMMYFUNCTION("""COMPUTED_VALUE"""),42304.64583333333)</f>
        <v>42304.64583</v>
      </c>
      <c r="B258" s="1">
        <f>IFERROR(__xludf.DUMMYFUNCTION("""COMPUTED_VALUE"""),1985.09)</f>
        <v>1985.09</v>
      </c>
      <c r="C258" s="1">
        <f>IFERROR(__xludf.DUMMYFUNCTION("""COMPUTED_VALUE"""),1985.09)</f>
        <v>1985.09</v>
      </c>
      <c r="D258" s="1">
        <f>IFERROR(__xludf.DUMMYFUNCTION("""COMPUTED_VALUE"""),1961.68)</f>
        <v>1961.68</v>
      </c>
      <c r="E258" s="1">
        <f>IFERROR(__xludf.DUMMYFUNCTION("""COMPUTED_VALUE"""),1961.68)</f>
        <v>1961.68</v>
      </c>
      <c r="F258" s="1">
        <f>IFERROR(__xludf.DUMMYFUNCTION("""COMPUTED_VALUE"""),161.0)</f>
        <v>161</v>
      </c>
    </row>
    <row r="259">
      <c r="A259" s="2">
        <f>IFERROR(__xludf.DUMMYFUNCTION("""COMPUTED_VALUE"""),42305.64583333333)</f>
        <v>42305.64583</v>
      </c>
      <c r="B259" s="1">
        <f>IFERROR(__xludf.DUMMYFUNCTION("""COMPUTED_VALUE"""),1961.68)</f>
        <v>1961.68</v>
      </c>
      <c r="C259" s="1">
        <f>IFERROR(__xludf.DUMMYFUNCTION("""COMPUTED_VALUE"""),1980.4)</f>
        <v>1980.4</v>
      </c>
      <c r="D259" s="1">
        <f>IFERROR(__xludf.DUMMYFUNCTION("""COMPUTED_VALUE"""),1961.68)</f>
        <v>1961.68</v>
      </c>
      <c r="E259" s="1">
        <f>IFERROR(__xludf.DUMMYFUNCTION("""COMPUTED_VALUE"""),1980.4)</f>
        <v>1980.4</v>
      </c>
      <c r="F259" s="1">
        <f>IFERROR(__xludf.DUMMYFUNCTION("""COMPUTED_VALUE"""),212.0)</f>
        <v>212</v>
      </c>
    </row>
    <row r="260">
      <c r="A260" s="2">
        <f>IFERROR(__xludf.DUMMYFUNCTION("""COMPUTED_VALUE"""),42306.64583333333)</f>
        <v>42306.64583</v>
      </c>
      <c r="B260" s="1">
        <f>IFERROR(__xludf.DUMMYFUNCTION("""COMPUTED_VALUE"""),1980.4)</f>
        <v>1980.4</v>
      </c>
      <c r="C260" s="1">
        <f>IFERROR(__xludf.DUMMYFUNCTION("""COMPUTED_VALUE"""),1980.4)</f>
        <v>1980.4</v>
      </c>
      <c r="D260" s="1">
        <f>IFERROR(__xludf.DUMMYFUNCTION("""COMPUTED_VALUE"""),1980.4)</f>
        <v>1980.4</v>
      </c>
      <c r="E260" s="1">
        <f>IFERROR(__xludf.DUMMYFUNCTION("""COMPUTED_VALUE"""),1980.4)</f>
        <v>1980.4</v>
      </c>
      <c r="F260" s="1">
        <f>IFERROR(__xludf.DUMMYFUNCTION("""COMPUTED_VALUE"""),1.0)</f>
        <v>1</v>
      </c>
    </row>
    <row r="261">
      <c r="A261" s="2">
        <f>IFERROR(__xludf.DUMMYFUNCTION("""COMPUTED_VALUE"""),42307.64583333333)</f>
        <v>42307.64583</v>
      </c>
      <c r="B261" s="1">
        <f>IFERROR(__xludf.DUMMYFUNCTION("""COMPUTED_VALUE"""),1956.99)</f>
        <v>1956.99</v>
      </c>
      <c r="C261" s="1">
        <f>IFERROR(__xludf.DUMMYFUNCTION("""COMPUTED_VALUE"""),1975.72)</f>
        <v>1975.72</v>
      </c>
      <c r="D261" s="1">
        <f>IFERROR(__xludf.DUMMYFUNCTION("""COMPUTED_VALUE"""),1956.99)</f>
        <v>1956.99</v>
      </c>
      <c r="E261" s="1">
        <f>IFERROR(__xludf.DUMMYFUNCTION("""COMPUTED_VALUE"""),1975.72)</f>
        <v>1975.72</v>
      </c>
      <c r="F261" s="1">
        <f>IFERROR(__xludf.DUMMYFUNCTION("""COMPUTED_VALUE"""),11750.0)</f>
        <v>11750</v>
      </c>
    </row>
    <row r="262">
      <c r="A262" s="2">
        <f>IFERROR(__xludf.DUMMYFUNCTION("""COMPUTED_VALUE"""),42310.64583333333)</f>
        <v>42310.64583</v>
      </c>
      <c r="B262" s="1">
        <f>IFERROR(__xludf.DUMMYFUNCTION("""COMPUTED_VALUE"""),1971.04)</f>
        <v>1971.04</v>
      </c>
      <c r="C262" s="1">
        <f>IFERROR(__xludf.DUMMYFUNCTION("""COMPUTED_VALUE"""),1971.04)</f>
        <v>1971.04</v>
      </c>
      <c r="D262" s="1">
        <f>IFERROR(__xludf.DUMMYFUNCTION("""COMPUTED_VALUE"""),1961.68)</f>
        <v>1961.68</v>
      </c>
      <c r="E262" s="1">
        <f>IFERROR(__xludf.DUMMYFUNCTION("""COMPUTED_VALUE"""),1971.04)</f>
        <v>1971.04</v>
      </c>
      <c r="F262" s="1">
        <f>IFERROR(__xludf.DUMMYFUNCTION("""COMPUTED_VALUE"""),349.0)</f>
        <v>349</v>
      </c>
    </row>
    <row r="263">
      <c r="A263" s="2">
        <f>IFERROR(__xludf.DUMMYFUNCTION("""COMPUTED_VALUE"""),42311.64583333333)</f>
        <v>42311.64583</v>
      </c>
      <c r="B263" s="1">
        <f>IFERROR(__xludf.DUMMYFUNCTION("""COMPUTED_VALUE"""),1966.36)</f>
        <v>1966.36</v>
      </c>
      <c r="C263" s="1">
        <f>IFERROR(__xludf.DUMMYFUNCTION("""COMPUTED_VALUE"""),1966.36)</f>
        <v>1966.36</v>
      </c>
      <c r="D263" s="1">
        <f>IFERROR(__xludf.DUMMYFUNCTION("""COMPUTED_VALUE"""),1947.63)</f>
        <v>1947.63</v>
      </c>
      <c r="E263" s="1">
        <f>IFERROR(__xludf.DUMMYFUNCTION("""COMPUTED_VALUE"""),1966.36)</f>
        <v>1966.36</v>
      </c>
      <c r="F263" s="1">
        <f>IFERROR(__xludf.DUMMYFUNCTION("""COMPUTED_VALUE"""),1239.0)</f>
        <v>1239</v>
      </c>
    </row>
    <row r="264">
      <c r="A264" s="2">
        <f>IFERROR(__xludf.DUMMYFUNCTION("""COMPUTED_VALUE"""),42312.64583333333)</f>
        <v>42312.64583</v>
      </c>
      <c r="B264" s="1">
        <f>IFERROR(__xludf.DUMMYFUNCTION("""COMPUTED_VALUE"""),1961.68)</f>
        <v>1961.68</v>
      </c>
      <c r="C264" s="1">
        <f>IFERROR(__xludf.DUMMYFUNCTION("""COMPUTED_VALUE"""),1961.68)</f>
        <v>1961.68</v>
      </c>
      <c r="D264" s="1">
        <f>IFERROR(__xludf.DUMMYFUNCTION("""COMPUTED_VALUE"""),1956.99)</f>
        <v>1956.99</v>
      </c>
      <c r="E264" s="1">
        <f>IFERROR(__xludf.DUMMYFUNCTION("""COMPUTED_VALUE"""),1961.68)</f>
        <v>1961.68</v>
      </c>
      <c r="F264" s="1">
        <f>IFERROR(__xludf.DUMMYFUNCTION("""COMPUTED_VALUE"""),35.0)</f>
        <v>35</v>
      </c>
    </row>
    <row r="265">
      <c r="A265" s="2">
        <f>IFERROR(__xludf.DUMMYFUNCTION("""COMPUTED_VALUE"""),42313.64583333333)</f>
        <v>42313.64583</v>
      </c>
      <c r="B265" s="1">
        <f>IFERROR(__xludf.DUMMYFUNCTION("""COMPUTED_VALUE"""),1942.95)</f>
        <v>1942.95</v>
      </c>
      <c r="C265" s="1">
        <f>IFERROR(__xludf.DUMMYFUNCTION("""COMPUTED_VALUE"""),1966.36)</f>
        <v>1966.36</v>
      </c>
      <c r="D265" s="1">
        <f>IFERROR(__xludf.DUMMYFUNCTION("""COMPUTED_VALUE"""),1938.27)</f>
        <v>1938.27</v>
      </c>
      <c r="E265" s="1">
        <f>IFERROR(__xludf.DUMMYFUNCTION("""COMPUTED_VALUE"""),1952.31)</f>
        <v>1952.31</v>
      </c>
      <c r="F265" s="1">
        <f>IFERROR(__xludf.DUMMYFUNCTION("""COMPUTED_VALUE"""),12349.0)</f>
        <v>12349</v>
      </c>
    </row>
    <row r="266">
      <c r="A266" s="2">
        <f>IFERROR(__xludf.DUMMYFUNCTION("""COMPUTED_VALUE"""),42314.64583333333)</f>
        <v>42314.64583</v>
      </c>
      <c r="B266" s="1">
        <f>IFERROR(__xludf.DUMMYFUNCTION("""COMPUTED_VALUE"""),1966.36)</f>
        <v>1966.36</v>
      </c>
      <c r="C266" s="1">
        <f>IFERROR(__xludf.DUMMYFUNCTION("""COMPUTED_VALUE"""),1966.36)</f>
        <v>1966.36</v>
      </c>
      <c r="D266" s="1">
        <f>IFERROR(__xludf.DUMMYFUNCTION("""COMPUTED_VALUE"""),1928.9)</f>
        <v>1928.9</v>
      </c>
      <c r="E266" s="1">
        <f>IFERROR(__xludf.DUMMYFUNCTION("""COMPUTED_VALUE"""),1956.99)</f>
        <v>1956.99</v>
      </c>
      <c r="F266" s="1">
        <f>IFERROR(__xludf.DUMMYFUNCTION("""COMPUTED_VALUE"""),5231.0)</f>
        <v>5231</v>
      </c>
    </row>
    <row r="267">
      <c r="A267" s="2">
        <f>IFERROR(__xludf.DUMMYFUNCTION("""COMPUTED_VALUE"""),42317.64583333333)</f>
        <v>42317.64583</v>
      </c>
      <c r="B267" s="1">
        <f>IFERROR(__xludf.DUMMYFUNCTION("""COMPUTED_VALUE"""),1961.68)</f>
        <v>1961.68</v>
      </c>
      <c r="C267" s="1">
        <f>IFERROR(__xludf.DUMMYFUNCTION("""COMPUTED_VALUE"""),1961.68)</f>
        <v>1961.68</v>
      </c>
      <c r="D267" s="1">
        <f>IFERROR(__xludf.DUMMYFUNCTION("""COMPUTED_VALUE"""),1928.9)</f>
        <v>1928.9</v>
      </c>
      <c r="E267" s="1">
        <f>IFERROR(__xludf.DUMMYFUNCTION("""COMPUTED_VALUE"""),1928.9)</f>
        <v>1928.9</v>
      </c>
      <c r="F267" s="1">
        <f>IFERROR(__xludf.DUMMYFUNCTION("""COMPUTED_VALUE"""),4350.0)</f>
        <v>4350</v>
      </c>
    </row>
    <row r="268">
      <c r="A268" s="2">
        <f>IFERROR(__xludf.DUMMYFUNCTION("""COMPUTED_VALUE"""),42318.64583333333)</f>
        <v>42318.64583</v>
      </c>
      <c r="B268" s="1">
        <f>IFERROR(__xludf.DUMMYFUNCTION("""COMPUTED_VALUE"""),1928.9)</f>
        <v>1928.9</v>
      </c>
      <c r="C268" s="1">
        <f>IFERROR(__xludf.DUMMYFUNCTION("""COMPUTED_VALUE"""),1947.63)</f>
        <v>1947.63</v>
      </c>
      <c r="D268" s="1">
        <f>IFERROR(__xludf.DUMMYFUNCTION("""COMPUTED_VALUE"""),1919.54)</f>
        <v>1919.54</v>
      </c>
      <c r="E268" s="1">
        <f>IFERROR(__xludf.DUMMYFUNCTION("""COMPUTED_VALUE"""),1947.63)</f>
        <v>1947.63</v>
      </c>
      <c r="F268" s="1">
        <f>IFERROR(__xludf.DUMMYFUNCTION("""COMPUTED_VALUE"""),2242.0)</f>
        <v>2242</v>
      </c>
    </row>
    <row r="269">
      <c r="A269" s="2">
        <f>IFERROR(__xludf.DUMMYFUNCTION("""COMPUTED_VALUE"""),42319.64583333333)</f>
        <v>42319.64583</v>
      </c>
      <c r="B269" s="1">
        <f>IFERROR(__xludf.DUMMYFUNCTION("""COMPUTED_VALUE"""),1900.81)</f>
        <v>1900.81</v>
      </c>
      <c r="C269" s="1">
        <f>IFERROR(__xludf.DUMMYFUNCTION("""COMPUTED_VALUE"""),1942.95)</f>
        <v>1942.95</v>
      </c>
      <c r="D269" s="1">
        <f>IFERROR(__xludf.DUMMYFUNCTION("""COMPUTED_VALUE"""),1900.81)</f>
        <v>1900.81</v>
      </c>
      <c r="E269" s="1">
        <f>IFERROR(__xludf.DUMMYFUNCTION("""COMPUTED_VALUE"""),1933.59)</f>
        <v>1933.59</v>
      </c>
      <c r="F269" s="1">
        <f>IFERROR(__xludf.DUMMYFUNCTION("""COMPUTED_VALUE"""),7124.0)</f>
        <v>7124</v>
      </c>
    </row>
    <row r="270">
      <c r="A270" s="2">
        <f>IFERROR(__xludf.DUMMYFUNCTION("""COMPUTED_VALUE"""),42320.64583333333)</f>
        <v>42320.64583</v>
      </c>
      <c r="B270" s="1">
        <f>IFERROR(__xludf.DUMMYFUNCTION("""COMPUTED_VALUE"""),1919.54)</f>
        <v>1919.54</v>
      </c>
      <c r="C270" s="1">
        <f>IFERROR(__xludf.DUMMYFUNCTION("""COMPUTED_VALUE"""),1928.9)</f>
        <v>1928.9</v>
      </c>
      <c r="D270" s="1">
        <f>IFERROR(__xludf.DUMMYFUNCTION("""COMPUTED_VALUE"""),1896.13)</f>
        <v>1896.13</v>
      </c>
      <c r="E270" s="1">
        <f>IFERROR(__xludf.DUMMYFUNCTION("""COMPUTED_VALUE"""),1928.9)</f>
        <v>1928.9</v>
      </c>
      <c r="F270" s="1">
        <f>IFERROR(__xludf.DUMMYFUNCTION("""COMPUTED_VALUE"""),3150.0)</f>
        <v>3150</v>
      </c>
    </row>
    <row r="271">
      <c r="A271" s="2">
        <f>IFERROR(__xludf.DUMMYFUNCTION("""COMPUTED_VALUE"""),42321.64583333333)</f>
        <v>42321.64583</v>
      </c>
      <c r="B271" s="1">
        <f>IFERROR(__xludf.DUMMYFUNCTION("""COMPUTED_VALUE"""),1933.59)</f>
        <v>1933.59</v>
      </c>
      <c r="C271" s="1">
        <f>IFERROR(__xludf.DUMMYFUNCTION("""COMPUTED_VALUE"""),1933.59)</f>
        <v>1933.59</v>
      </c>
      <c r="D271" s="1">
        <f>IFERROR(__xludf.DUMMYFUNCTION("""COMPUTED_VALUE"""),1914.86)</f>
        <v>1914.86</v>
      </c>
      <c r="E271" s="1">
        <f>IFERROR(__xludf.DUMMYFUNCTION("""COMPUTED_VALUE"""),1928.9)</f>
        <v>1928.9</v>
      </c>
      <c r="F271" s="1">
        <f>IFERROR(__xludf.DUMMYFUNCTION("""COMPUTED_VALUE"""),1952.0)</f>
        <v>1952</v>
      </c>
    </row>
    <row r="272">
      <c r="A272" s="2">
        <f>IFERROR(__xludf.DUMMYFUNCTION("""COMPUTED_VALUE"""),42324.64583333333)</f>
        <v>42324.64583</v>
      </c>
      <c r="B272" s="1">
        <f>IFERROR(__xludf.DUMMYFUNCTION("""COMPUTED_VALUE"""),1905.49)</f>
        <v>1905.49</v>
      </c>
      <c r="C272" s="1">
        <f>IFERROR(__xludf.DUMMYFUNCTION("""COMPUTED_VALUE"""),1928.9)</f>
        <v>1928.9</v>
      </c>
      <c r="D272" s="1">
        <f>IFERROR(__xludf.DUMMYFUNCTION("""COMPUTED_VALUE"""),1905.49)</f>
        <v>1905.49</v>
      </c>
      <c r="E272" s="1">
        <f>IFERROR(__xludf.DUMMYFUNCTION("""COMPUTED_VALUE"""),1928.9)</f>
        <v>1928.9</v>
      </c>
      <c r="F272" s="1">
        <f>IFERROR(__xludf.DUMMYFUNCTION("""COMPUTED_VALUE"""),4083.0)</f>
        <v>4083</v>
      </c>
    </row>
    <row r="273">
      <c r="A273" s="2">
        <f>IFERROR(__xludf.DUMMYFUNCTION("""COMPUTED_VALUE"""),42325.64583333333)</f>
        <v>42325.64583</v>
      </c>
      <c r="B273" s="1">
        <f>IFERROR(__xludf.DUMMYFUNCTION("""COMPUTED_VALUE"""),1891.45)</f>
        <v>1891.45</v>
      </c>
      <c r="C273" s="1">
        <f>IFERROR(__xludf.DUMMYFUNCTION("""COMPUTED_VALUE"""),1928.9)</f>
        <v>1928.9</v>
      </c>
      <c r="D273" s="1">
        <f>IFERROR(__xludf.DUMMYFUNCTION("""COMPUTED_VALUE"""),1886.77)</f>
        <v>1886.77</v>
      </c>
      <c r="E273" s="1">
        <f>IFERROR(__xludf.DUMMYFUNCTION("""COMPUTED_VALUE"""),1900.81)</f>
        <v>1900.81</v>
      </c>
      <c r="F273" s="1">
        <f>IFERROR(__xludf.DUMMYFUNCTION("""COMPUTED_VALUE"""),1506.0)</f>
        <v>1506</v>
      </c>
    </row>
    <row r="274">
      <c r="A274" s="2">
        <f>IFERROR(__xludf.DUMMYFUNCTION("""COMPUTED_VALUE"""),42326.64583333333)</f>
        <v>42326.64583</v>
      </c>
      <c r="B274" s="1">
        <f>IFERROR(__xludf.DUMMYFUNCTION("""COMPUTED_VALUE"""),1900.81)</f>
        <v>1900.81</v>
      </c>
      <c r="C274" s="1">
        <f>IFERROR(__xludf.DUMMYFUNCTION("""COMPUTED_VALUE"""),1914.86)</f>
        <v>1914.86</v>
      </c>
      <c r="D274" s="1">
        <f>IFERROR(__xludf.DUMMYFUNCTION("""COMPUTED_VALUE"""),1900.81)</f>
        <v>1900.81</v>
      </c>
      <c r="E274" s="1">
        <f>IFERROR(__xludf.DUMMYFUNCTION("""COMPUTED_VALUE"""),1914.86)</f>
        <v>1914.86</v>
      </c>
      <c r="F274" s="1">
        <f>IFERROR(__xludf.DUMMYFUNCTION("""COMPUTED_VALUE"""),3377.0)</f>
        <v>3377</v>
      </c>
    </row>
    <row r="275">
      <c r="A275" s="2">
        <f>IFERROR(__xludf.DUMMYFUNCTION("""COMPUTED_VALUE"""),42327.64583333333)</f>
        <v>42327.64583</v>
      </c>
      <c r="B275" s="1">
        <f>IFERROR(__xludf.DUMMYFUNCTION("""COMPUTED_VALUE"""),1877.4)</f>
        <v>1877.4</v>
      </c>
      <c r="C275" s="1">
        <f>IFERROR(__xludf.DUMMYFUNCTION("""COMPUTED_VALUE"""),1910.18)</f>
        <v>1910.18</v>
      </c>
      <c r="D275" s="1">
        <f>IFERROR(__xludf.DUMMYFUNCTION("""COMPUTED_VALUE"""),1877.4)</f>
        <v>1877.4</v>
      </c>
      <c r="E275" s="1">
        <f>IFERROR(__xludf.DUMMYFUNCTION("""COMPUTED_VALUE"""),1900.81)</f>
        <v>1900.81</v>
      </c>
      <c r="F275" s="1">
        <f>IFERROR(__xludf.DUMMYFUNCTION("""COMPUTED_VALUE"""),4877.0)</f>
        <v>4877</v>
      </c>
    </row>
    <row r="276">
      <c r="A276" s="2">
        <f>IFERROR(__xludf.DUMMYFUNCTION("""COMPUTED_VALUE"""),42328.64583333333)</f>
        <v>42328.64583</v>
      </c>
      <c r="B276" s="1">
        <f>IFERROR(__xludf.DUMMYFUNCTION("""COMPUTED_VALUE"""),1891.45)</f>
        <v>1891.45</v>
      </c>
      <c r="C276" s="1">
        <f>IFERROR(__xludf.DUMMYFUNCTION("""COMPUTED_VALUE"""),1891.45)</f>
        <v>1891.45</v>
      </c>
      <c r="D276" s="1">
        <f>IFERROR(__xludf.DUMMYFUNCTION("""COMPUTED_VALUE"""),1891.45)</f>
        <v>1891.45</v>
      </c>
      <c r="E276" s="1">
        <f>IFERROR(__xludf.DUMMYFUNCTION("""COMPUTED_VALUE"""),1891.45)</f>
        <v>1891.45</v>
      </c>
      <c r="F276" s="1">
        <f>IFERROR(__xludf.DUMMYFUNCTION("""COMPUTED_VALUE"""),48.0)</f>
        <v>48</v>
      </c>
    </row>
    <row r="277">
      <c r="A277" s="2">
        <f>IFERROR(__xludf.DUMMYFUNCTION("""COMPUTED_VALUE"""),42331.64583333333)</f>
        <v>42331.64583</v>
      </c>
      <c r="B277" s="1">
        <f>IFERROR(__xludf.DUMMYFUNCTION("""COMPUTED_VALUE"""),1877.4)</f>
        <v>1877.4</v>
      </c>
      <c r="C277" s="1">
        <f>IFERROR(__xludf.DUMMYFUNCTION("""COMPUTED_VALUE"""),1891.45)</f>
        <v>1891.45</v>
      </c>
      <c r="D277" s="1">
        <f>IFERROR(__xludf.DUMMYFUNCTION("""COMPUTED_VALUE"""),1877.4)</f>
        <v>1877.4</v>
      </c>
      <c r="E277" s="1">
        <f>IFERROR(__xludf.DUMMYFUNCTION("""COMPUTED_VALUE"""),1886.77)</f>
        <v>1886.77</v>
      </c>
      <c r="F277" s="1">
        <f>IFERROR(__xludf.DUMMYFUNCTION("""COMPUTED_VALUE"""),2735.0)</f>
        <v>2735</v>
      </c>
    </row>
    <row r="278">
      <c r="A278" s="2">
        <f>IFERROR(__xludf.DUMMYFUNCTION("""COMPUTED_VALUE"""),42332.64583333333)</f>
        <v>42332.64583</v>
      </c>
      <c r="B278" s="1">
        <f>IFERROR(__xludf.DUMMYFUNCTION("""COMPUTED_VALUE"""),1947.63)</f>
        <v>1947.63</v>
      </c>
      <c r="C278" s="1">
        <f>IFERROR(__xludf.DUMMYFUNCTION("""COMPUTED_VALUE"""),1947.63)</f>
        <v>1947.63</v>
      </c>
      <c r="D278" s="1">
        <f>IFERROR(__xludf.DUMMYFUNCTION("""COMPUTED_VALUE"""),1877.4)</f>
        <v>1877.4</v>
      </c>
      <c r="E278" s="1">
        <f>IFERROR(__xludf.DUMMYFUNCTION("""COMPUTED_VALUE"""),1877.4)</f>
        <v>1877.4</v>
      </c>
      <c r="F278" s="1">
        <f>IFERROR(__xludf.DUMMYFUNCTION("""COMPUTED_VALUE"""),1486.0)</f>
        <v>1486</v>
      </c>
    </row>
    <row r="279">
      <c r="A279" s="2">
        <f>IFERROR(__xludf.DUMMYFUNCTION("""COMPUTED_VALUE"""),42333.64583333333)</f>
        <v>42333.64583</v>
      </c>
      <c r="B279" s="1">
        <f>IFERROR(__xludf.DUMMYFUNCTION("""COMPUTED_VALUE"""),1882.09)</f>
        <v>1882.09</v>
      </c>
      <c r="C279" s="1">
        <f>IFERROR(__xludf.DUMMYFUNCTION("""COMPUTED_VALUE"""),1886.77)</f>
        <v>1886.77</v>
      </c>
      <c r="D279" s="1">
        <f>IFERROR(__xludf.DUMMYFUNCTION("""COMPUTED_VALUE"""),1872.72)</f>
        <v>1872.72</v>
      </c>
      <c r="E279" s="1">
        <f>IFERROR(__xludf.DUMMYFUNCTION("""COMPUTED_VALUE"""),1886.77)</f>
        <v>1886.77</v>
      </c>
      <c r="F279" s="1">
        <f>IFERROR(__xludf.DUMMYFUNCTION("""COMPUTED_VALUE"""),2618.0)</f>
        <v>2618</v>
      </c>
    </row>
    <row r="280">
      <c r="A280" s="2">
        <f>IFERROR(__xludf.DUMMYFUNCTION("""COMPUTED_VALUE"""),42334.64583333333)</f>
        <v>42334.64583</v>
      </c>
      <c r="B280" s="1">
        <f>IFERROR(__xludf.DUMMYFUNCTION("""COMPUTED_VALUE"""),1956.99)</f>
        <v>1956.99</v>
      </c>
      <c r="C280" s="1">
        <f>IFERROR(__xludf.DUMMYFUNCTION("""COMPUTED_VALUE"""),1956.99)</f>
        <v>1956.99</v>
      </c>
      <c r="D280" s="1">
        <f>IFERROR(__xludf.DUMMYFUNCTION("""COMPUTED_VALUE"""),1877.4)</f>
        <v>1877.4</v>
      </c>
      <c r="E280" s="1">
        <f>IFERROR(__xludf.DUMMYFUNCTION("""COMPUTED_VALUE"""),1882.09)</f>
        <v>1882.09</v>
      </c>
      <c r="F280" s="1">
        <f>IFERROR(__xludf.DUMMYFUNCTION("""COMPUTED_VALUE"""),4577.0)</f>
        <v>4577</v>
      </c>
    </row>
    <row r="281">
      <c r="A281" s="2">
        <f>IFERROR(__xludf.DUMMYFUNCTION("""COMPUTED_VALUE"""),42335.64583333333)</f>
        <v>42335.64583</v>
      </c>
      <c r="B281" s="1">
        <f>IFERROR(__xludf.DUMMYFUNCTION("""COMPUTED_VALUE"""),1886.77)</f>
        <v>1886.77</v>
      </c>
      <c r="C281" s="1">
        <f>IFERROR(__xludf.DUMMYFUNCTION("""COMPUTED_VALUE"""),1891.45)</f>
        <v>1891.45</v>
      </c>
      <c r="D281" s="1">
        <f>IFERROR(__xludf.DUMMYFUNCTION("""COMPUTED_VALUE"""),1882.09)</f>
        <v>1882.09</v>
      </c>
      <c r="E281" s="1">
        <f>IFERROR(__xludf.DUMMYFUNCTION("""COMPUTED_VALUE"""),1882.09)</f>
        <v>1882.09</v>
      </c>
      <c r="F281" s="1">
        <f>IFERROR(__xludf.DUMMYFUNCTION("""COMPUTED_VALUE"""),5454.0)</f>
        <v>5454</v>
      </c>
    </row>
    <row r="282">
      <c r="A282" s="2">
        <f>IFERROR(__xludf.DUMMYFUNCTION("""COMPUTED_VALUE"""),42338.64583333333)</f>
        <v>42338.64583</v>
      </c>
      <c r="B282" s="1">
        <f>IFERROR(__xludf.DUMMYFUNCTION("""COMPUTED_VALUE"""),1872.72)</f>
        <v>1872.72</v>
      </c>
      <c r="C282" s="1">
        <f>IFERROR(__xludf.DUMMYFUNCTION("""COMPUTED_VALUE"""),1914.86)</f>
        <v>1914.86</v>
      </c>
      <c r="D282" s="1">
        <f>IFERROR(__xludf.DUMMYFUNCTION("""COMPUTED_VALUE"""),1872.72)</f>
        <v>1872.72</v>
      </c>
      <c r="E282" s="1">
        <f>IFERROR(__xludf.DUMMYFUNCTION("""COMPUTED_VALUE"""),1877.4)</f>
        <v>1877.4</v>
      </c>
      <c r="F282" s="1">
        <f>IFERROR(__xludf.DUMMYFUNCTION("""COMPUTED_VALUE"""),14815.0)</f>
        <v>14815</v>
      </c>
    </row>
    <row r="283">
      <c r="A283" s="2">
        <f>IFERROR(__xludf.DUMMYFUNCTION("""COMPUTED_VALUE"""),42339.64583333333)</f>
        <v>42339.64583</v>
      </c>
      <c r="B283" s="1">
        <f>IFERROR(__xludf.DUMMYFUNCTION("""COMPUTED_VALUE"""),1877.4)</f>
        <v>1877.4</v>
      </c>
      <c r="C283" s="1">
        <f>IFERROR(__xludf.DUMMYFUNCTION("""COMPUTED_VALUE"""),1882.09)</f>
        <v>1882.09</v>
      </c>
      <c r="D283" s="1">
        <f>IFERROR(__xludf.DUMMYFUNCTION("""COMPUTED_VALUE"""),1872.72)</f>
        <v>1872.72</v>
      </c>
      <c r="E283" s="1">
        <f>IFERROR(__xludf.DUMMYFUNCTION("""COMPUTED_VALUE"""),1877.4)</f>
        <v>1877.4</v>
      </c>
      <c r="F283" s="1">
        <f>IFERROR(__xludf.DUMMYFUNCTION("""COMPUTED_VALUE"""),4293.0)</f>
        <v>4293</v>
      </c>
    </row>
    <row r="284">
      <c r="A284" s="2">
        <f>IFERROR(__xludf.DUMMYFUNCTION("""COMPUTED_VALUE"""),42340.64583333333)</f>
        <v>42340.64583</v>
      </c>
      <c r="B284" s="1">
        <f>IFERROR(__xludf.DUMMYFUNCTION("""COMPUTED_VALUE"""),1872.72)</f>
        <v>1872.72</v>
      </c>
      <c r="C284" s="1">
        <f>IFERROR(__xludf.DUMMYFUNCTION("""COMPUTED_VALUE"""),1900.81)</f>
        <v>1900.81</v>
      </c>
      <c r="D284" s="1">
        <f>IFERROR(__xludf.DUMMYFUNCTION("""COMPUTED_VALUE"""),1872.72)</f>
        <v>1872.72</v>
      </c>
      <c r="E284" s="1">
        <f>IFERROR(__xludf.DUMMYFUNCTION("""COMPUTED_VALUE"""),1896.13)</f>
        <v>1896.13</v>
      </c>
      <c r="F284" s="1">
        <f>IFERROR(__xludf.DUMMYFUNCTION("""COMPUTED_VALUE"""),10797.0)</f>
        <v>10797</v>
      </c>
    </row>
    <row r="285">
      <c r="A285" s="2">
        <f>IFERROR(__xludf.DUMMYFUNCTION("""COMPUTED_VALUE"""),42341.64583333333)</f>
        <v>42341.64583</v>
      </c>
      <c r="B285" s="1">
        <f>IFERROR(__xludf.DUMMYFUNCTION("""COMPUTED_VALUE"""),1905.49)</f>
        <v>1905.49</v>
      </c>
      <c r="C285" s="1">
        <f>IFERROR(__xludf.DUMMYFUNCTION("""COMPUTED_VALUE"""),1905.49)</f>
        <v>1905.49</v>
      </c>
      <c r="D285" s="1">
        <f>IFERROR(__xludf.DUMMYFUNCTION("""COMPUTED_VALUE"""),1872.72)</f>
        <v>1872.72</v>
      </c>
      <c r="E285" s="1">
        <f>IFERROR(__xludf.DUMMYFUNCTION("""COMPUTED_VALUE"""),1872.72)</f>
        <v>1872.72</v>
      </c>
      <c r="F285" s="1">
        <f>IFERROR(__xludf.DUMMYFUNCTION("""COMPUTED_VALUE"""),94.0)</f>
        <v>94</v>
      </c>
    </row>
    <row r="286">
      <c r="A286" s="2">
        <f>IFERROR(__xludf.DUMMYFUNCTION("""COMPUTED_VALUE"""),42342.64583333333)</f>
        <v>42342.64583</v>
      </c>
      <c r="B286" s="1">
        <f>IFERROR(__xludf.DUMMYFUNCTION("""COMPUTED_VALUE"""),1877.4)</f>
        <v>1877.4</v>
      </c>
      <c r="C286" s="1">
        <f>IFERROR(__xludf.DUMMYFUNCTION("""COMPUTED_VALUE"""),1882.09)</f>
        <v>1882.09</v>
      </c>
      <c r="D286" s="1">
        <f>IFERROR(__xludf.DUMMYFUNCTION("""COMPUTED_VALUE"""),1872.72)</f>
        <v>1872.72</v>
      </c>
      <c r="E286" s="1">
        <f>IFERROR(__xludf.DUMMYFUNCTION("""COMPUTED_VALUE"""),1882.09)</f>
        <v>1882.09</v>
      </c>
      <c r="F286" s="1">
        <f>IFERROR(__xludf.DUMMYFUNCTION("""COMPUTED_VALUE"""),2421.0)</f>
        <v>2421</v>
      </c>
    </row>
    <row r="287">
      <c r="A287" s="2">
        <f>IFERROR(__xludf.DUMMYFUNCTION("""COMPUTED_VALUE"""),42345.64583333333)</f>
        <v>42345.64583</v>
      </c>
      <c r="B287" s="1">
        <f>IFERROR(__xludf.DUMMYFUNCTION("""COMPUTED_VALUE"""),1882.09)</f>
        <v>1882.09</v>
      </c>
      <c r="C287" s="1">
        <f>IFERROR(__xludf.DUMMYFUNCTION("""COMPUTED_VALUE"""),1891.45)</f>
        <v>1891.45</v>
      </c>
      <c r="D287" s="1">
        <f>IFERROR(__xludf.DUMMYFUNCTION("""COMPUTED_VALUE"""),1877.4)</f>
        <v>1877.4</v>
      </c>
      <c r="E287" s="1">
        <f>IFERROR(__xludf.DUMMYFUNCTION("""COMPUTED_VALUE"""),1891.45)</f>
        <v>1891.45</v>
      </c>
      <c r="F287" s="1">
        <f>IFERROR(__xludf.DUMMYFUNCTION("""COMPUTED_VALUE"""),1966.0)</f>
        <v>1966</v>
      </c>
    </row>
    <row r="288">
      <c r="A288" s="2">
        <f>IFERROR(__xludf.DUMMYFUNCTION("""COMPUTED_VALUE"""),42346.64583333333)</f>
        <v>42346.64583</v>
      </c>
      <c r="B288" s="1">
        <f>IFERROR(__xludf.DUMMYFUNCTION("""COMPUTED_VALUE"""),1905.49)</f>
        <v>1905.49</v>
      </c>
      <c r="C288" s="1">
        <f>IFERROR(__xludf.DUMMYFUNCTION("""COMPUTED_VALUE"""),1905.49)</f>
        <v>1905.49</v>
      </c>
      <c r="D288" s="1">
        <f>IFERROR(__xludf.DUMMYFUNCTION("""COMPUTED_VALUE"""),1872.72)</f>
        <v>1872.72</v>
      </c>
      <c r="E288" s="1">
        <f>IFERROR(__xludf.DUMMYFUNCTION("""COMPUTED_VALUE"""),1872.72)</f>
        <v>1872.72</v>
      </c>
      <c r="F288" s="1">
        <f>IFERROR(__xludf.DUMMYFUNCTION("""COMPUTED_VALUE"""),2102.0)</f>
        <v>2102</v>
      </c>
    </row>
    <row r="289">
      <c r="A289" s="2">
        <f>IFERROR(__xludf.DUMMYFUNCTION("""COMPUTED_VALUE"""),42347.64583333333)</f>
        <v>42347.64583</v>
      </c>
      <c r="B289" s="1">
        <f>IFERROR(__xludf.DUMMYFUNCTION("""COMPUTED_VALUE"""),1877.4)</f>
        <v>1877.4</v>
      </c>
      <c r="C289" s="1">
        <f>IFERROR(__xludf.DUMMYFUNCTION("""COMPUTED_VALUE"""),1900.81)</f>
        <v>1900.81</v>
      </c>
      <c r="D289" s="1">
        <f>IFERROR(__xludf.DUMMYFUNCTION("""COMPUTED_VALUE"""),1872.72)</f>
        <v>1872.72</v>
      </c>
      <c r="E289" s="1">
        <f>IFERROR(__xludf.DUMMYFUNCTION("""COMPUTED_VALUE"""),1900.81)</f>
        <v>1900.81</v>
      </c>
      <c r="F289" s="1">
        <f>IFERROR(__xludf.DUMMYFUNCTION("""COMPUTED_VALUE"""),5620.0)</f>
        <v>5620</v>
      </c>
    </row>
    <row r="290">
      <c r="A290" s="2">
        <f>IFERROR(__xludf.DUMMYFUNCTION("""COMPUTED_VALUE"""),42348.64583333333)</f>
        <v>42348.64583</v>
      </c>
      <c r="B290" s="1">
        <f>IFERROR(__xludf.DUMMYFUNCTION("""COMPUTED_VALUE"""),1872.72)</f>
        <v>1872.72</v>
      </c>
      <c r="C290" s="1">
        <f>IFERROR(__xludf.DUMMYFUNCTION("""COMPUTED_VALUE"""),1877.4)</f>
        <v>1877.4</v>
      </c>
      <c r="D290" s="1">
        <f>IFERROR(__xludf.DUMMYFUNCTION("""COMPUTED_VALUE"""),1868.04)</f>
        <v>1868.04</v>
      </c>
      <c r="E290" s="1">
        <f>IFERROR(__xludf.DUMMYFUNCTION("""COMPUTED_VALUE"""),1872.72)</f>
        <v>1872.72</v>
      </c>
      <c r="F290" s="1">
        <f>IFERROR(__xludf.DUMMYFUNCTION("""COMPUTED_VALUE"""),20850.0)</f>
        <v>20850</v>
      </c>
    </row>
    <row r="291">
      <c r="A291" s="2">
        <f>IFERROR(__xludf.DUMMYFUNCTION("""COMPUTED_VALUE"""),42349.64583333333)</f>
        <v>42349.64583</v>
      </c>
      <c r="B291" s="1">
        <f>IFERROR(__xludf.DUMMYFUNCTION("""COMPUTED_VALUE"""),1896.13)</f>
        <v>1896.13</v>
      </c>
      <c r="C291" s="1">
        <f>IFERROR(__xludf.DUMMYFUNCTION("""COMPUTED_VALUE"""),1896.13)</f>
        <v>1896.13</v>
      </c>
      <c r="D291" s="1">
        <f>IFERROR(__xludf.DUMMYFUNCTION("""COMPUTED_VALUE"""),1896.13)</f>
        <v>1896.13</v>
      </c>
      <c r="E291" s="1">
        <f>IFERROR(__xludf.DUMMYFUNCTION("""COMPUTED_VALUE"""),1896.13)</f>
        <v>1896.13</v>
      </c>
      <c r="F291" s="1">
        <f>IFERROR(__xludf.DUMMYFUNCTION("""COMPUTED_VALUE"""),1.0)</f>
        <v>1</v>
      </c>
    </row>
    <row r="292">
      <c r="A292" s="2">
        <f>IFERROR(__xludf.DUMMYFUNCTION("""COMPUTED_VALUE"""),42352.64583333333)</f>
        <v>42352.64583</v>
      </c>
      <c r="B292" s="1">
        <f>IFERROR(__xludf.DUMMYFUNCTION("""COMPUTED_VALUE"""),1872.72)</f>
        <v>1872.72</v>
      </c>
      <c r="C292" s="1">
        <f>IFERROR(__xludf.DUMMYFUNCTION("""COMPUTED_VALUE"""),1872.72)</f>
        <v>1872.72</v>
      </c>
      <c r="D292" s="1">
        <f>IFERROR(__xludf.DUMMYFUNCTION("""COMPUTED_VALUE"""),1868.04)</f>
        <v>1868.04</v>
      </c>
      <c r="E292" s="1">
        <f>IFERROR(__xludf.DUMMYFUNCTION("""COMPUTED_VALUE"""),1868.04)</f>
        <v>1868.04</v>
      </c>
      <c r="F292" s="1">
        <f>IFERROR(__xludf.DUMMYFUNCTION("""COMPUTED_VALUE"""),996.0)</f>
        <v>996</v>
      </c>
    </row>
    <row r="293">
      <c r="A293" s="2">
        <f>IFERROR(__xludf.DUMMYFUNCTION("""COMPUTED_VALUE"""),42353.64583333333)</f>
        <v>42353.64583</v>
      </c>
      <c r="B293" s="1">
        <f>IFERROR(__xludf.DUMMYFUNCTION("""COMPUTED_VALUE"""),1872.72)</f>
        <v>1872.72</v>
      </c>
      <c r="C293" s="1">
        <f>IFERROR(__xludf.DUMMYFUNCTION("""COMPUTED_VALUE"""),1872.72)</f>
        <v>1872.72</v>
      </c>
      <c r="D293" s="1">
        <f>IFERROR(__xludf.DUMMYFUNCTION("""COMPUTED_VALUE"""),1872.72)</f>
        <v>1872.72</v>
      </c>
      <c r="E293" s="1">
        <f>IFERROR(__xludf.DUMMYFUNCTION("""COMPUTED_VALUE"""),1872.72)</f>
        <v>1872.72</v>
      </c>
      <c r="F293" s="1">
        <f>IFERROR(__xludf.DUMMYFUNCTION("""COMPUTED_VALUE"""),2441.0)</f>
        <v>2441</v>
      </c>
    </row>
    <row r="294">
      <c r="A294" s="2">
        <f>IFERROR(__xludf.DUMMYFUNCTION("""COMPUTED_VALUE"""),42354.64583333333)</f>
        <v>42354.64583</v>
      </c>
      <c r="B294" s="1">
        <f>IFERROR(__xludf.DUMMYFUNCTION("""COMPUTED_VALUE"""),1900.81)</f>
        <v>1900.81</v>
      </c>
      <c r="C294" s="1">
        <f>IFERROR(__xludf.DUMMYFUNCTION("""COMPUTED_VALUE"""),1900.81)</f>
        <v>1900.81</v>
      </c>
      <c r="D294" s="1">
        <f>IFERROR(__xludf.DUMMYFUNCTION("""COMPUTED_VALUE"""),1872.72)</f>
        <v>1872.72</v>
      </c>
      <c r="E294" s="1">
        <f>IFERROR(__xludf.DUMMYFUNCTION("""COMPUTED_VALUE"""),1882.09)</f>
        <v>1882.09</v>
      </c>
      <c r="F294" s="1">
        <f>IFERROR(__xludf.DUMMYFUNCTION("""COMPUTED_VALUE"""),2003.0)</f>
        <v>2003</v>
      </c>
    </row>
    <row r="295">
      <c r="A295" s="2">
        <f>IFERROR(__xludf.DUMMYFUNCTION("""COMPUTED_VALUE"""),42355.64583333333)</f>
        <v>42355.64583</v>
      </c>
      <c r="B295" s="1">
        <f>IFERROR(__xludf.DUMMYFUNCTION("""COMPUTED_VALUE"""),1872.72)</f>
        <v>1872.72</v>
      </c>
      <c r="C295" s="1">
        <f>IFERROR(__xludf.DUMMYFUNCTION("""COMPUTED_VALUE"""),1896.13)</f>
        <v>1896.13</v>
      </c>
      <c r="D295" s="1">
        <f>IFERROR(__xludf.DUMMYFUNCTION("""COMPUTED_VALUE"""),1872.72)</f>
        <v>1872.72</v>
      </c>
      <c r="E295" s="1">
        <f>IFERROR(__xludf.DUMMYFUNCTION("""COMPUTED_VALUE"""),1882.09)</f>
        <v>1882.09</v>
      </c>
      <c r="F295" s="1">
        <f>IFERROR(__xludf.DUMMYFUNCTION("""COMPUTED_VALUE"""),3102.0)</f>
        <v>3102</v>
      </c>
    </row>
    <row r="296">
      <c r="A296" s="2">
        <f>IFERROR(__xludf.DUMMYFUNCTION("""COMPUTED_VALUE"""),42356.64583333333)</f>
        <v>42356.64583</v>
      </c>
      <c r="B296" s="1">
        <f>IFERROR(__xludf.DUMMYFUNCTION("""COMPUTED_VALUE"""),1872.72)</f>
        <v>1872.72</v>
      </c>
      <c r="C296" s="1">
        <f>IFERROR(__xludf.DUMMYFUNCTION("""COMPUTED_VALUE"""),1872.72)</f>
        <v>1872.72</v>
      </c>
      <c r="D296" s="1">
        <f>IFERROR(__xludf.DUMMYFUNCTION("""COMPUTED_VALUE"""),1872.72)</f>
        <v>1872.72</v>
      </c>
      <c r="E296" s="1">
        <f>IFERROR(__xludf.DUMMYFUNCTION("""COMPUTED_VALUE"""),1872.72)</f>
        <v>1872.72</v>
      </c>
      <c r="F296" s="1">
        <f>IFERROR(__xludf.DUMMYFUNCTION("""COMPUTED_VALUE"""),1000.0)</f>
        <v>1000</v>
      </c>
    </row>
    <row r="297">
      <c r="A297" s="2">
        <f>IFERROR(__xludf.DUMMYFUNCTION("""COMPUTED_VALUE"""),42359.64583333333)</f>
        <v>42359.64583</v>
      </c>
      <c r="B297" s="1">
        <f>IFERROR(__xludf.DUMMYFUNCTION("""COMPUTED_VALUE"""),1872.72)</f>
        <v>1872.72</v>
      </c>
      <c r="C297" s="1">
        <f>IFERROR(__xludf.DUMMYFUNCTION("""COMPUTED_VALUE"""),1891.45)</f>
        <v>1891.45</v>
      </c>
      <c r="D297" s="1">
        <f>IFERROR(__xludf.DUMMYFUNCTION("""COMPUTED_VALUE"""),1872.72)</f>
        <v>1872.72</v>
      </c>
      <c r="E297" s="1">
        <f>IFERROR(__xludf.DUMMYFUNCTION("""COMPUTED_VALUE"""),1891.45)</f>
        <v>1891.45</v>
      </c>
      <c r="F297" s="1">
        <f>IFERROR(__xludf.DUMMYFUNCTION("""COMPUTED_VALUE"""),11002.0)</f>
        <v>11002</v>
      </c>
    </row>
    <row r="298">
      <c r="A298" s="2">
        <f>IFERROR(__xludf.DUMMYFUNCTION("""COMPUTED_VALUE"""),42360.64583333333)</f>
        <v>42360.64583</v>
      </c>
      <c r="B298" s="1">
        <f>IFERROR(__xludf.DUMMYFUNCTION("""COMPUTED_VALUE"""),1872.72)</f>
        <v>1872.72</v>
      </c>
      <c r="C298" s="1">
        <f>IFERROR(__xludf.DUMMYFUNCTION("""COMPUTED_VALUE"""),1905.49)</f>
        <v>1905.49</v>
      </c>
      <c r="D298" s="1">
        <f>IFERROR(__xludf.DUMMYFUNCTION("""COMPUTED_VALUE"""),1858.68)</f>
        <v>1858.68</v>
      </c>
      <c r="E298" s="1">
        <f>IFERROR(__xludf.DUMMYFUNCTION("""COMPUTED_VALUE"""),1877.4)</f>
        <v>1877.4</v>
      </c>
      <c r="F298" s="1">
        <f>IFERROR(__xludf.DUMMYFUNCTION("""COMPUTED_VALUE"""),31519.0)</f>
        <v>31519</v>
      </c>
    </row>
    <row r="299">
      <c r="A299" s="2">
        <f>IFERROR(__xludf.DUMMYFUNCTION("""COMPUTED_VALUE"""),42361.64583333333)</f>
        <v>42361.64583</v>
      </c>
      <c r="B299" s="1">
        <f>IFERROR(__xludf.DUMMYFUNCTION("""COMPUTED_VALUE"""),1877.4)</f>
        <v>1877.4</v>
      </c>
      <c r="C299" s="1">
        <f>IFERROR(__xludf.DUMMYFUNCTION("""COMPUTED_VALUE"""),1877.4)</f>
        <v>1877.4</v>
      </c>
      <c r="D299" s="1">
        <f>IFERROR(__xludf.DUMMYFUNCTION("""COMPUTED_VALUE"""),1877.4)</f>
        <v>1877.4</v>
      </c>
      <c r="E299" s="1">
        <f>IFERROR(__xludf.DUMMYFUNCTION("""COMPUTED_VALUE"""),1877.4)</f>
        <v>1877.4</v>
      </c>
      <c r="F299" s="1">
        <f>IFERROR(__xludf.DUMMYFUNCTION("""COMPUTED_VALUE"""),15780.0)</f>
        <v>15780</v>
      </c>
    </row>
    <row r="300">
      <c r="A300" s="2">
        <f>IFERROR(__xludf.DUMMYFUNCTION("""COMPUTED_VALUE"""),42362.64583333333)</f>
        <v>42362.64583</v>
      </c>
      <c r="B300" s="1">
        <f>IFERROR(__xludf.DUMMYFUNCTION("""COMPUTED_VALUE"""),1872.72)</f>
        <v>1872.72</v>
      </c>
      <c r="C300" s="1">
        <f>IFERROR(__xludf.DUMMYFUNCTION("""COMPUTED_VALUE"""),1891.45)</f>
        <v>1891.45</v>
      </c>
      <c r="D300" s="1">
        <f>IFERROR(__xludf.DUMMYFUNCTION("""COMPUTED_VALUE"""),1872.72)</f>
        <v>1872.72</v>
      </c>
      <c r="E300" s="1">
        <f>IFERROR(__xludf.DUMMYFUNCTION("""COMPUTED_VALUE"""),1891.45)</f>
        <v>1891.45</v>
      </c>
      <c r="F300" s="1">
        <f>IFERROR(__xludf.DUMMYFUNCTION("""COMPUTED_VALUE"""),10300.0)</f>
        <v>10300</v>
      </c>
    </row>
    <row r="301">
      <c r="A301" s="2">
        <f>IFERROR(__xludf.DUMMYFUNCTION("""COMPUTED_VALUE"""),42366.64583333333)</f>
        <v>42366.64583</v>
      </c>
      <c r="B301" s="1">
        <f>IFERROR(__xludf.DUMMYFUNCTION("""COMPUTED_VALUE"""),1877.4)</f>
        <v>1877.4</v>
      </c>
      <c r="C301" s="1">
        <f>IFERROR(__xludf.DUMMYFUNCTION("""COMPUTED_VALUE"""),1877.4)</f>
        <v>1877.4</v>
      </c>
      <c r="D301" s="1">
        <f>IFERROR(__xludf.DUMMYFUNCTION("""COMPUTED_VALUE"""),1872.72)</f>
        <v>1872.72</v>
      </c>
      <c r="E301" s="1">
        <f>IFERROR(__xludf.DUMMYFUNCTION("""COMPUTED_VALUE"""),1877.4)</f>
        <v>1877.4</v>
      </c>
      <c r="F301" s="1">
        <f>IFERROR(__xludf.DUMMYFUNCTION("""COMPUTED_VALUE"""),14429.0)</f>
        <v>14429</v>
      </c>
    </row>
    <row r="302">
      <c r="A302" s="2">
        <f>IFERROR(__xludf.DUMMYFUNCTION("""COMPUTED_VALUE"""),42367.64583333333)</f>
        <v>42367.64583</v>
      </c>
      <c r="B302" s="1">
        <f>IFERROR(__xludf.DUMMYFUNCTION("""COMPUTED_VALUE"""),1872.72)</f>
        <v>1872.72</v>
      </c>
      <c r="C302" s="1">
        <f>IFERROR(__xludf.DUMMYFUNCTION("""COMPUTED_VALUE"""),1891.45)</f>
        <v>1891.45</v>
      </c>
      <c r="D302" s="1">
        <f>IFERROR(__xludf.DUMMYFUNCTION("""COMPUTED_VALUE"""),1872.72)</f>
        <v>1872.72</v>
      </c>
      <c r="E302" s="1">
        <f>IFERROR(__xludf.DUMMYFUNCTION("""COMPUTED_VALUE"""),1891.45)</f>
        <v>1891.45</v>
      </c>
      <c r="F302" s="1">
        <f>IFERROR(__xludf.DUMMYFUNCTION("""COMPUTED_VALUE"""),2150.0)</f>
        <v>2150</v>
      </c>
    </row>
    <row r="303">
      <c r="A303" s="2">
        <f>IFERROR(__xludf.DUMMYFUNCTION("""COMPUTED_VALUE"""),42368.64583333333)</f>
        <v>42368.64583</v>
      </c>
      <c r="B303" s="1">
        <f>IFERROR(__xludf.DUMMYFUNCTION("""COMPUTED_VALUE"""),1891.45)</f>
        <v>1891.45</v>
      </c>
      <c r="C303" s="1">
        <f>IFERROR(__xludf.DUMMYFUNCTION("""COMPUTED_VALUE"""),1891.45)</f>
        <v>1891.45</v>
      </c>
      <c r="D303" s="1">
        <f>IFERROR(__xludf.DUMMYFUNCTION("""COMPUTED_VALUE"""),1872.72)</f>
        <v>1872.72</v>
      </c>
      <c r="E303" s="1">
        <f>IFERROR(__xludf.DUMMYFUNCTION("""COMPUTED_VALUE"""),1886.77)</f>
        <v>1886.77</v>
      </c>
      <c r="F303" s="1">
        <f>IFERROR(__xludf.DUMMYFUNCTION("""COMPUTED_VALUE"""),572.0)</f>
        <v>572</v>
      </c>
    </row>
    <row r="304">
      <c r="A304" s="2">
        <f>IFERROR(__xludf.DUMMYFUNCTION("""COMPUTED_VALUE"""),42373.64583333333)</f>
        <v>42373.64583</v>
      </c>
      <c r="B304" s="1">
        <f>IFERROR(__xludf.DUMMYFUNCTION("""COMPUTED_VALUE"""),1896.13)</f>
        <v>1896.13</v>
      </c>
      <c r="C304" s="1">
        <f>IFERROR(__xludf.DUMMYFUNCTION("""COMPUTED_VALUE"""),1896.13)</f>
        <v>1896.13</v>
      </c>
      <c r="D304" s="1">
        <f>IFERROR(__xludf.DUMMYFUNCTION("""COMPUTED_VALUE"""),1886.77)</f>
        <v>1886.77</v>
      </c>
      <c r="E304" s="1">
        <f>IFERROR(__xludf.DUMMYFUNCTION("""COMPUTED_VALUE"""),1886.77)</f>
        <v>1886.77</v>
      </c>
      <c r="F304" s="1">
        <f>IFERROR(__xludf.DUMMYFUNCTION("""COMPUTED_VALUE"""),2051.0)</f>
        <v>2051</v>
      </c>
    </row>
    <row r="305">
      <c r="A305" s="2">
        <f>IFERROR(__xludf.DUMMYFUNCTION("""COMPUTED_VALUE"""),42374.64583333333)</f>
        <v>42374.64583</v>
      </c>
      <c r="B305" s="1">
        <f>IFERROR(__xludf.DUMMYFUNCTION("""COMPUTED_VALUE"""),1872.72)</f>
        <v>1872.72</v>
      </c>
      <c r="C305" s="1">
        <f>IFERROR(__xludf.DUMMYFUNCTION("""COMPUTED_VALUE"""),1872.72)</f>
        <v>1872.72</v>
      </c>
      <c r="D305" s="1">
        <f>IFERROR(__xludf.DUMMYFUNCTION("""COMPUTED_VALUE"""),1868.04)</f>
        <v>1868.04</v>
      </c>
      <c r="E305" s="1">
        <f>IFERROR(__xludf.DUMMYFUNCTION("""COMPUTED_VALUE"""),1872.72)</f>
        <v>1872.72</v>
      </c>
      <c r="F305" s="1">
        <f>IFERROR(__xludf.DUMMYFUNCTION("""COMPUTED_VALUE"""),11065.0)</f>
        <v>11065</v>
      </c>
    </row>
    <row r="306">
      <c r="A306" s="2">
        <f>IFERROR(__xludf.DUMMYFUNCTION("""COMPUTED_VALUE"""),42375.64583333333)</f>
        <v>42375.64583</v>
      </c>
      <c r="B306" s="1">
        <f>IFERROR(__xludf.DUMMYFUNCTION("""COMPUTED_VALUE"""),1872.72)</f>
        <v>1872.72</v>
      </c>
      <c r="C306" s="1">
        <f>IFERROR(__xludf.DUMMYFUNCTION("""COMPUTED_VALUE"""),1891.45)</f>
        <v>1891.45</v>
      </c>
      <c r="D306" s="1">
        <f>IFERROR(__xludf.DUMMYFUNCTION("""COMPUTED_VALUE"""),1872.72)</f>
        <v>1872.72</v>
      </c>
      <c r="E306" s="1">
        <f>IFERROR(__xludf.DUMMYFUNCTION("""COMPUTED_VALUE"""),1891.45)</f>
        <v>1891.45</v>
      </c>
      <c r="F306" s="1">
        <f>IFERROR(__xludf.DUMMYFUNCTION("""COMPUTED_VALUE"""),4000.0)</f>
        <v>4000</v>
      </c>
    </row>
    <row r="307">
      <c r="A307" s="2">
        <f>IFERROR(__xludf.DUMMYFUNCTION("""COMPUTED_VALUE"""),42376.64583333333)</f>
        <v>42376.64583</v>
      </c>
      <c r="B307" s="1">
        <f>IFERROR(__xludf.DUMMYFUNCTION("""COMPUTED_VALUE"""),1900.81)</f>
        <v>1900.81</v>
      </c>
      <c r="C307" s="1">
        <f>IFERROR(__xludf.DUMMYFUNCTION("""COMPUTED_VALUE"""),1900.81)</f>
        <v>1900.81</v>
      </c>
      <c r="D307" s="1">
        <f>IFERROR(__xludf.DUMMYFUNCTION("""COMPUTED_VALUE"""),1872.72)</f>
        <v>1872.72</v>
      </c>
      <c r="E307" s="1">
        <f>IFERROR(__xludf.DUMMYFUNCTION("""COMPUTED_VALUE"""),1872.72)</f>
        <v>1872.72</v>
      </c>
      <c r="F307" s="1">
        <f>IFERROR(__xludf.DUMMYFUNCTION("""COMPUTED_VALUE"""),4351.0)</f>
        <v>4351</v>
      </c>
    </row>
    <row r="308">
      <c r="A308" s="2">
        <f>IFERROR(__xludf.DUMMYFUNCTION("""COMPUTED_VALUE"""),42377.64583333333)</f>
        <v>42377.64583</v>
      </c>
      <c r="B308" s="1">
        <f>IFERROR(__xludf.DUMMYFUNCTION("""COMPUTED_VALUE"""),1872.72)</f>
        <v>1872.72</v>
      </c>
      <c r="C308" s="1">
        <f>IFERROR(__xludf.DUMMYFUNCTION("""COMPUTED_VALUE"""),1877.4)</f>
        <v>1877.4</v>
      </c>
      <c r="D308" s="1">
        <f>IFERROR(__xludf.DUMMYFUNCTION("""COMPUTED_VALUE"""),1863.36)</f>
        <v>1863.36</v>
      </c>
      <c r="E308" s="1">
        <f>IFERROR(__xludf.DUMMYFUNCTION("""COMPUTED_VALUE"""),1868.04)</f>
        <v>1868.04</v>
      </c>
      <c r="F308" s="1">
        <f>IFERROR(__xludf.DUMMYFUNCTION("""COMPUTED_VALUE"""),21518.0)</f>
        <v>21518</v>
      </c>
    </row>
    <row r="309">
      <c r="A309" s="2">
        <f>IFERROR(__xludf.DUMMYFUNCTION("""COMPUTED_VALUE"""),42380.64583333333)</f>
        <v>42380.64583</v>
      </c>
      <c r="B309" s="1">
        <f>IFERROR(__xludf.DUMMYFUNCTION("""COMPUTED_VALUE"""),1900.81)</f>
        <v>1900.81</v>
      </c>
      <c r="C309" s="1">
        <f>IFERROR(__xludf.DUMMYFUNCTION("""COMPUTED_VALUE"""),1900.81)</f>
        <v>1900.81</v>
      </c>
      <c r="D309" s="1">
        <f>IFERROR(__xludf.DUMMYFUNCTION("""COMPUTED_VALUE"""),1872.72)</f>
        <v>1872.72</v>
      </c>
      <c r="E309" s="1">
        <f>IFERROR(__xludf.DUMMYFUNCTION("""COMPUTED_VALUE"""),1877.4)</f>
        <v>1877.4</v>
      </c>
      <c r="F309" s="1">
        <f>IFERROR(__xludf.DUMMYFUNCTION("""COMPUTED_VALUE"""),5300.0)</f>
        <v>5300</v>
      </c>
    </row>
    <row r="310">
      <c r="A310" s="2">
        <f>IFERROR(__xludf.DUMMYFUNCTION("""COMPUTED_VALUE"""),42381.64583333333)</f>
        <v>42381.64583</v>
      </c>
      <c r="B310" s="1">
        <f>IFERROR(__xludf.DUMMYFUNCTION("""COMPUTED_VALUE"""),1877.4)</f>
        <v>1877.4</v>
      </c>
      <c r="C310" s="1">
        <f>IFERROR(__xludf.DUMMYFUNCTION("""COMPUTED_VALUE"""),1900.81)</f>
        <v>1900.81</v>
      </c>
      <c r="D310" s="1">
        <f>IFERROR(__xludf.DUMMYFUNCTION("""COMPUTED_VALUE"""),1877.4)</f>
        <v>1877.4</v>
      </c>
      <c r="E310" s="1">
        <f>IFERROR(__xludf.DUMMYFUNCTION("""COMPUTED_VALUE"""),1877.4)</f>
        <v>1877.4</v>
      </c>
      <c r="F310" s="1">
        <f>IFERROR(__xludf.DUMMYFUNCTION("""COMPUTED_VALUE"""),3486.0)</f>
        <v>3486</v>
      </c>
    </row>
    <row r="311">
      <c r="A311" s="2">
        <f>IFERROR(__xludf.DUMMYFUNCTION("""COMPUTED_VALUE"""),42382.64583333333)</f>
        <v>42382.64583</v>
      </c>
      <c r="B311" s="1">
        <f>IFERROR(__xludf.DUMMYFUNCTION("""COMPUTED_VALUE"""),1900.81)</f>
        <v>1900.81</v>
      </c>
      <c r="C311" s="1">
        <f>IFERROR(__xludf.DUMMYFUNCTION("""COMPUTED_VALUE"""),1900.81)</f>
        <v>1900.81</v>
      </c>
      <c r="D311" s="1">
        <f>IFERROR(__xludf.DUMMYFUNCTION("""COMPUTED_VALUE"""),1877.4)</f>
        <v>1877.4</v>
      </c>
      <c r="E311" s="1">
        <f>IFERROR(__xludf.DUMMYFUNCTION("""COMPUTED_VALUE"""),1882.09)</f>
        <v>1882.09</v>
      </c>
      <c r="F311" s="1">
        <f>IFERROR(__xludf.DUMMYFUNCTION("""COMPUTED_VALUE"""),1405.0)</f>
        <v>1405</v>
      </c>
    </row>
    <row r="312">
      <c r="A312" s="2">
        <f>IFERROR(__xludf.DUMMYFUNCTION("""COMPUTED_VALUE"""),42383.64583333333)</f>
        <v>42383.64583</v>
      </c>
      <c r="B312" s="1">
        <f>IFERROR(__xludf.DUMMYFUNCTION("""COMPUTED_VALUE"""),1872.72)</f>
        <v>1872.72</v>
      </c>
      <c r="C312" s="1">
        <f>IFERROR(__xludf.DUMMYFUNCTION("""COMPUTED_VALUE"""),1877.4)</f>
        <v>1877.4</v>
      </c>
      <c r="D312" s="1">
        <f>IFERROR(__xludf.DUMMYFUNCTION("""COMPUTED_VALUE"""),1872.72)</f>
        <v>1872.72</v>
      </c>
      <c r="E312" s="1">
        <f>IFERROR(__xludf.DUMMYFUNCTION("""COMPUTED_VALUE"""),1877.4)</f>
        <v>1877.4</v>
      </c>
      <c r="F312" s="1">
        <f>IFERROR(__xludf.DUMMYFUNCTION("""COMPUTED_VALUE"""),151.0)</f>
        <v>151</v>
      </c>
    </row>
    <row r="313">
      <c r="A313" s="2">
        <f>IFERROR(__xludf.DUMMYFUNCTION("""COMPUTED_VALUE"""),42384.64583333333)</f>
        <v>42384.64583</v>
      </c>
      <c r="B313" s="1">
        <f>IFERROR(__xludf.DUMMYFUNCTION("""COMPUTED_VALUE"""),1877.4)</f>
        <v>1877.4</v>
      </c>
      <c r="C313" s="1">
        <f>IFERROR(__xludf.DUMMYFUNCTION("""COMPUTED_VALUE"""),1896.13)</f>
        <v>1896.13</v>
      </c>
      <c r="D313" s="1">
        <f>IFERROR(__xludf.DUMMYFUNCTION("""COMPUTED_VALUE"""),1877.4)</f>
        <v>1877.4</v>
      </c>
      <c r="E313" s="1">
        <f>IFERROR(__xludf.DUMMYFUNCTION("""COMPUTED_VALUE"""),1896.13)</f>
        <v>1896.13</v>
      </c>
      <c r="F313" s="1">
        <f>IFERROR(__xludf.DUMMYFUNCTION("""COMPUTED_VALUE"""),520.0)</f>
        <v>520</v>
      </c>
    </row>
    <row r="314">
      <c r="A314" s="2">
        <f>IFERROR(__xludf.DUMMYFUNCTION("""COMPUTED_VALUE"""),42387.64583333333)</f>
        <v>42387.64583</v>
      </c>
      <c r="B314" s="1">
        <f>IFERROR(__xludf.DUMMYFUNCTION("""COMPUTED_VALUE"""),1891.45)</f>
        <v>1891.45</v>
      </c>
      <c r="C314" s="1">
        <f>IFERROR(__xludf.DUMMYFUNCTION("""COMPUTED_VALUE"""),1891.45)</f>
        <v>1891.45</v>
      </c>
      <c r="D314" s="1">
        <f>IFERROR(__xludf.DUMMYFUNCTION("""COMPUTED_VALUE"""),1882.09)</f>
        <v>1882.09</v>
      </c>
      <c r="E314" s="1">
        <f>IFERROR(__xludf.DUMMYFUNCTION("""COMPUTED_VALUE"""),1891.45)</f>
        <v>1891.45</v>
      </c>
      <c r="F314" s="1">
        <f>IFERROR(__xludf.DUMMYFUNCTION("""COMPUTED_VALUE"""),201.0)</f>
        <v>201</v>
      </c>
    </row>
    <row r="315">
      <c r="A315" s="2">
        <f>IFERROR(__xludf.DUMMYFUNCTION("""COMPUTED_VALUE"""),42388.64583333333)</f>
        <v>42388.64583</v>
      </c>
      <c r="B315" s="1">
        <f>IFERROR(__xludf.DUMMYFUNCTION("""COMPUTED_VALUE"""),1877.4)</f>
        <v>1877.4</v>
      </c>
      <c r="C315" s="1">
        <f>IFERROR(__xludf.DUMMYFUNCTION("""COMPUTED_VALUE"""),1914.86)</f>
        <v>1914.86</v>
      </c>
      <c r="D315" s="1">
        <f>IFERROR(__xludf.DUMMYFUNCTION("""COMPUTED_VALUE"""),1872.72)</f>
        <v>1872.72</v>
      </c>
      <c r="E315" s="1">
        <f>IFERROR(__xludf.DUMMYFUNCTION("""COMPUTED_VALUE"""),1914.86)</f>
        <v>1914.86</v>
      </c>
      <c r="F315" s="1">
        <f>IFERROR(__xludf.DUMMYFUNCTION("""COMPUTED_VALUE"""),5702.0)</f>
        <v>5702</v>
      </c>
    </row>
    <row r="316">
      <c r="A316" s="2">
        <f>IFERROR(__xludf.DUMMYFUNCTION("""COMPUTED_VALUE"""),42389.64583333333)</f>
        <v>42389.64583</v>
      </c>
      <c r="B316" s="1">
        <f>IFERROR(__xludf.DUMMYFUNCTION("""COMPUTED_VALUE"""),1872.72)</f>
        <v>1872.72</v>
      </c>
      <c r="C316" s="1">
        <f>IFERROR(__xludf.DUMMYFUNCTION("""COMPUTED_VALUE"""),1900.81)</f>
        <v>1900.81</v>
      </c>
      <c r="D316" s="1">
        <f>IFERROR(__xludf.DUMMYFUNCTION("""COMPUTED_VALUE"""),1872.72)</f>
        <v>1872.72</v>
      </c>
      <c r="E316" s="1">
        <f>IFERROR(__xludf.DUMMYFUNCTION("""COMPUTED_VALUE"""),1900.81)</f>
        <v>1900.81</v>
      </c>
      <c r="F316" s="1">
        <f>IFERROR(__xludf.DUMMYFUNCTION("""COMPUTED_VALUE"""),5802.0)</f>
        <v>5802</v>
      </c>
    </row>
    <row r="317">
      <c r="A317" s="2">
        <f>IFERROR(__xludf.DUMMYFUNCTION("""COMPUTED_VALUE"""),42390.64583333333)</f>
        <v>42390.64583</v>
      </c>
      <c r="B317" s="1">
        <f>IFERROR(__xludf.DUMMYFUNCTION("""COMPUTED_VALUE"""),1872.72)</f>
        <v>1872.72</v>
      </c>
      <c r="C317" s="1">
        <f>IFERROR(__xludf.DUMMYFUNCTION("""COMPUTED_VALUE"""),1896.13)</f>
        <v>1896.13</v>
      </c>
      <c r="D317" s="1">
        <f>IFERROR(__xludf.DUMMYFUNCTION("""COMPUTED_VALUE"""),1868.04)</f>
        <v>1868.04</v>
      </c>
      <c r="E317" s="1">
        <f>IFERROR(__xludf.DUMMYFUNCTION("""COMPUTED_VALUE"""),1896.13)</f>
        <v>1896.13</v>
      </c>
      <c r="F317" s="1">
        <f>IFERROR(__xludf.DUMMYFUNCTION("""COMPUTED_VALUE"""),571.0)</f>
        <v>571</v>
      </c>
    </row>
    <row r="318">
      <c r="A318" s="2">
        <f>IFERROR(__xludf.DUMMYFUNCTION("""COMPUTED_VALUE"""),42391.64583333333)</f>
        <v>42391.64583</v>
      </c>
      <c r="B318" s="1">
        <f>IFERROR(__xludf.DUMMYFUNCTION("""COMPUTED_VALUE"""),1872.72)</f>
        <v>1872.72</v>
      </c>
      <c r="C318" s="1">
        <f>IFERROR(__xludf.DUMMYFUNCTION("""COMPUTED_VALUE"""),1896.13)</f>
        <v>1896.13</v>
      </c>
      <c r="D318" s="1">
        <f>IFERROR(__xludf.DUMMYFUNCTION("""COMPUTED_VALUE"""),1872.72)</f>
        <v>1872.72</v>
      </c>
      <c r="E318" s="1">
        <f>IFERROR(__xludf.DUMMYFUNCTION("""COMPUTED_VALUE"""),1896.13)</f>
        <v>1896.13</v>
      </c>
      <c r="F318" s="1">
        <f>IFERROR(__xludf.DUMMYFUNCTION("""COMPUTED_VALUE"""),4.0)</f>
        <v>4</v>
      </c>
    </row>
    <row r="319">
      <c r="A319" s="2">
        <f>IFERROR(__xludf.DUMMYFUNCTION("""COMPUTED_VALUE"""),42394.64583333333)</f>
        <v>42394.64583</v>
      </c>
      <c r="B319" s="1">
        <f>IFERROR(__xludf.DUMMYFUNCTION("""COMPUTED_VALUE"""),1872.72)</f>
        <v>1872.72</v>
      </c>
      <c r="C319" s="1">
        <f>IFERROR(__xludf.DUMMYFUNCTION("""COMPUTED_VALUE"""),1896.13)</f>
        <v>1896.13</v>
      </c>
      <c r="D319" s="1">
        <f>IFERROR(__xludf.DUMMYFUNCTION("""COMPUTED_VALUE"""),1868.04)</f>
        <v>1868.04</v>
      </c>
      <c r="E319" s="1">
        <f>IFERROR(__xludf.DUMMYFUNCTION("""COMPUTED_VALUE"""),1891.45)</f>
        <v>1891.45</v>
      </c>
      <c r="F319" s="1">
        <f>IFERROR(__xludf.DUMMYFUNCTION("""COMPUTED_VALUE"""),1358.0)</f>
        <v>1358</v>
      </c>
    </row>
    <row r="320">
      <c r="A320" s="2">
        <f>IFERROR(__xludf.DUMMYFUNCTION("""COMPUTED_VALUE"""),42395.64583333333)</f>
        <v>42395.64583</v>
      </c>
      <c r="B320" s="1">
        <f>IFERROR(__xludf.DUMMYFUNCTION("""COMPUTED_VALUE"""),1891.45)</f>
        <v>1891.45</v>
      </c>
      <c r="C320" s="1">
        <f>IFERROR(__xludf.DUMMYFUNCTION("""COMPUTED_VALUE"""),1891.45)</f>
        <v>1891.45</v>
      </c>
      <c r="D320" s="1">
        <f>IFERROR(__xludf.DUMMYFUNCTION("""COMPUTED_VALUE"""),1877.4)</f>
        <v>1877.4</v>
      </c>
      <c r="E320" s="1">
        <f>IFERROR(__xludf.DUMMYFUNCTION("""COMPUTED_VALUE"""),1886.77)</f>
        <v>1886.77</v>
      </c>
      <c r="F320" s="1">
        <f>IFERROR(__xludf.DUMMYFUNCTION("""COMPUTED_VALUE"""),101.0)</f>
        <v>101</v>
      </c>
    </row>
    <row r="321">
      <c r="A321" s="2">
        <f>IFERROR(__xludf.DUMMYFUNCTION("""COMPUTED_VALUE"""),42396.64583333333)</f>
        <v>42396.64583</v>
      </c>
      <c r="B321" s="1">
        <f>IFERROR(__xludf.DUMMYFUNCTION("""COMPUTED_VALUE"""),1882.09)</f>
        <v>1882.09</v>
      </c>
      <c r="C321" s="1">
        <f>IFERROR(__xludf.DUMMYFUNCTION("""COMPUTED_VALUE"""),1886.77)</f>
        <v>1886.77</v>
      </c>
      <c r="D321" s="1">
        <f>IFERROR(__xludf.DUMMYFUNCTION("""COMPUTED_VALUE"""),1877.4)</f>
        <v>1877.4</v>
      </c>
      <c r="E321" s="1">
        <f>IFERROR(__xludf.DUMMYFUNCTION("""COMPUTED_VALUE"""),1886.77)</f>
        <v>1886.77</v>
      </c>
      <c r="F321" s="1">
        <f>IFERROR(__xludf.DUMMYFUNCTION("""COMPUTED_VALUE"""),3805.0)</f>
        <v>3805</v>
      </c>
    </row>
    <row r="322">
      <c r="A322" s="2">
        <f>IFERROR(__xludf.DUMMYFUNCTION("""COMPUTED_VALUE"""),42397.64583333333)</f>
        <v>42397.64583</v>
      </c>
      <c r="B322" s="1">
        <f>IFERROR(__xludf.DUMMYFUNCTION("""COMPUTED_VALUE"""),1872.72)</f>
        <v>1872.72</v>
      </c>
      <c r="C322" s="1">
        <f>IFERROR(__xludf.DUMMYFUNCTION("""COMPUTED_VALUE"""),1886.77)</f>
        <v>1886.77</v>
      </c>
      <c r="D322" s="1">
        <f>IFERROR(__xludf.DUMMYFUNCTION("""COMPUTED_VALUE"""),1872.72)</f>
        <v>1872.72</v>
      </c>
      <c r="E322" s="1">
        <f>IFERROR(__xludf.DUMMYFUNCTION("""COMPUTED_VALUE"""),1886.77)</f>
        <v>1886.77</v>
      </c>
      <c r="F322" s="1">
        <f>IFERROR(__xludf.DUMMYFUNCTION("""COMPUTED_VALUE"""),1445.0)</f>
        <v>1445</v>
      </c>
    </row>
    <row r="323">
      <c r="A323" s="2">
        <f>IFERROR(__xludf.DUMMYFUNCTION("""COMPUTED_VALUE"""),42398.64583333333)</f>
        <v>42398.64583</v>
      </c>
      <c r="B323" s="1">
        <f>IFERROR(__xludf.DUMMYFUNCTION("""COMPUTED_VALUE"""),1877.4)</f>
        <v>1877.4</v>
      </c>
      <c r="C323" s="1">
        <f>IFERROR(__xludf.DUMMYFUNCTION("""COMPUTED_VALUE"""),1966.36)</f>
        <v>1966.36</v>
      </c>
      <c r="D323" s="1">
        <f>IFERROR(__xludf.DUMMYFUNCTION("""COMPUTED_VALUE"""),1877.4)</f>
        <v>1877.4</v>
      </c>
      <c r="E323" s="1">
        <f>IFERROR(__xludf.DUMMYFUNCTION("""COMPUTED_VALUE"""),1952.31)</f>
        <v>1952.31</v>
      </c>
      <c r="F323" s="1">
        <f>IFERROR(__xludf.DUMMYFUNCTION("""COMPUTED_VALUE"""),9788.0)</f>
        <v>9788</v>
      </c>
    </row>
    <row r="324">
      <c r="A324" s="2">
        <f>IFERROR(__xludf.DUMMYFUNCTION("""COMPUTED_VALUE"""),42401.64583333333)</f>
        <v>42401.64583</v>
      </c>
      <c r="B324" s="1">
        <f>IFERROR(__xludf.DUMMYFUNCTION("""COMPUTED_VALUE"""),1928.9)</f>
        <v>1928.9</v>
      </c>
      <c r="C324" s="1">
        <f>IFERROR(__xludf.DUMMYFUNCTION("""COMPUTED_VALUE"""),1942.95)</f>
        <v>1942.95</v>
      </c>
      <c r="D324" s="1">
        <f>IFERROR(__xludf.DUMMYFUNCTION("""COMPUTED_VALUE"""),1877.4)</f>
        <v>1877.4</v>
      </c>
      <c r="E324" s="1">
        <f>IFERROR(__xludf.DUMMYFUNCTION("""COMPUTED_VALUE"""),1942.95)</f>
        <v>1942.95</v>
      </c>
      <c r="F324" s="1">
        <f>IFERROR(__xludf.DUMMYFUNCTION("""COMPUTED_VALUE"""),2342.0)</f>
        <v>2342</v>
      </c>
    </row>
    <row r="325">
      <c r="A325" s="2">
        <f>IFERROR(__xludf.DUMMYFUNCTION("""COMPUTED_VALUE"""),42402.64583333333)</f>
        <v>42402.64583</v>
      </c>
      <c r="B325" s="1">
        <f>IFERROR(__xludf.DUMMYFUNCTION("""COMPUTED_VALUE"""),1919.54)</f>
        <v>1919.54</v>
      </c>
      <c r="C325" s="1">
        <f>IFERROR(__xludf.DUMMYFUNCTION("""COMPUTED_VALUE"""),1924.22)</f>
        <v>1924.22</v>
      </c>
      <c r="D325" s="1">
        <f>IFERROR(__xludf.DUMMYFUNCTION("""COMPUTED_VALUE"""),1891.45)</f>
        <v>1891.45</v>
      </c>
      <c r="E325" s="1">
        <f>IFERROR(__xludf.DUMMYFUNCTION("""COMPUTED_VALUE"""),1919.54)</f>
        <v>1919.54</v>
      </c>
      <c r="F325" s="1">
        <f>IFERROR(__xludf.DUMMYFUNCTION("""COMPUTED_VALUE"""),32.0)</f>
        <v>32</v>
      </c>
    </row>
    <row r="326">
      <c r="A326" s="2">
        <f>IFERROR(__xludf.DUMMYFUNCTION("""COMPUTED_VALUE"""),42404.64583333333)</f>
        <v>42404.64583</v>
      </c>
      <c r="B326" s="1">
        <f>IFERROR(__xludf.DUMMYFUNCTION("""COMPUTED_VALUE"""),1877.4)</f>
        <v>1877.4</v>
      </c>
      <c r="C326" s="1">
        <f>IFERROR(__xludf.DUMMYFUNCTION("""COMPUTED_VALUE"""),1938.27)</f>
        <v>1938.27</v>
      </c>
      <c r="D326" s="1">
        <f>IFERROR(__xludf.DUMMYFUNCTION("""COMPUTED_VALUE"""),1872.72)</f>
        <v>1872.72</v>
      </c>
      <c r="E326" s="1">
        <f>IFERROR(__xludf.DUMMYFUNCTION("""COMPUTED_VALUE"""),1914.86)</f>
        <v>1914.86</v>
      </c>
      <c r="F326" s="1">
        <f>IFERROR(__xludf.DUMMYFUNCTION("""COMPUTED_VALUE"""),5595.0)</f>
        <v>5595</v>
      </c>
    </row>
    <row r="327">
      <c r="A327" s="2">
        <f>IFERROR(__xludf.DUMMYFUNCTION("""COMPUTED_VALUE"""),42405.64583333333)</f>
        <v>42405.64583</v>
      </c>
      <c r="B327" s="1">
        <f>IFERROR(__xludf.DUMMYFUNCTION("""COMPUTED_VALUE"""),1877.4)</f>
        <v>1877.4</v>
      </c>
      <c r="C327" s="1">
        <f>IFERROR(__xludf.DUMMYFUNCTION("""COMPUTED_VALUE"""),1877.4)</f>
        <v>1877.4</v>
      </c>
      <c r="D327" s="1">
        <f>IFERROR(__xludf.DUMMYFUNCTION("""COMPUTED_VALUE"""),1877.4)</f>
        <v>1877.4</v>
      </c>
      <c r="E327" s="1">
        <f>IFERROR(__xludf.DUMMYFUNCTION("""COMPUTED_VALUE"""),1877.4)</f>
        <v>1877.4</v>
      </c>
      <c r="F327" s="1">
        <f>IFERROR(__xludf.DUMMYFUNCTION("""COMPUTED_VALUE"""),15.0)</f>
        <v>15</v>
      </c>
    </row>
    <row r="328">
      <c r="A328" s="2">
        <f>IFERROR(__xludf.DUMMYFUNCTION("""COMPUTED_VALUE"""),42411.64583333333)</f>
        <v>42411.64583</v>
      </c>
      <c r="B328" s="1">
        <f>IFERROR(__xludf.DUMMYFUNCTION("""COMPUTED_VALUE"""),1872.72)</f>
        <v>1872.72</v>
      </c>
      <c r="C328" s="1">
        <f>IFERROR(__xludf.DUMMYFUNCTION("""COMPUTED_VALUE"""),1882.09)</f>
        <v>1882.09</v>
      </c>
      <c r="D328" s="1">
        <f>IFERROR(__xludf.DUMMYFUNCTION("""COMPUTED_VALUE"""),1872.72)</f>
        <v>1872.72</v>
      </c>
      <c r="E328" s="1">
        <f>IFERROR(__xludf.DUMMYFUNCTION("""COMPUTED_VALUE"""),1877.4)</f>
        <v>1877.4</v>
      </c>
      <c r="F328" s="1">
        <f>IFERROR(__xludf.DUMMYFUNCTION("""COMPUTED_VALUE"""),1859.0)</f>
        <v>1859</v>
      </c>
    </row>
    <row r="329">
      <c r="A329" s="2">
        <f>IFERROR(__xludf.DUMMYFUNCTION("""COMPUTED_VALUE"""),42412.64583333333)</f>
        <v>42412.64583</v>
      </c>
      <c r="B329" s="1">
        <f>IFERROR(__xludf.DUMMYFUNCTION("""COMPUTED_VALUE"""),1882.09)</f>
        <v>1882.09</v>
      </c>
      <c r="C329" s="1">
        <f>IFERROR(__xludf.DUMMYFUNCTION("""COMPUTED_VALUE"""),1896.13)</f>
        <v>1896.13</v>
      </c>
      <c r="D329" s="1">
        <f>IFERROR(__xludf.DUMMYFUNCTION("""COMPUTED_VALUE"""),1872.72)</f>
        <v>1872.72</v>
      </c>
      <c r="E329" s="1">
        <f>IFERROR(__xludf.DUMMYFUNCTION("""COMPUTED_VALUE"""),1896.13)</f>
        <v>1896.13</v>
      </c>
      <c r="F329" s="1">
        <f>IFERROR(__xludf.DUMMYFUNCTION("""COMPUTED_VALUE"""),9839.0)</f>
        <v>9839</v>
      </c>
    </row>
    <row r="330">
      <c r="A330" s="2">
        <f>IFERROR(__xludf.DUMMYFUNCTION("""COMPUTED_VALUE"""),42415.64583333333)</f>
        <v>42415.64583</v>
      </c>
      <c r="B330" s="1">
        <f>IFERROR(__xludf.DUMMYFUNCTION("""COMPUTED_VALUE"""),1872.72)</f>
        <v>1872.72</v>
      </c>
      <c r="C330" s="1">
        <f>IFERROR(__xludf.DUMMYFUNCTION("""COMPUTED_VALUE"""),1896.13)</f>
        <v>1896.13</v>
      </c>
      <c r="D330" s="1">
        <f>IFERROR(__xludf.DUMMYFUNCTION("""COMPUTED_VALUE"""),1872.72)</f>
        <v>1872.72</v>
      </c>
      <c r="E330" s="1">
        <f>IFERROR(__xludf.DUMMYFUNCTION("""COMPUTED_VALUE"""),1896.13)</f>
        <v>1896.13</v>
      </c>
      <c r="F330" s="1">
        <f>IFERROR(__xludf.DUMMYFUNCTION("""COMPUTED_VALUE"""),2218.0)</f>
        <v>2218</v>
      </c>
    </row>
    <row r="331">
      <c r="A331" s="2">
        <f>IFERROR(__xludf.DUMMYFUNCTION("""COMPUTED_VALUE"""),42416.64583333333)</f>
        <v>42416.64583</v>
      </c>
      <c r="B331" s="1">
        <f>IFERROR(__xludf.DUMMYFUNCTION("""COMPUTED_VALUE"""),1872.72)</f>
        <v>1872.72</v>
      </c>
      <c r="C331" s="1">
        <f>IFERROR(__xludf.DUMMYFUNCTION("""COMPUTED_VALUE"""),1872.72)</f>
        <v>1872.72</v>
      </c>
      <c r="D331" s="1">
        <f>IFERROR(__xludf.DUMMYFUNCTION("""COMPUTED_VALUE"""),1872.72)</f>
        <v>1872.72</v>
      </c>
      <c r="E331" s="1">
        <f>IFERROR(__xludf.DUMMYFUNCTION("""COMPUTED_VALUE"""),1872.72)</f>
        <v>1872.72</v>
      </c>
      <c r="F331" s="1">
        <f>IFERROR(__xludf.DUMMYFUNCTION("""COMPUTED_VALUE"""),3928.0)</f>
        <v>3928</v>
      </c>
    </row>
    <row r="332">
      <c r="A332" s="2">
        <f>IFERROR(__xludf.DUMMYFUNCTION("""COMPUTED_VALUE"""),42417.64583333333)</f>
        <v>42417.64583</v>
      </c>
      <c r="B332" s="1">
        <f>IFERROR(__xludf.DUMMYFUNCTION("""COMPUTED_VALUE"""),1886.77)</f>
        <v>1886.77</v>
      </c>
      <c r="C332" s="1">
        <f>IFERROR(__xludf.DUMMYFUNCTION("""COMPUTED_VALUE"""),1886.77)</f>
        <v>1886.77</v>
      </c>
      <c r="D332" s="1">
        <f>IFERROR(__xludf.DUMMYFUNCTION("""COMPUTED_VALUE"""),1872.72)</f>
        <v>1872.72</v>
      </c>
      <c r="E332" s="1">
        <f>IFERROR(__xludf.DUMMYFUNCTION("""COMPUTED_VALUE"""),1872.72)</f>
        <v>1872.72</v>
      </c>
      <c r="F332" s="1">
        <f>IFERROR(__xludf.DUMMYFUNCTION("""COMPUTED_VALUE"""),3480.0)</f>
        <v>3480</v>
      </c>
    </row>
    <row r="333">
      <c r="A333" s="2">
        <f>IFERROR(__xludf.DUMMYFUNCTION("""COMPUTED_VALUE"""),42418.64583333333)</f>
        <v>42418.64583</v>
      </c>
      <c r="B333" s="1">
        <f>IFERROR(__xludf.DUMMYFUNCTION("""COMPUTED_VALUE"""),1868.04)</f>
        <v>1868.04</v>
      </c>
      <c r="C333" s="1">
        <f>IFERROR(__xludf.DUMMYFUNCTION("""COMPUTED_VALUE"""),1886.77)</f>
        <v>1886.77</v>
      </c>
      <c r="D333" s="1">
        <f>IFERROR(__xludf.DUMMYFUNCTION("""COMPUTED_VALUE"""),1868.04)</f>
        <v>1868.04</v>
      </c>
      <c r="E333" s="1">
        <f>IFERROR(__xludf.DUMMYFUNCTION("""COMPUTED_VALUE"""),1872.72)</f>
        <v>1872.72</v>
      </c>
      <c r="F333" s="1">
        <f>IFERROR(__xludf.DUMMYFUNCTION("""COMPUTED_VALUE"""),18099.0)</f>
        <v>18099</v>
      </c>
    </row>
    <row r="334">
      <c r="A334" s="2">
        <f>IFERROR(__xludf.DUMMYFUNCTION("""COMPUTED_VALUE"""),42419.64583333333)</f>
        <v>42419.64583</v>
      </c>
      <c r="B334" s="1">
        <f>IFERROR(__xludf.DUMMYFUNCTION("""COMPUTED_VALUE"""),1863.36)</f>
        <v>1863.36</v>
      </c>
      <c r="C334" s="1">
        <f>IFERROR(__xludf.DUMMYFUNCTION("""COMPUTED_VALUE"""),1872.72)</f>
        <v>1872.72</v>
      </c>
      <c r="D334" s="1">
        <f>IFERROR(__xludf.DUMMYFUNCTION("""COMPUTED_VALUE"""),1863.36)</f>
        <v>1863.36</v>
      </c>
      <c r="E334" s="1">
        <f>IFERROR(__xludf.DUMMYFUNCTION("""COMPUTED_VALUE"""),1872.72)</f>
        <v>1872.72</v>
      </c>
      <c r="F334" s="1">
        <f>IFERROR(__xludf.DUMMYFUNCTION("""COMPUTED_VALUE"""),4701.0)</f>
        <v>4701</v>
      </c>
    </row>
    <row r="335">
      <c r="A335" s="2">
        <f>IFERROR(__xludf.DUMMYFUNCTION("""COMPUTED_VALUE"""),42422.64583333333)</f>
        <v>42422.64583</v>
      </c>
      <c r="B335" s="1">
        <f>IFERROR(__xludf.DUMMYFUNCTION("""COMPUTED_VALUE"""),1868.04)</f>
        <v>1868.04</v>
      </c>
      <c r="C335" s="1">
        <f>IFERROR(__xludf.DUMMYFUNCTION("""COMPUTED_VALUE"""),1872.72)</f>
        <v>1872.72</v>
      </c>
      <c r="D335" s="1">
        <f>IFERROR(__xludf.DUMMYFUNCTION("""COMPUTED_VALUE"""),1868.04)</f>
        <v>1868.04</v>
      </c>
      <c r="E335" s="1">
        <f>IFERROR(__xludf.DUMMYFUNCTION("""COMPUTED_VALUE"""),1868.04)</f>
        <v>1868.04</v>
      </c>
      <c r="F335" s="1">
        <f>IFERROR(__xludf.DUMMYFUNCTION("""COMPUTED_VALUE"""),661.0)</f>
        <v>661</v>
      </c>
    </row>
    <row r="336">
      <c r="A336" s="2">
        <f>IFERROR(__xludf.DUMMYFUNCTION("""COMPUTED_VALUE"""),42423.64583333333)</f>
        <v>42423.64583</v>
      </c>
      <c r="B336" s="1">
        <f>IFERROR(__xludf.DUMMYFUNCTION("""COMPUTED_VALUE"""),1872.72)</f>
        <v>1872.72</v>
      </c>
      <c r="C336" s="1">
        <f>IFERROR(__xludf.DUMMYFUNCTION("""COMPUTED_VALUE"""),1872.72)</f>
        <v>1872.72</v>
      </c>
      <c r="D336" s="1">
        <f>IFERROR(__xludf.DUMMYFUNCTION("""COMPUTED_VALUE"""),1868.04)</f>
        <v>1868.04</v>
      </c>
      <c r="E336" s="1">
        <f>IFERROR(__xludf.DUMMYFUNCTION("""COMPUTED_VALUE"""),1868.04)</f>
        <v>1868.04</v>
      </c>
      <c r="F336" s="1">
        <f>IFERROR(__xludf.DUMMYFUNCTION("""COMPUTED_VALUE"""),5282.0)</f>
        <v>5282</v>
      </c>
    </row>
    <row r="337">
      <c r="A337" s="2">
        <f>IFERROR(__xludf.DUMMYFUNCTION("""COMPUTED_VALUE"""),42424.64583333333)</f>
        <v>42424.64583</v>
      </c>
      <c r="B337" s="1">
        <f>IFERROR(__xludf.DUMMYFUNCTION("""COMPUTED_VALUE"""),1863.36)</f>
        <v>1863.36</v>
      </c>
      <c r="C337" s="1">
        <f>IFERROR(__xludf.DUMMYFUNCTION("""COMPUTED_VALUE"""),1872.72)</f>
        <v>1872.72</v>
      </c>
      <c r="D337" s="1">
        <f>IFERROR(__xludf.DUMMYFUNCTION("""COMPUTED_VALUE"""),1863.36)</f>
        <v>1863.36</v>
      </c>
      <c r="E337" s="1">
        <f>IFERROR(__xludf.DUMMYFUNCTION("""COMPUTED_VALUE"""),1872.72)</f>
        <v>1872.72</v>
      </c>
      <c r="F337" s="1">
        <f>IFERROR(__xludf.DUMMYFUNCTION("""COMPUTED_VALUE"""),2601.0)</f>
        <v>2601</v>
      </c>
    </row>
    <row r="338">
      <c r="A338" s="2">
        <f>IFERROR(__xludf.DUMMYFUNCTION("""COMPUTED_VALUE"""),42425.64583333333)</f>
        <v>42425.64583</v>
      </c>
      <c r="B338" s="1">
        <f>IFERROR(__xludf.DUMMYFUNCTION("""COMPUTED_VALUE"""),1863.36)</f>
        <v>1863.36</v>
      </c>
      <c r="C338" s="1">
        <f>IFERROR(__xludf.DUMMYFUNCTION("""COMPUTED_VALUE"""),1868.04)</f>
        <v>1868.04</v>
      </c>
      <c r="D338" s="1">
        <f>IFERROR(__xludf.DUMMYFUNCTION("""COMPUTED_VALUE"""),1863.36)</f>
        <v>1863.36</v>
      </c>
      <c r="E338" s="1">
        <f>IFERROR(__xludf.DUMMYFUNCTION("""COMPUTED_VALUE"""),1868.04)</f>
        <v>1868.04</v>
      </c>
      <c r="F338" s="1">
        <f>IFERROR(__xludf.DUMMYFUNCTION("""COMPUTED_VALUE"""),844.0)</f>
        <v>844</v>
      </c>
    </row>
    <row r="339">
      <c r="A339" s="2">
        <f>IFERROR(__xludf.DUMMYFUNCTION("""COMPUTED_VALUE"""),42426.64583333333)</f>
        <v>42426.64583</v>
      </c>
      <c r="B339" s="1">
        <f>IFERROR(__xludf.DUMMYFUNCTION("""COMPUTED_VALUE"""),1872.72)</f>
        <v>1872.72</v>
      </c>
      <c r="C339" s="1">
        <f>IFERROR(__xludf.DUMMYFUNCTION("""COMPUTED_VALUE"""),1872.72)</f>
        <v>1872.72</v>
      </c>
      <c r="D339" s="1">
        <f>IFERROR(__xludf.DUMMYFUNCTION("""COMPUTED_VALUE"""),1863.36)</f>
        <v>1863.36</v>
      </c>
      <c r="E339" s="1">
        <f>IFERROR(__xludf.DUMMYFUNCTION("""COMPUTED_VALUE"""),1868.04)</f>
        <v>1868.04</v>
      </c>
      <c r="F339" s="1">
        <f>IFERROR(__xludf.DUMMYFUNCTION("""COMPUTED_VALUE"""),2066.0)</f>
        <v>2066</v>
      </c>
    </row>
    <row r="340">
      <c r="A340" s="2">
        <f>IFERROR(__xludf.DUMMYFUNCTION("""COMPUTED_VALUE"""),42429.64583333333)</f>
        <v>42429.64583</v>
      </c>
      <c r="B340" s="1">
        <f>IFERROR(__xludf.DUMMYFUNCTION("""COMPUTED_VALUE"""),1868.04)</f>
        <v>1868.04</v>
      </c>
      <c r="C340" s="1">
        <f>IFERROR(__xludf.DUMMYFUNCTION("""COMPUTED_VALUE"""),1868.04)</f>
        <v>1868.04</v>
      </c>
      <c r="D340" s="1">
        <f>IFERROR(__xludf.DUMMYFUNCTION("""COMPUTED_VALUE"""),1863.36)</f>
        <v>1863.36</v>
      </c>
      <c r="E340" s="1">
        <f>IFERROR(__xludf.DUMMYFUNCTION("""COMPUTED_VALUE"""),1863.36)</f>
        <v>1863.36</v>
      </c>
      <c r="F340" s="1">
        <f>IFERROR(__xludf.DUMMYFUNCTION("""COMPUTED_VALUE"""),3237.0)</f>
        <v>3237</v>
      </c>
    </row>
    <row r="341">
      <c r="A341" s="2">
        <f>IFERROR(__xludf.DUMMYFUNCTION("""COMPUTED_VALUE"""),42431.64583333333)</f>
        <v>42431.64583</v>
      </c>
      <c r="B341" s="1">
        <f>IFERROR(__xludf.DUMMYFUNCTION("""COMPUTED_VALUE"""),1868.04)</f>
        <v>1868.04</v>
      </c>
      <c r="C341" s="1">
        <f>IFERROR(__xludf.DUMMYFUNCTION("""COMPUTED_VALUE"""),1872.72)</f>
        <v>1872.72</v>
      </c>
      <c r="D341" s="1">
        <f>IFERROR(__xludf.DUMMYFUNCTION("""COMPUTED_VALUE"""),1853.99)</f>
        <v>1853.99</v>
      </c>
      <c r="E341" s="1">
        <f>IFERROR(__xludf.DUMMYFUNCTION("""COMPUTED_VALUE"""),1872.72)</f>
        <v>1872.72</v>
      </c>
      <c r="F341" s="1">
        <f>IFERROR(__xludf.DUMMYFUNCTION("""COMPUTED_VALUE"""),1188.0)</f>
        <v>1188</v>
      </c>
    </row>
    <row r="342">
      <c r="A342" s="2">
        <f>IFERROR(__xludf.DUMMYFUNCTION("""COMPUTED_VALUE"""),42432.64583333333)</f>
        <v>42432.64583</v>
      </c>
      <c r="B342" s="1">
        <f>IFERROR(__xludf.DUMMYFUNCTION("""COMPUTED_VALUE"""),1863.36)</f>
        <v>1863.36</v>
      </c>
      <c r="C342" s="1">
        <f>IFERROR(__xludf.DUMMYFUNCTION("""COMPUTED_VALUE"""),1863.36)</f>
        <v>1863.36</v>
      </c>
      <c r="D342" s="1">
        <f>IFERROR(__xludf.DUMMYFUNCTION("""COMPUTED_VALUE"""),1853.99)</f>
        <v>1853.99</v>
      </c>
      <c r="E342" s="1">
        <f>IFERROR(__xludf.DUMMYFUNCTION("""COMPUTED_VALUE"""),1853.99)</f>
        <v>1853.99</v>
      </c>
      <c r="F342" s="1">
        <f>IFERROR(__xludf.DUMMYFUNCTION("""COMPUTED_VALUE"""),9735.0)</f>
        <v>9735</v>
      </c>
    </row>
    <row r="343">
      <c r="A343" s="2">
        <f>IFERROR(__xludf.DUMMYFUNCTION("""COMPUTED_VALUE"""),42433.64583333333)</f>
        <v>42433.64583</v>
      </c>
      <c r="B343" s="1">
        <f>IFERROR(__xludf.DUMMYFUNCTION("""COMPUTED_VALUE"""),1858.68)</f>
        <v>1858.68</v>
      </c>
      <c r="C343" s="1">
        <f>IFERROR(__xludf.DUMMYFUNCTION("""COMPUTED_VALUE"""),1872.72)</f>
        <v>1872.72</v>
      </c>
      <c r="D343" s="1">
        <f>IFERROR(__xludf.DUMMYFUNCTION("""COMPUTED_VALUE"""),1853.99)</f>
        <v>1853.99</v>
      </c>
      <c r="E343" s="1">
        <f>IFERROR(__xludf.DUMMYFUNCTION("""COMPUTED_VALUE"""),1872.72)</f>
        <v>1872.72</v>
      </c>
      <c r="F343" s="1">
        <f>IFERROR(__xludf.DUMMYFUNCTION("""COMPUTED_VALUE"""),9419.0)</f>
        <v>9419</v>
      </c>
    </row>
    <row r="344">
      <c r="A344" s="2">
        <f>IFERROR(__xludf.DUMMYFUNCTION("""COMPUTED_VALUE"""),42436.64583333333)</f>
        <v>42436.64583</v>
      </c>
      <c r="B344" s="1">
        <f>IFERROR(__xludf.DUMMYFUNCTION("""COMPUTED_VALUE"""),1886.77)</f>
        <v>1886.77</v>
      </c>
      <c r="C344" s="1">
        <f>IFERROR(__xludf.DUMMYFUNCTION("""COMPUTED_VALUE"""),1886.77)</f>
        <v>1886.77</v>
      </c>
      <c r="D344" s="1">
        <f>IFERROR(__xludf.DUMMYFUNCTION("""COMPUTED_VALUE"""),1849.31)</f>
        <v>1849.31</v>
      </c>
      <c r="E344" s="1">
        <f>IFERROR(__xludf.DUMMYFUNCTION("""COMPUTED_VALUE"""),1849.31)</f>
        <v>1849.31</v>
      </c>
      <c r="F344" s="1">
        <f>IFERROR(__xludf.DUMMYFUNCTION("""COMPUTED_VALUE"""),2429.0)</f>
        <v>2429</v>
      </c>
    </row>
    <row r="345">
      <c r="A345" s="2">
        <f>IFERROR(__xludf.DUMMYFUNCTION("""COMPUTED_VALUE"""),42437.64583333333)</f>
        <v>42437.64583</v>
      </c>
      <c r="B345" s="1">
        <f>IFERROR(__xludf.DUMMYFUNCTION("""COMPUTED_VALUE"""),1863.36)</f>
        <v>1863.36</v>
      </c>
      <c r="C345" s="1">
        <f>IFERROR(__xludf.DUMMYFUNCTION("""COMPUTED_VALUE"""),1863.36)</f>
        <v>1863.36</v>
      </c>
      <c r="D345" s="1">
        <f>IFERROR(__xludf.DUMMYFUNCTION("""COMPUTED_VALUE"""),1853.99)</f>
        <v>1853.99</v>
      </c>
      <c r="E345" s="1">
        <f>IFERROR(__xludf.DUMMYFUNCTION("""COMPUTED_VALUE"""),1853.99)</f>
        <v>1853.99</v>
      </c>
      <c r="F345" s="1">
        <f>IFERROR(__xludf.DUMMYFUNCTION("""COMPUTED_VALUE"""),501.0)</f>
        <v>501</v>
      </c>
    </row>
    <row r="346">
      <c r="A346" s="2">
        <f>IFERROR(__xludf.DUMMYFUNCTION("""COMPUTED_VALUE"""),42438.64583333333)</f>
        <v>42438.64583</v>
      </c>
      <c r="B346" s="1">
        <f>IFERROR(__xludf.DUMMYFUNCTION("""COMPUTED_VALUE"""),1868.04)</f>
        <v>1868.04</v>
      </c>
      <c r="C346" s="1">
        <f>IFERROR(__xludf.DUMMYFUNCTION("""COMPUTED_VALUE"""),1868.04)</f>
        <v>1868.04</v>
      </c>
      <c r="D346" s="1">
        <f>IFERROR(__xludf.DUMMYFUNCTION("""COMPUTED_VALUE"""),1853.99)</f>
        <v>1853.99</v>
      </c>
      <c r="E346" s="1">
        <f>IFERROR(__xludf.DUMMYFUNCTION("""COMPUTED_VALUE"""),1853.99)</f>
        <v>1853.99</v>
      </c>
      <c r="F346" s="1">
        <f>IFERROR(__xludf.DUMMYFUNCTION("""COMPUTED_VALUE"""),3252.0)</f>
        <v>3252</v>
      </c>
    </row>
    <row r="347">
      <c r="A347" s="2">
        <f>IFERROR(__xludf.DUMMYFUNCTION("""COMPUTED_VALUE"""),42439.64583333333)</f>
        <v>42439.64583</v>
      </c>
      <c r="B347" s="1">
        <f>IFERROR(__xludf.DUMMYFUNCTION("""COMPUTED_VALUE"""),1858.68)</f>
        <v>1858.68</v>
      </c>
      <c r="C347" s="1">
        <f>IFERROR(__xludf.DUMMYFUNCTION("""COMPUTED_VALUE"""),1863.36)</f>
        <v>1863.36</v>
      </c>
      <c r="D347" s="1">
        <f>IFERROR(__xludf.DUMMYFUNCTION("""COMPUTED_VALUE"""),1858.68)</f>
        <v>1858.68</v>
      </c>
      <c r="E347" s="1">
        <f>IFERROR(__xludf.DUMMYFUNCTION("""COMPUTED_VALUE"""),1863.36)</f>
        <v>1863.36</v>
      </c>
      <c r="F347" s="1">
        <f>IFERROR(__xludf.DUMMYFUNCTION("""COMPUTED_VALUE"""),1614.0)</f>
        <v>1614</v>
      </c>
    </row>
    <row r="348">
      <c r="A348" s="2">
        <f>IFERROR(__xludf.DUMMYFUNCTION("""COMPUTED_VALUE"""),42440.64583333333)</f>
        <v>42440.64583</v>
      </c>
      <c r="B348" s="1">
        <f>IFERROR(__xludf.DUMMYFUNCTION("""COMPUTED_VALUE"""),1868.04)</f>
        <v>1868.04</v>
      </c>
      <c r="C348" s="1">
        <f>IFERROR(__xludf.DUMMYFUNCTION("""COMPUTED_VALUE"""),1877.4)</f>
        <v>1877.4</v>
      </c>
      <c r="D348" s="1">
        <f>IFERROR(__xludf.DUMMYFUNCTION("""COMPUTED_VALUE"""),1868.04)</f>
        <v>1868.04</v>
      </c>
      <c r="E348" s="1">
        <f>IFERROR(__xludf.DUMMYFUNCTION("""COMPUTED_VALUE"""),1872.72)</f>
        <v>1872.72</v>
      </c>
      <c r="F348" s="1">
        <f>IFERROR(__xludf.DUMMYFUNCTION("""COMPUTED_VALUE"""),1300.0)</f>
        <v>1300</v>
      </c>
    </row>
    <row r="349">
      <c r="A349" s="2">
        <f>IFERROR(__xludf.DUMMYFUNCTION("""COMPUTED_VALUE"""),42443.64583333333)</f>
        <v>42443.64583</v>
      </c>
      <c r="B349" s="1">
        <f>IFERROR(__xludf.DUMMYFUNCTION("""COMPUTED_VALUE"""),1872.72)</f>
        <v>1872.72</v>
      </c>
      <c r="C349" s="1">
        <f>IFERROR(__xludf.DUMMYFUNCTION("""COMPUTED_VALUE"""),1872.72)</f>
        <v>1872.72</v>
      </c>
      <c r="D349" s="1">
        <f>IFERROR(__xludf.DUMMYFUNCTION("""COMPUTED_VALUE"""),1872.72)</f>
        <v>1872.72</v>
      </c>
      <c r="E349" s="1">
        <f>IFERROR(__xludf.DUMMYFUNCTION("""COMPUTED_VALUE"""),1872.72)</f>
        <v>1872.72</v>
      </c>
      <c r="F349" s="1">
        <f>IFERROR(__xludf.DUMMYFUNCTION("""COMPUTED_VALUE"""),100.0)</f>
        <v>100</v>
      </c>
    </row>
    <row r="350">
      <c r="A350" s="2">
        <f>IFERROR(__xludf.DUMMYFUNCTION("""COMPUTED_VALUE"""),42444.64583333333)</f>
        <v>42444.64583</v>
      </c>
      <c r="B350" s="1">
        <f>IFERROR(__xludf.DUMMYFUNCTION("""COMPUTED_VALUE"""),1863.36)</f>
        <v>1863.36</v>
      </c>
      <c r="C350" s="1">
        <f>IFERROR(__xludf.DUMMYFUNCTION("""COMPUTED_VALUE"""),1872.72)</f>
        <v>1872.72</v>
      </c>
      <c r="D350" s="1">
        <f>IFERROR(__xludf.DUMMYFUNCTION("""COMPUTED_VALUE"""),1863.36)</f>
        <v>1863.36</v>
      </c>
      <c r="E350" s="1">
        <f>IFERROR(__xludf.DUMMYFUNCTION("""COMPUTED_VALUE"""),1872.72)</f>
        <v>1872.72</v>
      </c>
      <c r="F350" s="1">
        <f>IFERROR(__xludf.DUMMYFUNCTION("""COMPUTED_VALUE"""),1153.0)</f>
        <v>1153</v>
      </c>
    </row>
    <row r="351">
      <c r="A351" s="2">
        <f>IFERROR(__xludf.DUMMYFUNCTION("""COMPUTED_VALUE"""),42445.64583333333)</f>
        <v>42445.64583</v>
      </c>
      <c r="B351" s="1">
        <f>IFERROR(__xludf.DUMMYFUNCTION("""COMPUTED_VALUE"""),1858.68)</f>
        <v>1858.68</v>
      </c>
      <c r="C351" s="1">
        <f>IFERROR(__xludf.DUMMYFUNCTION("""COMPUTED_VALUE"""),1858.68)</f>
        <v>1858.68</v>
      </c>
      <c r="D351" s="1">
        <f>IFERROR(__xludf.DUMMYFUNCTION("""COMPUTED_VALUE"""),1858.68)</f>
        <v>1858.68</v>
      </c>
      <c r="E351" s="1">
        <f>IFERROR(__xludf.DUMMYFUNCTION("""COMPUTED_VALUE"""),1858.68)</f>
        <v>1858.68</v>
      </c>
      <c r="F351" s="1">
        <f>IFERROR(__xludf.DUMMYFUNCTION("""COMPUTED_VALUE"""),1229.0)</f>
        <v>1229</v>
      </c>
    </row>
    <row r="352">
      <c r="A352" s="2">
        <f>IFERROR(__xludf.DUMMYFUNCTION("""COMPUTED_VALUE"""),42446.64583333333)</f>
        <v>42446.64583</v>
      </c>
      <c r="B352" s="1">
        <f>IFERROR(__xludf.DUMMYFUNCTION("""COMPUTED_VALUE"""),1853.99)</f>
        <v>1853.99</v>
      </c>
      <c r="C352" s="1">
        <f>IFERROR(__xludf.DUMMYFUNCTION("""COMPUTED_VALUE"""),1877.4)</f>
        <v>1877.4</v>
      </c>
      <c r="D352" s="1">
        <f>IFERROR(__xludf.DUMMYFUNCTION("""COMPUTED_VALUE"""),1853.99)</f>
        <v>1853.99</v>
      </c>
      <c r="E352" s="1">
        <f>IFERROR(__xludf.DUMMYFUNCTION("""COMPUTED_VALUE"""),1877.4)</f>
        <v>1877.4</v>
      </c>
      <c r="F352" s="1">
        <f>IFERROR(__xludf.DUMMYFUNCTION("""COMPUTED_VALUE"""),503.0)</f>
        <v>503</v>
      </c>
    </row>
    <row r="353">
      <c r="A353" s="2">
        <f>IFERROR(__xludf.DUMMYFUNCTION("""COMPUTED_VALUE"""),42450.64583333333)</f>
        <v>42450.64583</v>
      </c>
      <c r="B353" s="1">
        <f>IFERROR(__xludf.DUMMYFUNCTION("""COMPUTED_VALUE"""),1858.68)</f>
        <v>1858.68</v>
      </c>
      <c r="C353" s="1">
        <f>IFERROR(__xludf.DUMMYFUNCTION("""COMPUTED_VALUE"""),1863.36)</f>
        <v>1863.36</v>
      </c>
      <c r="D353" s="1">
        <f>IFERROR(__xludf.DUMMYFUNCTION("""COMPUTED_VALUE"""),1858.68)</f>
        <v>1858.68</v>
      </c>
      <c r="E353" s="1">
        <f>IFERROR(__xludf.DUMMYFUNCTION("""COMPUTED_VALUE"""),1858.68)</f>
        <v>1858.68</v>
      </c>
      <c r="F353" s="1">
        <f>IFERROR(__xludf.DUMMYFUNCTION("""COMPUTED_VALUE"""),12010.0)</f>
        <v>12010</v>
      </c>
    </row>
    <row r="354">
      <c r="A354" s="2">
        <f>IFERROR(__xludf.DUMMYFUNCTION("""COMPUTED_VALUE"""),42451.64583333333)</f>
        <v>42451.64583</v>
      </c>
      <c r="B354" s="1">
        <f>IFERROR(__xludf.DUMMYFUNCTION("""COMPUTED_VALUE"""),1858.68)</f>
        <v>1858.68</v>
      </c>
      <c r="C354" s="1">
        <f>IFERROR(__xludf.DUMMYFUNCTION("""COMPUTED_VALUE"""),1858.68)</f>
        <v>1858.68</v>
      </c>
      <c r="D354" s="1">
        <f>IFERROR(__xludf.DUMMYFUNCTION("""COMPUTED_VALUE"""),1853.99)</f>
        <v>1853.99</v>
      </c>
      <c r="E354" s="1">
        <f>IFERROR(__xludf.DUMMYFUNCTION("""COMPUTED_VALUE"""),1858.68)</f>
        <v>1858.68</v>
      </c>
      <c r="F354" s="1">
        <f>IFERROR(__xludf.DUMMYFUNCTION("""COMPUTED_VALUE"""),17574.0)</f>
        <v>17574</v>
      </c>
    </row>
    <row r="355">
      <c r="A355" s="2">
        <f>IFERROR(__xludf.DUMMYFUNCTION("""COMPUTED_VALUE"""),42452.64583333333)</f>
        <v>42452.64583</v>
      </c>
      <c r="B355" s="1">
        <f>IFERROR(__xludf.DUMMYFUNCTION("""COMPUTED_VALUE"""),1849.31)</f>
        <v>1849.31</v>
      </c>
      <c r="C355" s="1">
        <f>IFERROR(__xludf.DUMMYFUNCTION("""COMPUTED_VALUE"""),1858.68)</f>
        <v>1858.68</v>
      </c>
      <c r="D355" s="1">
        <f>IFERROR(__xludf.DUMMYFUNCTION("""COMPUTED_VALUE"""),1849.31)</f>
        <v>1849.31</v>
      </c>
      <c r="E355" s="1">
        <f>IFERROR(__xludf.DUMMYFUNCTION("""COMPUTED_VALUE"""),1858.68)</f>
        <v>1858.68</v>
      </c>
      <c r="F355" s="1">
        <f>IFERROR(__xludf.DUMMYFUNCTION("""COMPUTED_VALUE"""),42.0)</f>
        <v>42</v>
      </c>
    </row>
    <row r="356">
      <c r="A356" s="2">
        <f>IFERROR(__xludf.DUMMYFUNCTION("""COMPUTED_VALUE"""),42453.64583333333)</f>
        <v>42453.64583</v>
      </c>
      <c r="B356" s="1">
        <f>IFERROR(__xludf.DUMMYFUNCTION("""COMPUTED_VALUE"""),1839.95)</f>
        <v>1839.95</v>
      </c>
      <c r="C356" s="1">
        <f>IFERROR(__xludf.DUMMYFUNCTION("""COMPUTED_VALUE"""),1882.09)</f>
        <v>1882.09</v>
      </c>
      <c r="D356" s="1">
        <f>IFERROR(__xludf.DUMMYFUNCTION("""COMPUTED_VALUE"""),1839.95)</f>
        <v>1839.95</v>
      </c>
      <c r="E356" s="1">
        <f>IFERROR(__xludf.DUMMYFUNCTION("""COMPUTED_VALUE"""),1882.09)</f>
        <v>1882.09</v>
      </c>
      <c r="F356" s="1">
        <f>IFERROR(__xludf.DUMMYFUNCTION("""COMPUTED_VALUE"""),872.0)</f>
        <v>872</v>
      </c>
    </row>
    <row r="357">
      <c r="A357" s="2">
        <f>IFERROR(__xludf.DUMMYFUNCTION("""COMPUTED_VALUE"""),42454.64583333333)</f>
        <v>42454.64583</v>
      </c>
      <c r="B357" s="1">
        <f>IFERROR(__xludf.DUMMYFUNCTION("""COMPUTED_VALUE"""),1882.09)</f>
        <v>1882.09</v>
      </c>
      <c r="C357" s="1">
        <f>IFERROR(__xludf.DUMMYFUNCTION("""COMPUTED_VALUE"""),1882.09)</f>
        <v>1882.09</v>
      </c>
      <c r="D357" s="1">
        <f>IFERROR(__xludf.DUMMYFUNCTION("""COMPUTED_VALUE"""),1882.09)</f>
        <v>1882.09</v>
      </c>
      <c r="E357" s="1">
        <f>IFERROR(__xludf.DUMMYFUNCTION("""COMPUTED_VALUE"""),1882.09)</f>
        <v>1882.09</v>
      </c>
      <c r="F357" s="1">
        <f>IFERROR(__xludf.DUMMYFUNCTION("""COMPUTED_VALUE"""),14000.0)</f>
        <v>14000</v>
      </c>
    </row>
    <row r="358">
      <c r="A358" s="2">
        <f>IFERROR(__xludf.DUMMYFUNCTION("""COMPUTED_VALUE"""),42457.64583333333)</f>
        <v>42457.64583</v>
      </c>
      <c r="B358" s="1">
        <f>IFERROR(__xludf.DUMMYFUNCTION("""COMPUTED_VALUE"""),1882.09)</f>
        <v>1882.09</v>
      </c>
      <c r="C358" s="1">
        <f>IFERROR(__xludf.DUMMYFUNCTION("""COMPUTED_VALUE"""),1882.09)</f>
        <v>1882.09</v>
      </c>
      <c r="D358" s="1">
        <f>IFERROR(__xludf.DUMMYFUNCTION("""COMPUTED_VALUE"""),1872.72)</f>
        <v>1872.72</v>
      </c>
      <c r="E358" s="1">
        <f>IFERROR(__xludf.DUMMYFUNCTION("""COMPUTED_VALUE"""),1882.09)</f>
        <v>1882.09</v>
      </c>
      <c r="F358" s="1">
        <f>IFERROR(__xludf.DUMMYFUNCTION("""COMPUTED_VALUE"""),11910.0)</f>
        <v>11910</v>
      </c>
    </row>
    <row r="359">
      <c r="A359" s="2">
        <f>IFERROR(__xludf.DUMMYFUNCTION("""COMPUTED_VALUE"""),42458.64583333333)</f>
        <v>42458.64583</v>
      </c>
      <c r="B359" s="1">
        <f>IFERROR(__xludf.DUMMYFUNCTION("""COMPUTED_VALUE"""),1882.09)</f>
        <v>1882.09</v>
      </c>
      <c r="C359" s="1">
        <f>IFERROR(__xludf.DUMMYFUNCTION("""COMPUTED_VALUE"""),1928.9)</f>
        <v>1928.9</v>
      </c>
      <c r="D359" s="1">
        <f>IFERROR(__xludf.DUMMYFUNCTION("""COMPUTED_VALUE"""),1882.09)</f>
        <v>1882.09</v>
      </c>
      <c r="E359" s="1">
        <f>IFERROR(__xludf.DUMMYFUNCTION("""COMPUTED_VALUE"""),1896.13)</f>
        <v>1896.13</v>
      </c>
      <c r="F359" s="1">
        <f>IFERROR(__xludf.DUMMYFUNCTION("""COMPUTED_VALUE"""),11249.0)</f>
        <v>11249</v>
      </c>
    </row>
    <row r="360">
      <c r="A360" s="2">
        <f>IFERROR(__xludf.DUMMYFUNCTION("""COMPUTED_VALUE"""),42459.64583333333)</f>
        <v>42459.64583</v>
      </c>
      <c r="B360" s="1">
        <f>IFERROR(__xludf.DUMMYFUNCTION("""COMPUTED_VALUE"""),1858.68)</f>
        <v>1858.68</v>
      </c>
      <c r="C360" s="1">
        <f>IFERROR(__xludf.DUMMYFUNCTION("""COMPUTED_VALUE"""),1891.45)</f>
        <v>1891.45</v>
      </c>
      <c r="D360" s="1">
        <f>IFERROR(__xludf.DUMMYFUNCTION("""COMPUTED_VALUE"""),1858.68)</f>
        <v>1858.68</v>
      </c>
      <c r="E360" s="1">
        <f>IFERROR(__xludf.DUMMYFUNCTION("""COMPUTED_VALUE"""),1877.4)</f>
        <v>1877.4</v>
      </c>
      <c r="F360" s="1">
        <f>IFERROR(__xludf.DUMMYFUNCTION("""COMPUTED_VALUE"""),1963.0)</f>
        <v>1963</v>
      </c>
    </row>
    <row r="361">
      <c r="A361" s="2">
        <f>IFERROR(__xludf.DUMMYFUNCTION("""COMPUTED_VALUE"""),42460.64583333333)</f>
        <v>42460.64583</v>
      </c>
      <c r="B361" s="1">
        <f>IFERROR(__xludf.DUMMYFUNCTION("""COMPUTED_VALUE"""),1877.4)</f>
        <v>1877.4</v>
      </c>
      <c r="C361" s="1">
        <f>IFERROR(__xludf.DUMMYFUNCTION("""COMPUTED_VALUE"""),1919.54)</f>
        <v>1919.54</v>
      </c>
      <c r="D361" s="1">
        <f>IFERROR(__xludf.DUMMYFUNCTION("""COMPUTED_VALUE"""),1877.4)</f>
        <v>1877.4</v>
      </c>
      <c r="E361" s="1">
        <f>IFERROR(__xludf.DUMMYFUNCTION("""COMPUTED_VALUE"""),1905.49)</f>
        <v>1905.49</v>
      </c>
      <c r="F361" s="1">
        <f>IFERROR(__xludf.DUMMYFUNCTION("""COMPUTED_VALUE"""),1583.0)</f>
        <v>1583</v>
      </c>
    </row>
    <row r="362">
      <c r="A362" s="2">
        <f>IFERROR(__xludf.DUMMYFUNCTION("""COMPUTED_VALUE"""),42461.64583333333)</f>
        <v>42461.64583</v>
      </c>
      <c r="B362" s="1">
        <f>IFERROR(__xludf.DUMMYFUNCTION("""COMPUTED_VALUE"""),1849.31)</f>
        <v>1849.31</v>
      </c>
      <c r="C362" s="1">
        <f>IFERROR(__xludf.DUMMYFUNCTION("""COMPUTED_VALUE"""),1910.18)</f>
        <v>1910.18</v>
      </c>
      <c r="D362" s="1">
        <f>IFERROR(__xludf.DUMMYFUNCTION("""COMPUTED_VALUE"""),1849.31)</f>
        <v>1849.31</v>
      </c>
      <c r="E362" s="1">
        <f>IFERROR(__xludf.DUMMYFUNCTION("""COMPUTED_VALUE"""),1910.18)</f>
        <v>1910.18</v>
      </c>
      <c r="F362" s="1">
        <f>IFERROR(__xludf.DUMMYFUNCTION("""COMPUTED_VALUE"""),141.0)</f>
        <v>141</v>
      </c>
    </row>
    <row r="363">
      <c r="A363" s="2">
        <f>IFERROR(__xludf.DUMMYFUNCTION("""COMPUTED_VALUE"""),42464.64583333333)</f>
        <v>42464.64583</v>
      </c>
      <c r="B363" s="1">
        <f>IFERROR(__xludf.DUMMYFUNCTION("""COMPUTED_VALUE"""),1900.81)</f>
        <v>1900.81</v>
      </c>
      <c r="C363" s="1">
        <f>IFERROR(__xludf.DUMMYFUNCTION("""COMPUTED_VALUE"""),1900.81)</f>
        <v>1900.81</v>
      </c>
      <c r="D363" s="1">
        <f>IFERROR(__xludf.DUMMYFUNCTION("""COMPUTED_VALUE"""),1896.13)</f>
        <v>1896.13</v>
      </c>
      <c r="E363" s="1">
        <f>IFERROR(__xludf.DUMMYFUNCTION("""COMPUTED_VALUE"""),1900.81)</f>
        <v>1900.81</v>
      </c>
      <c r="F363" s="1">
        <f>IFERROR(__xludf.DUMMYFUNCTION("""COMPUTED_VALUE"""),77216.0)</f>
        <v>77216</v>
      </c>
    </row>
    <row r="364">
      <c r="A364" s="2">
        <f>IFERROR(__xludf.DUMMYFUNCTION("""COMPUTED_VALUE"""),42465.64583333333)</f>
        <v>42465.64583</v>
      </c>
      <c r="B364" s="1">
        <f>IFERROR(__xludf.DUMMYFUNCTION("""COMPUTED_VALUE"""),1849.31)</f>
        <v>1849.31</v>
      </c>
      <c r="C364" s="1">
        <f>IFERROR(__xludf.DUMMYFUNCTION("""COMPUTED_VALUE"""),1900.81)</f>
        <v>1900.81</v>
      </c>
      <c r="D364" s="1">
        <f>IFERROR(__xludf.DUMMYFUNCTION("""COMPUTED_VALUE"""),1849.31)</f>
        <v>1849.31</v>
      </c>
      <c r="E364" s="1">
        <f>IFERROR(__xludf.DUMMYFUNCTION("""COMPUTED_VALUE"""),1900.81)</f>
        <v>1900.81</v>
      </c>
      <c r="F364" s="1">
        <f>IFERROR(__xludf.DUMMYFUNCTION("""COMPUTED_VALUE"""),1634.0)</f>
        <v>1634</v>
      </c>
    </row>
    <row r="365">
      <c r="A365" s="2">
        <f>IFERROR(__xludf.DUMMYFUNCTION("""COMPUTED_VALUE"""),42466.64583333333)</f>
        <v>42466.64583</v>
      </c>
      <c r="B365" s="1">
        <f>IFERROR(__xludf.DUMMYFUNCTION("""COMPUTED_VALUE"""),1858.68)</f>
        <v>1858.68</v>
      </c>
      <c r="C365" s="1">
        <f>IFERROR(__xludf.DUMMYFUNCTION("""COMPUTED_VALUE"""),1896.13)</f>
        <v>1896.13</v>
      </c>
      <c r="D365" s="1">
        <f>IFERROR(__xludf.DUMMYFUNCTION("""COMPUTED_VALUE"""),1858.68)</f>
        <v>1858.68</v>
      </c>
      <c r="E365" s="1">
        <f>IFERROR(__xludf.DUMMYFUNCTION("""COMPUTED_VALUE"""),1896.13)</f>
        <v>1896.13</v>
      </c>
      <c r="F365" s="1">
        <f>IFERROR(__xludf.DUMMYFUNCTION("""COMPUTED_VALUE"""),102.0)</f>
        <v>102</v>
      </c>
    </row>
    <row r="366">
      <c r="A366" s="2">
        <f>IFERROR(__xludf.DUMMYFUNCTION("""COMPUTED_VALUE"""),42467.64583333333)</f>
        <v>42467.64583</v>
      </c>
      <c r="B366" s="1">
        <f>IFERROR(__xludf.DUMMYFUNCTION("""COMPUTED_VALUE"""),1858.68)</f>
        <v>1858.68</v>
      </c>
      <c r="C366" s="1">
        <f>IFERROR(__xludf.DUMMYFUNCTION("""COMPUTED_VALUE"""),1896.13)</f>
        <v>1896.13</v>
      </c>
      <c r="D366" s="1">
        <f>IFERROR(__xludf.DUMMYFUNCTION("""COMPUTED_VALUE"""),1858.68)</f>
        <v>1858.68</v>
      </c>
      <c r="E366" s="1">
        <f>IFERROR(__xludf.DUMMYFUNCTION("""COMPUTED_VALUE"""),1896.13)</f>
        <v>1896.13</v>
      </c>
      <c r="F366" s="1">
        <f>IFERROR(__xludf.DUMMYFUNCTION("""COMPUTED_VALUE"""),1003.0)</f>
        <v>1003</v>
      </c>
    </row>
    <row r="367">
      <c r="A367" s="2">
        <f>IFERROR(__xludf.DUMMYFUNCTION("""COMPUTED_VALUE"""),42471.64583333333)</f>
        <v>42471.64583</v>
      </c>
      <c r="B367" s="1">
        <f>IFERROR(__xludf.DUMMYFUNCTION("""COMPUTED_VALUE"""),1896.13)</f>
        <v>1896.13</v>
      </c>
      <c r="C367" s="1">
        <f>IFERROR(__xludf.DUMMYFUNCTION("""COMPUTED_VALUE"""),1896.13)</f>
        <v>1896.13</v>
      </c>
      <c r="D367" s="1">
        <f>IFERROR(__xludf.DUMMYFUNCTION("""COMPUTED_VALUE"""),1891.45)</f>
        <v>1891.45</v>
      </c>
      <c r="E367" s="1">
        <f>IFERROR(__xludf.DUMMYFUNCTION("""COMPUTED_VALUE"""),1891.45)</f>
        <v>1891.45</v>
      </c>
      <c r="F367" s="1">
        <f>IFERROR(__xludf.DUMMYFUNCTION("""COMPUTED_VALUE"""),3.0)</f>
        <v>3</v>
      </c>
    </row>
    <row r="368">
      <c r="A368" s="2">
        <f>IFERROR(__xludf.DUMMYFUNCTION("""COMPUTED_VALUE"""),42472.64583333333)</f>
        <v>42472.64583</v>
      </c>
      <c r="B368" s="1">
        <f>IFERROR(__xludf.DUMMYFUNCTION("""COMPUTED_VALUE"""),1891.45)</f>
        <v>1891.45</v>
      </c>
      <c r="C368" s="1">
        <f>IFERROR(__xludf.DUMMYFUNCTION("""COMPUTED_VALUE"""),1891.45)</f>
        <v>1891.45</v>
      </c>
      <c r="D368" s="1">
        <f>IFERROR(__xludf.DUMMYFUNCTION("""COMPUTED_VALUE"""),1886.77)</f>
        <v>1886.77</v>
      </c>
      <c r="E368" s="1">
        <f>IFERROR(__xludf.DUMMYFUNCTION("""COMPUTED_VALUE"""),1891.45)</f>
        <v>1891.45</v>
      </c>
      <c r="F368" s="1">
        <f>IFERROR(__xludf.DUMMYFUNCTION("""COMPUTED_VALUE"""),17.0)</f>
        <v>17</v>
      </c>
    </row>
    <row r="369">
      <c r="A369" s="2">
        <f>IFERROR(__xludf.DUMMYFUNCTION("""COMPUTED_VALUE"""),42474.64583333333)</f>
        <v>42474.64583</v>
      </c>
      <c r="B369" s="1">
        <f>IFERROR(__xludf.DUMMYFUNCTION("""COMPUTED_VALUE"""),1891.45)</f>
        <v>1891.45</v>
      </c>
      <c r="C369" s="1">
        <f>IFERROR(__xludf.DUMMYFUNCTION("""COMPUTED_VALUE"""),1891.45)</f>
        <v>1891.45</v>
      </c>
      <c r="D369" s="1">
        <f>IFERROR(__xludf.DUMMYFUNCTION("""COMPUTED_VALUE"""),1891.45)</f>
        <v>1891.45</v>
      </c>
      <c r="E369" s="1">
        <f>IFERROR(__xludf.DUMMYFUNCTION("""COMPUTED_VALUE"""),1891.45)</f>
        <v>1891.45</v>
      </c>
      <c r="F369" s="1">
        <f>IFERROR(__xludf.DUMMYFUNCTION("""COMPUTED_VALUE"""),2802.0)</f>
        <v>2802</v>
      </c>
    </row>
    <row r="370">
      <c r="A370" s="2">
        <f>IFERROR(__xludf.DUMMYFUNCTION("""COMPUTED_VALUE"""),42475.64583333333)</f>
        <v>42475.64583</v>
      </c>
      <c r="B370" s="1">
        <f>IFERROR(__xludf.DUMMYFUNCTION("""COMPUTED_VALUE"""),1900.81)</f>
        <v>1900.81</v>
      </c>
      <c r="C370" s="1">
        <f>IFERROR(__xludf.DUMMYFUNCTION("""COMPUTED_VALUE"""),1900.81)</f>
        <v>1900.81</v>
      </c>
      <c r="D370" s="1">
        <f>IFERROR(__xludf.DUMMYFUNCTION("""COMPUTED_VALUE"""),1882.09)</f>
        <v>1882.09</v>
      </c>
      <c r="E370" s="1">
        <f>IFERROR(__xludf.DUMMYFUNCTION("""COMPUTED_VALUE"""),1882.09)</f>
        <v>1882.09</v>
      </c>
      <c r="F370" s="1">
        <f>IFERROR(__xludf.DUMMYFUNCTION("""COMPUTED_VALUE"""),312.0)</f>
        <v>312</v>
      </c>
    </row>
    <row r="371">
      <c r="A371" s="2">
        <f>IFERROR(__xludf.DUMMYFUNCTION("""COMPUTED_VALUE"""),42478.64583333333)</f>
        <v>42478.64583</v>
      </c>
      <c r="B371" s="1">
        <f>IFERROR(__xludf.DUMMYFUNCTION("""COMPUTED_VALUE"""),1882.09)</f>
        <v>1882.09</v>
      </c>
      <c r="C371" s="1">
        <f>IFERROR(__xludf.DUMMYFUNCTION("""COMPUTED_VALUE"""),1882.09)</f>
        <v>1882.09</v>
      </c>
      <c r="D371" s="1">
        <f>IFERROR(__xludf.DUMMYFUNCTION("""COMPUTED_VALUE"""),1877.4)</f>
        <v>1877.4</v>
      </c>
      <c r="E371" s="1">
        <f>IFERROR(__xludf.DUMMYFUNCTION("""COMPUTED_VALUE"""),1877.4)</f>
        <v>1877.4</v>
      </c>
      <c r="F371" s="1">
        <f>IFERROR(__xludf.DUMMYFUNCTION("""COMPUTED_VALUE"""),681.0)</f>
        <v>681</v>
      </c>
    </row>
    <row r="372">
      <c r="A372" s="2">
        <f>IFERROR(__xludf.DUMMYFUNCTION("""COMPUTED_VALUE"""),42479.64583333333)</f>
        <v>42479.64583</v>
      </c>
      <c r="B372" s="1">
        <f>IFERROR(__xludf.DUMMYFUNCTION("""COMPUTED_VALUE"""),1872.72)</f>
        <v>1872.72</v>
      </c>
      <c r="C372" s="1">
        <f>IFERROR(__xludf.DUMMYFUNCTION("""COMPUTED_VALUE"""),1891.45)</f>
        <v>1891.45</v>
      </c>
      <c r="D372" s="1">
        <f>IFERROR(__xludf.DUMMYFUNCTION("""COMPUTED_VALUE"""),1872.72)</f>
        <v>1872.72</v>
      </c>
      <c r="E372" s="1">
        <f>IFERROR(__xludf.DUMMYFUNCTION("""COMPUTED_VALUE"""),1891.45)</f>
        <v>1891.45</v>
      </c>
      <c r="F372" s="1">
        <f>IFERROR(__xludf.DUMMYFUNCTION("""COMPUTED_VALUE"""),4834.0)</f>
        <v>4834</v>
      </c>
    </row>
    <row r="373">
      <c r="A373" s="2">
        <f>IFERROR(__xludf.DUMMYFUNCTION("""COMPUTED_VALUE"""),42480.64583333333)</f>
        <v>42480.64583</v>
      </c>
      <c r="B373" s="1">
        <f>IFERROR(__xludf.DUMMYFUNCTION("""COMPUTED_VALUE"""),1877.4)</f>
        <v>1877.4</v>
      </c>
      <c r="C373" s="1">
        <f>IFERROR(__xludf.DUMMYFUNCTION("""COMPUTED_VALUE"""),1877.4)</f>
        <v>1877.4</v>
      </c>
      <c r="D373" s="1">
        <f>IFERROR(__xludf.DUMMYFUNCTION("""COMPUTED_VALUE"""),1877.4)</f>
        <v>1877.4</v>
      </c>
      <c r="E373" s="1">
        <f>IFERROR(__xludf.DUMMYFUNCTION("""COMPUTED_VALUE"""),1877.4)</f>
        <v>1877.4</v>
      </c>
      <c r="F373" s="1">
        <f>IFERROR(__xludf.DUMMYFUNCTION("""COMPUTED_VALUE"""),100.0)</f>
        <v>100</v>
      </c>
    </row>
    <row r="374">
      <c r="A374" s="2">
        <f>IFERROR(__xludf.DUMMYFUNCTION("""COMPUTED_VALUE"""),42481.64583333333)</f>
        <v>42481.64583</v>
      </c>
      <c r="B374" s="1">
        <f>IFERROR(__xludf.DUMMYFUNCTION("""COMPUTED_VALUE"""),1882.09)</f>
        <v>1882.09</v>
      </c>
      <c r="C374" s="1">
        <f>IFERROR(__xludf.DUMMYFUNCTION("""COMPUTED_VALUE"""),1882.09)</f>
        <v>1882.09</v>
      </c>
      <c r="D374" s="1">
        <f>IFERROR(__xludf.DUMMYFUNCTION("""COMPUTED_VALUE"""),1872.72)</f>
        <v>1872.72</v>
      </c>
      <c r="E374" s="1">
        <f>IFERROR(__xludf.DUMMYFUNCTION("""COMPUTED_VALUE"""),1872.72)</f>
        <v>1872.72</v>
      </c>
      <c r="F374" s="1">
        <f>IFERROR(__xludf.DUMMYFUNCTION("""COMPUTED_VALUE"""),21542.0)</f>
        <v>21542</v>
      </c>
    </row>
    <row r="375">
      <c r="A375" s="2">
        <f>IFERROR(__xludf.DUMMYFUNCTION("""COMPUTED_VALUE"""),42482.64583333333)</f>
        <v>42482.64583</v>
      </c>
      <c r="B375" s="1">
        <f>IFERROR(__xludf.DUMMYFUNCTION("""COMPUTED_VALUE"""),1877.4)</f>
        <v>1877.4</v>
      </c>
      <c r="C375" s="1">
        <f>IFERROR(__xludf.DUMMYFUNCTION("""COMPUTED_VALUE"""),1877.4)</f>
        <v>1877.4</v>
      </c>
      <c r="D375" s="1">
        <f>IFERROR(__xludf.DUMMYFUNCTION("""COMPUTED_VALUE"""),1877.4)</f>
        <v>1877.4</v>
      </c>
      <c r="E375" s="1">
        <f>IFERROR(__xludf.DUMMYFUNCTION("""COMPUTED_VALUE"""),1877.4)</f>
        <v>1877.4</v>
      </c>
      <c r="F375" s="1">
        <f>IFERROR(__xludf.DUMMYFUNCTION("""COMPUTED_VALUE"""),1.0)</f>
        <v>1</v>
      </c>
    </row>
    <row r="376">
      <c r="A376" s="2">
        <f>IFERROR(__xludf.DUMMYFUNCTION("""COMPUTED_VALUE"""),42485.64583333333)</f>
        <v>42485.64583</v>
      </c>
      <c r="B376" s="1">
        <f>IFERROR(__xludf.DUMMYFUNCTION("""COMPUTED_VALUE"""),1872.72)</f>
        <v>1872.72</v>
      </c>
      <c r="C376" s="1">
        <f>IFERROR(__xludf.DUMMYFUNCTION("""COMPUTED_VALUE"""),1877.4)</f>
        <v>1877.4</v>
      </c>
      <c r="D376" s="1">
        <f>IFERROR(__xludf.DUMMYFUNCTION("""COMPUTED_VALUE"""),1858.68)</f>
        <v>1858.68</v>
      </c>
      <c r="E376" s="1">
        <f>IFERROR(__xludf.DUMMYFUNCTION("""COMPUTED_VALUE"""),1877.4)</f>
        <v>1877.4</v>
      </c>
      <c r="F376" s="1">
        <f>IFERROR(__xludf.DUMMYFUNCTION("""COMPUTED_VALUE"""),1513.0)</f>
        <v>1513</v>
      </c>
    </row>
    <row r="377">
      <c r="A377" s="2">
        <f>IFERROR(__xludf.DUMMYFUNCTION("""COMPUTED_VALUE"""),42486.64583333333)</f>
        <v>42486.64583</v>
      </c>
      <c r="B377" s="1">
        <f>IFERROR(__xludf.DUMMYFUNCTION("""COMPUTED_VALUE"""),1882.09)</f>
        <v>1882.09</v>
      </c>
      <c r="C377" s="1">
        <f>IFERROR(__xludf.DUMMYFUNCTION("""COMPUTED_VALUE"""),1882.09)</f>
        <v>1882.09</v>
      </c>
      <c r="D377" s="1">
        <f>IFERROR(__xludf.DUMMYFUNCTION("""COMPUTED_VALUE"""),1882.09)</f>
        <v>1882.09</v>
      </c>
      <c r="E377" s="1">
        <f>IFERROR(__xludf.DUMMYFUNCTION("""COMPUTED_VALUE"""),1882.09)</f>
        <v>1882.09</v>
      </c>
      <c r="F377" s="1">
        <f>IFERROR(__xludf.DUMMYFUNCTION("""COMPUTED_VALUE"""),1.0)</f>
        <v>1</v>
      </c>
    </row>
    <row r="378">
      <c r="A378" s="2">
        <f>IFERROR(__xludf.DUMMYFUNCTION("""COMPUTED_VALUE"""),42487.64583333333)</f>
        <v>42487.64583</v>
      </c>
      <c r="B378" s="1">
        <f>IFERROR(__xludf.DUMMYFUNCTION("""COMPUTED_VALUE"""),1882.09)</f>
        <v>1882.09</v>
      </c>
      <c r="C378" s="1">
        <f>IFERROR(__xludf.DUMMYFUNCTION("""COMPUTED_VALUE"""),1886.77)</f>
        <v>1886.77</v>
      </c>
      <c r="D378" s="1">
        <f>IFERROR(__xludf.DUMMYFUNCTION("""COMPUTED_VALUE"""),1882.09)</f>
        <v>1882.09</v>
      </c>
      <c r="E378" s="1">
        <f>IFERROR(__xludf.DUMMYFUNCTION("""COMPUTED_VALUE"""),1882.09)</f>
        <v>1882.09</v>
      </c>
      <c r="F378" s="1">
        <f>IFERROR(__xludf.DUMMYFUNCTION("""COMPUTED_VALUE"""),2573.0)</f>
        <v>2573</v>
      </c>
    </row>
    <row r="379">
      <c r="A379" s="2">
        <f>IFERROR(__xludf.DUMMYFUNCTION("""COMPUTED_VALUE"""),42489.64583333333)</f>
        <v>42489.64583</v>
      </c>
      <c r="B379" s="1">
        <f>IFERROR(__xludf.DUMMYFUNCTION("""COMPUTED_VALUE"""),1858.68)</f>
        <v>1858.68</v>
      </c>
      <c r="C379" s="1">
        <f>IFERROR(__xludf.DUMMYFUNCTION("""COMPUTED_VALUE"""),1882.09)</f>
        <v>1882.09</v>
      </c>
      <c r="D379" s="1">
        <f>IFERROR(__xludf.DUMMYFUNCTION("""COMPUTED_VALUE"""),1858.68)</f>
        <v>1858.68</v>
      </c>
      <c r="E379" s="1">
        <f>IFERROR(__xludf.DUMMYFUNCTION("""COMPUTED_VALUE"""),1882.09)</f>
        <v>1882.09</v>
      </c>
      <c r="F379" s="1">
        <f>IFERROR(__xludf.DUMMYFUNCTION("""COMPUTED_VALUE"""),3352.0)</f>
        <v>3352</v>
      </c>
    </row>
    <row r="380">
      <c r="A380" s="2">
        <f>IFERROR(__xludf.DUMMYFUNCTION("""COMPUTED_VALUE"""),42492.64583333333)</f>
        <v>42492.64583</v>
      </c>
      <c r="B380" s="1">
        <f>IFERROR(__xludf.DUMMYFUNCTION("""COMPUTED_VALUE"""),1868.04)</f>
        <v>1868.04</v>
      </c>
      <c r="C380" s="1">
        <f>IFERROR(__xludf.DUMMYFUNCTION("""COMPUTED_VALUE"""),1882.09)</f>
        <v>1882.09</v>
      </c>
      <c r="D380" s="1">
        <f>IFERROR(__xludf.DUMMYFUNCTION("""COMPUTED_VALUE"""),1868.04)</f>
        <v>1868.04</v>
      </c>
      <c r="E380" s="1">
        <f>IFERROR(__xludf.DUMMYFUNCTION("""COMPUTED_VALUE"""),1882.09)</f>
        <v>1882.09</v>
      </c>
      <c r="F380" s="1">
        <f>IFERROR(__xludf.DUMMYFUNCTION("""COMPUTED_VALUE"""),1051.0)</f>
        <v>1051</v>
      </c>
    </row>
    <row r="381">
      <c r="A381" s="2">
        <f>IFERROR(__xludf.DUMMYFUNCTION("""COMPUTED_VALUE"""),42493.64583333333)</f>
        <v>42493.64583</v>
      </c>
      <c r="B381" s="1">
        <f>IFERROR(__xludf.DUMMYFUNCTION("""COMPUTED_VALUE"""),1872.72)</f>
        <v>1872.72</v>
      </c>
      <c r="C381" s="1">
        <f>IFERROR(__xludf.DUMMYFUNCTION("""COMPUTED_VALUE"""),1872.72)</f>
        <v>1872.72</v>
      </c>
      <c r="D381" s="1">
        <f>IFERROR(__xludf.DUMMYFUNCTION("""COMPUTED_VALUE"""),1872.72)</f>
        <v>1872.72</v>
      </c>
      <c r="E381" s="1">
        <f>IFERROR(__xludf.DUMMYFUNCTION("""COMPUTED_VALUE"""),1872.72)</f>
        <v>1872.72</v>
      </c>
      <c r="F381" s="1">
        <f>IFERROR(__xludf.DUMMYFUNCTION("""COMPUTED_VALUE"""),550.0)</f>
        <v>550</v>
      </c>
    </row>
    <row r="382">
      <c r="A382" s="2">
        <f>IFERROR(__xludf.DUMMYFUNCTION("""COMPUTED_VALUE"""),42494.64583333333)</f>
        <v>42494.64583</v>
      </c>
      <c r="B382" s="1">
        <f>IFERROR(__xludf.DUMMYFUNCTION("""COMPUTED_VALUE"""),1872.72)</f>
        <v>1872.72</v>
      </c>
      <c r="C382" s="1">
        <f>IFERROR(__xludf.DUMMYFUNCTION("""COMPUTED_VALUE"""),1882.09)</f>
        <v>1882.09</v>
      </c>
      <c r="D382" s="1">
        <f>IFERROR(__xludf.DUMMYFUNCTION("""COMPUTED_VALUE"""),1872.72)</f>
        <v>1872.72</v>
      </c>
      <c r="E382" s="1">
        <f>IFERROR(__xludf.DUMMYFUNCTION("""COMPUTED_VALUE"""),1872.72)</f>
        <v>1872.72</v>
      </c>
      <c r="F382" s="1">
        <f>IFERROR(__xludf.DUMMYFUNCTION("""COMPUTED_VALUE"""),999.0)</f>
        <v>999</v>
      </c>
    </row>
    <row r="383">
      <c r="A383" s="2">
        <f>IFERROR(__xludf.DUMMYFUNCTION("""COMPUTED_VALUE"""),42499.64583333333)</f>
        <v>42499.64583</v>
      </c>
      <c r="B383" s="1">
        <f>IFERROR(__xludf.DUMMYFUNCTION("""COMPUTED_VALUE"""),1919.54)</f>
        <v>1919.54</v>
      </c>
      <c r="C383" s="1">
        <f>IFERROR(__xludf.DUMMYFUNCTION("""COMPUTED_VALUE"""),1919.54)</f>
        <v>1919.54</v>
      </c>
      <c r="D383" s="1">
        <f>IFERROR(__xludf.DUMMYFUNCTION("""COMPUTED_VALUE"""),1919.54)</f>
        <v>1919.54</v>
      </c>
      <c r="E383" s="1">
        <f>IFERROR(__xludf.DUMMYFUNCTION("""COMPUTED_VALUE"""),1919.54)</f>
        <v>1919.54</v>
      </c>
      <c r="F383" s="1">
        <f>IFERROR(__xludf.DUMMYFUNCTION("""COMPUTED_VALUE"""),5.0)</f>
        <v>5</v>
      </c>
    </row>
    <row r="384">
      <c r="A384" s="2">
        <f>IFERROR(__xludf.DUMMYFUNCTION("""COMPUTED_VALUE"""),42500.64583333333)</f>
        <v>42500.64583</v>
      </c>
      <c r="B384" s="1">
        <f>IFERROR(__xludf.DUMMYFUNCTION("""COMPUTED_VALUE"""),1919.54)</f>
        <v>1919.54</v>
      </c>
      <c r="C384" s="1">
        <f>IFERROR(__xludf.DUMMYFUNCTION("""COMPUTED_VALUE"""),1919.54)</f>
        <v>1919.54</v>
      </c>
      <c r="D384" s="1">
        <f>IFERROR(__xludf.DUMMYFUNCTION("""COMPUTED_VALUE"""),1863.36)</f>
        <v>1863.36</v>
      </c>
      <c r="E384" s="1">
        <f>IFERROR(__xludf.DUMMYFUNCTION("""COMPUTED_VALUE"""),1863.36)</f>
        <v>1863.36</v>
      </c>
      <c r="F384" s="1">
        <f>IFERROR(__xludf.DUMMYFUNCTION("""COMPUTED_VALUE"""),1208.0)</f>
        <v>1208</v>
      </c>
    </row>
    <row r="385">
      <c r="A385" s="2">
        <f>IFERROR(__xludf.DUMMYFUNCTION("""COMPUTED_VALUE"""),42501.64583333333)</f>
        <v>42501.64583</v>
      </c>
      <c r="B385" s="1">
        <f>IFERROR(__xludf.DUMMYFUNCTION("""COMPUTED_VALUE"""),1863.36)</f>
        <v>1863.36</v>
      </c>
      <c r="C385" s="1">
        <f>IFERROR(__xludf.DUMMYFUNCTION("""COMPUTED_VALUE"""),1863.36)</f>
        <v>1863.36</v>
      </c>
      <c r="D385" s="1">
        <f>IFERROR(__xludf.DUMMYFUNCTION("""COMPUTED_VALUE"""),1863.36)</f>
        <v>1863.36</v>
      </c>
      <c r="E385" s="1">
        <f>IFERROR(__xludf.DUMMYFUNCTION("""COMPUTED_VALUE"""),1863.36)</f>
        <v>1863.36</v>
      </c>
      <c r="F385" s="1">
        <f>IFERROR(__xludf.DUMMYFUNCTION("""COMPUTED_VALUE"""),482.0)</f>
        <v>482</v>
      </c>
    </row>
    <row r="386">
      <c r="A386" s="2">
        <f>IFERROR(__xludf.DUMMYFUNCTION("""COMPUTED_VALUE"""),42503.64583333333)</f>
        <v>42503.64583</v>
      </c>
      <c r="B386" s="1">
        <f>IFERROR(__xludf.DUMMYFUNCTION("""COMPUTED_VALUE"""),1858.68)</f>
        <v>1858.68</v>
      </c>
      <c r="C386" s="1">
        <f>IFERROR(__xludf.DUMMYFUNCTION("""COMPUTED_VALUE"""),1858.68)</f>
        <v>1858.68</v>
      </c>
      <c r="D386" s="1">
        <f>IFERROR(__xludf.DUMMYFUNCTION("""COMPUTED_VALUE"""),1849.31)</f>
        <v>1849.31</v>
      </c>
      <c r="E386" s="1">
        <f>IFERROR(__xludf.DUMMYFUNCTION("""COMPUTED_VALUE"""),1849.31)</f>
        <v>1849.31</v>
      </c>
      <c r="F386" s="1">
        <f>IFERROR(__xludf.DUMMYFUNCTION("""COMPUTED_VALUE"""),2340.0)</f>
        <v>2340</v>
      </c>
    </row>
    <row r="387">
      <c r="A387" s="2">
        <f>IFERROR(__xludf.DUMMYFUNCTION("""COMPUTED_VALUE"""),42506.64583333333)</f>
        <v>42506.64583</v>
      </c>
      <c r="B387" s="1">
        <f>IFERROR(__xludf.DUMMYFUNCTION("""COMPUTED_VALUE"""),1872.72)</f>
        <v>1872.72</v>
      </c>
      <c r="C387" s="1">
        <f>IFERROR(__xludf.DUMMYFUNCTION("""COMPUTED_VALUE"""),1891.45)</f>
        <v>1891.45</v>
      </c>
      <c r="D387" s="1">
        <f>IFERROR(__xludf.DUMMYFUNCTION("""COMPUTED_VALUE"""),1853.99)</f>
        <v>1853.99</v>
      </c>
      <c r="E387" s="1">
        <f>IFERROR(__xludf.DUMMYFUNCTION("""COMPUTED_VALUE"""),1882.09)</f>
        <v>1882.09</v>
      </c>
      <c r="F387" s="1">
        <f>IFERROR(__xludf.DUMMYFUNCTION("""COMPUTED_VALUE"""),11556.0)</f>
        <v>11556</v>
      </c>
    </row>
    <row r="388">
      <c r="A388" s="2">
        <f>IFERROR(__xludf.DUMMYFUNCTION("""COMPUTED_VALUE"""),42508.64583333333)</f>
        <v>42508.64583</v>
      </c>
      <c r="B388" s="1">
        <f>IFERROR(__xludf.DUMMYFUNCTION("""COMPUTED_VALUE"""),1882.09)</f>
        <v>1882.09</v>
      </c>
      <c r="C388" s="1">
        <f>IFERROR(__xludf.DUMMYFUNCTION("""COMPUTED_VALUE"""),1882.09)</f>
        <v>1882.09</v>
      </c>
      <c r="D388" s="1">
        <f>IFERROR(__xludf.DUMMYFUNCTION("""COMPUTED_VALUE"""),1858.68)</f>
        <v>1858.68</v>
      </c>
      <c r="E388" s="1">
        <f>IFERROR(__xludf.DUMMYFUNCTION("""COMPUTED_VALUE"""),1877.4)</f>
        <v>1877.4</v>
      </c>
      <c r="F388" s="1">
        <f>IFERROR(__xludf.DUMMYFUNCTION("""COMPUTED_VALUE"""),2450.0)</f>
        <v>2450</v>
      </c>
    </row>
    <row r="389">
      <c r="A389" s="2">
        <f>IFERROR(__xludf.DUMMYFUNCTION("""COMPUTED_VALUE"""),42509.64583333333)</f>
        <v>42509.64583</v>
      </c>
      <c r="B389" s="1">
        <f>IFERROR(__xludf.DUMMYFUNCTION("""COMPUTED_VALUE"""),1863.36)</f>
        <v>1863.36</v>
      </c>
      <c r="C389" s="1">
        <f>IFERROR(__xludf.DUMMYFUNCTION("""COMPUTED_VALUE"""),1877.4)</f>
        <v>1877.4</v>
      </c>
      <c r="D389" s="1">
        <f>IFERROR(__xludf.DUMMYFUNCTION("""COMPUTED_VALUE"""),1863.36)</f>
        <v>1863.36</v>
      </c>
      <c r="E389" s="1">
        <f>IFERROR(__xludf.DUMMYFUNCTION("""COMPUTED_VALUE"""),1877.4)</f>
        <v>1877.4</v>
      </c>
      <c r="F389" s="1">
        <f>IFERROR(__xludf.DUMMYFUNCTION("""COMPUTED_VALUE"""),2.0)</f>
        <v>2</v>
      </c>
    </row>
    <row r="390">
      <c r="A390" s="2">
        <f>IFERROR(__xludf.DUMMYFUNCTION("""COMPUTED_VALUE"""),42510.64583333333)</f>
        <v>42510.64583</v>
      </c>
      <c r="B390" s="1">
        <f>IFERROR(__xludf.DUMMYFUNCTION("""COMPUTED_VALUE"""),1882.09)</f>
        <v>1882.09</v>
      </c>
      <c r="C390" s="1">
        <f>IFERROR(__xludf.DUMMYFUNCTION("""COMPUTED_VALUE"""),1891.45)</f>
        <v>1891.45</v>
      </c>
      <c r="D390" s="1">
        <f>IFERROR(__xludf.DUMMYFUNCTION("""COMPUTED_VALUE"""),1882.09)</f>
        <v>1882.09</v>
      </c>
      <c r="E390" s="1">
        <f>IFERROR(__xludf.DUMMYFUNCTION("""COMPUTED_VALUE"""),1891.45)</f>
        <v>1891.45</v>
      </c>
      <c r="F390" s="1">
        <f>IFERROR(__xludf.DUMMYFUNCTION("""COMPUTED_VALUE"""),3.0)</f>
        <v>3</v>
      </c>
    </row>
    <row r="391">
      <c r="A391" s="2">
        <f>IFERROR(__xludf.DUMMYFUNCTION("""COMPUTED_VALUE"""),42513.64583333333)</f>
        <v>42513.64583</v>
      </c>
      <c r="B391" s="1">
        <f>IFERROR(__xludf.DUMMYFUNCTION("""COMPUTED_VALUE"""),1891.45)</f>
        <v>1891.45</v>
      </c>
      <c r="C391" s="1">
        <f>IFERROR(__xludf.DUMMYFUNCTION("""COMPUTED_VALUE"""),1891.45)</f>
        <v>1891.45</v>
      </c>
      <c r="D391" s="1">
        <f>IFERROR(__xludf.DUMMYFUNCTION("""COMPUTED_VALUE"""),1891.45)</f>
        <v>1891.45</v>
      </c>
      <c r="E391" s="1">
        <f>IFERROR(__xludf.DUMMYFUNCTION("""COMPUTED_VALUE"""),1891.45)</f>
        <v>1891.45</v>
      </c>
      <c r="F391" s="1">
        <f>IFERROR(__xludf.DUMMYFUNCTION("""COMPUTED_VALUE"""),951.0)</f>
        <v>951</v>
      </c>
    </row>
    <row r="392">
      <c r="A392" s="2">
        <f>IFERROR(__xludf.DUMMYFUNCTION("""COMPUTED_VALUE"""),42514.64583333333)</f>
        <v>42514.64583</v>
      </c>
      <c r="B392" s="1">
        <f>IFERROR(__xludf.DUMMYFUNCTION("""COMPUTED_VALUE"""),1872.72)</f>
        <v>1872.72</v>
      </c>
      <c r="C392" s="1">
        <f>IFERROR(__xludf.DUMMYFUNCTION("""COMPUTED_VALUE"""),1872.72)</f>
        <v>1872.72</v>
      </c>
      <c r="D392" s="1">
        <f>IFERROR(__xludf.DUMMYFUNCTION("""COMPUTED_VALUE"""),1858.68)</f>
        <v>1858.68</v>
      </c>
      <c r="E392" s="1">
        <f>IFERROR(__xludf.DUMMYFUNCTION("""COMPUTED_VALUE"""),1868.04)</f>
        <v>1868.04</v>
      </c>
      <c r="F392" s="1">
        <f>IFERROR(__xludf.DUMMYFUNCTION("""COMPUTED_VALUE"""),100.0)</f>
        <v>100</v>
      </c>
    </row>
    <row r="393">
      <c r="A393" s="2">
        <f>IFERROR(__xludf.DUMMYFUNCTION("""COMPUTED_VALUE"""),42515.64583333333)</f>
        <v>42515.64583</v>
      </c>
      <c r="B393" s="1">
        <f>IFERROR(__xludf.DUMMYFUNCTION("""COMPUTED_VALUE"""),1853.99)</f>
        <v>1853.99</v>
      </c>
      <c r="C393" s="1">
        <f>IFERROR(__xludf.DUMMYFUNCTION("""COMPUTED_VALUE"""),1872.72)</f>
        <v>1872.72</v>
      </c>
      <c r="D393" s="1">
        <f>IFERROR(__xludf.DUMMYFUNCTION("""COMPUTED_VALUE"""),1853.99)</f>
        <v>1853.99</v>
      </c>
      <c r="E393" s="1">
        <f>IFERROR(__xludf.DUMMYFUNCTION("""COMPUTED_VALUE"""),1872.72)</f>
        <v>1872.72</v>
      </c>
      <c r="F393" s="1">
        <f>IFERROR(__xludf.DUMMYFUNCTION("""COMPUTED_VALUE"""),10501.0)</f>
        <v>10501</v>
      </c>
    </row>
    <row r="394">
      <c r="A394" s="2">
        <f>IFERROR(__xludf.DUMMYFUNCTION("""COMPUTED_VALUE"""),42516.64583333333)</f>
        <v>42516.64583</v>
      </c>
      <c r="B394" s="1">
        <f>IFERROR(__xludf.DUMMYFUNCTION("""COMPUTED_VALUE"""),1863.36)</f>
        <v>1863.36</v>
      </c>
      <c r="C394" s="1">
        <f>IFERROR(__xludf.DUMMYFUNCTION("""COMPUTED_VALUE"""),1877.4)</f>
        <v>1877.4</v>
      </c>
      <c r="D394" s="1">
        <f>IFERROR(__xludf.DUMMYFUNCTION("""COMPUTED_VALUE"""),1863.36)</f>
        <v>1863.36</v>
      </c>
      <c r="E394" s="1">
        <f>IFERROR(__xludf.DUMMYFUNCTION("""COMPUTED_VALUE"""),1877.4)</f>
        <v>1877.4</v>
      </c>
      <c r="F394" s="1">
        <f>IFERROR(__xludf.DUMMYFUNCTION("""COMPUTED_VALUE"""),1089.0)</f>
        <v>1089</v>
      </c>
    </row>
    <row r="395">
      <c r="A395" s="2">
        <f>IFERROR(__xludf.DUMMYFUNCTION("""COMPUTED_VALUE"""),42517.64583333333)</f>
        <v>42517.64583</v>
      </c>
      <c r="B395" s="1">
        <f>IFERROR(__xludf.DUMMYFUNCTION("""COMPUTED_VALUE"""),1853.99)</f>
        <v>1853.99</v>
      </c>
      <c r="C395" s="1">
        <f>IFERROR(__xludf.DUMMYFUNCTION("""COMPUTED_VALUE"""),1900.81)</f>
        <v>1900.81</v>
      </c>
      <c r="D395" s="1">
        <f>IFERROR(__xludf.DUMMYFUNCTION("""COMPUTED_VALUE"""),1844.63)</f>
        <v>1844.63</v>
      </c>
      <c r="E395" s="1">
        <f>IFERROR(__xludf.DUMMYFUNCTION("""COMPUTED_VALUE"""),1868.04)</f>
        <v>1868.04</v>
      </c>
      <c r="F395" s="1">
        <f>IFERROR(__xludf.DUMMYFUNCTION("""COMPUTED_VALUE"""),19446.0)</f>
        <v>19446</v>
      </c>
    </row>
    <row r="396">
      <c r="A396" s="2">
        <f>IFERROR(__xludf.DUMMYFUNCTION("""COMPUTED_VALUE"""),42520.64583333333)</f>
        <v>42520.64583</v>
      </c>
      <c r="B396" s="1">
        <f>IFERROR(__xludf.DUMMYFUNCTION("""COMPUTED_VALUE"""),1825.9)</f>
        <v>1825.9</v>
      </c>
      <c r="C396" s="1">
        <f>IFERROR(__xludf.DUMMYFUNCTION("""COMPUTED_VALUE"""),1872.72)</f>
        <v>1872.72</v>
      </c>
      <c r="D396" s="1">
        <f>IFERROR(__xludf.DUMMYFUNCTION("""COMPUTED_VALUE"""),1825.9)</f>
        <v>1825.9</v>
      </c>
      <c r="E396" s="1">
        <f>IFERROR(__xludf.DUMMYFUNCTION("""COMPUTED_VALUE"""),1872.72)</f>
        <v>1872.72</v>
      </c>
      <c r="F396" s="1">
        <f>IFERROR(__xludf.DUMMYFUNCTION("""COMPUTED_VALUE"""),103676.0)</f>
        <v>103676</v>
      </c>
    </row>
    <row r="397">
      <c r="A397" s="2">
        <f>IFERROR(__xludf.DUMMYFUNCTION("""COMPUTED_VALUE"""),42521.64583333333)</f>
        <v>42521.64583</v>
      </c>
      <c r="B397" s="1">
        <f>IFERROR(__xludf.DUMMYFUNCTION("""COMPUTED_VALUE"""),1868.04)</f>
        <v>1868.04</v>
      </c>
      <c r="C397" s="1">
        <f>IFERROR(__xludf.DUMMYFUNCTION("""COMPUTED_VALUE"""),1872.72)</f>
        <v>1872.72</v>
      </c>
      <c r="D397" s="1">
        <f>IFERROR(__xludf.DUMMYFUNCTION("""COMPUTED_VALUE"""),1868.04)</f>
        <v>1868.04</v>
      </c>
      <c r="E397" s="1">
        <f>IFERROR(__xludf.DUMMYFUNCTION("""COMPUTED_VALUE"""),1872.72)</f>
        <v>1872.72</v>
      </c>
      <c r="F397" s="1">
        <f>IFERROR(__xludf.DUMMYFUNCTION("""COMPUTED_VALUE"""),4501.0)</f>
        <v>4501</v>
      </c>
    </row>
    <row r="398">
      <c r="A398" s="2">
        <f>IFERROR(__xludf.DUMMYFUNCTION("""COMPUTED_VALUE"""),42522.64583333333)</f>
        <v>42522.64583</v>
      </c>
      <c r="B398" s="1">
        <f>IFERROR(__xludf.DUMMYFUNCTION("""COMPUTED_VALUE"""),1868.04)</f>
        <v>1868.04</v>
      </c>
      <c r="C398" s="1">
        <f>IFERROR(__xludf.DUMMYFUNCTION("""COMPUTED_VALUE"""),1868.04)</f>
        <v>1868.04</v>
      </c>
      <c r="D398" s="1">
        <f>IFERROR(__xludf.DUMMYFUNCTION("""COMPUTED_VALUE"""),1825.9)</f>
        <v>1825.9</v>
      </c>
      <c r="E398" s="1">
        <f>IFERROR(__xludf.DUMMYFUNCTION("""COMPUTED_VALUE"""),1863.36)</f>
        <v>1863.36</v>
      </c>
      <c r="F398" s="1">
        <f>IFERROR(__xludf.DUMMYFUNCTION("""COMPUTED_VALUE"""),164355.0)</f>
        <v>164355</v>
      </c>
    </row>
    <row r="399">
      <c r="A399" s="2">
        <f>IFERROR(__xludf.DUMMYFUNCTION("""COMPUTED_VALUE"""),42523.64583333333)</f>
        <v>42523.64583</v>
      </c>
      <c r="B399" s="1">
        <f>IFERROR(__xludf.DUMMYFUNCTION("""COMPUTED_VALUE"""),1849.31)</f>
        <v>1849.31</v>
      </c>
      <c r="C399" s="1">
        <f>IFERROR(__xludf.DUMMYFUNCTION("""COMPUTED_VALUE"""),1863.36)</f>
        <v>1863.36</v>
      </c>
      <c r="D399" s="1">
        <f>IFERROR(__xludf.DUMMYFUNCTION("""COMPUTED_VALUE"""),1835.27)</f>
        <v>1835.27</v>
      </c>
      <c r="E399" s="1">
        <f>IFERROR(__xludf.DUMMYFUNCTION("""COMPUTED_VALUE"""),1863.36)</f>
        <v>1863.36</v>
      </c>
      <c r="F399" s="1">
        <f>IFERROR(__xludf.DUMMYFUNCTION("""COMPUTED_VALUE"""),38525.0)</f>
        <v>38525</v>
      </c>
    </row>
    <row r="400">
      <c r="A400" s="2">
        <f>IFERROR(__xludf.DUMMYFUNCTION("""COMPUTED_VALUE"""),42524.64583333333)</f>
        <v>42524.64583</v>
      </c>
      <c r="B400" s="1">
        <f>IFERROR(__xludf.DUMMYFUNCTION("""COMPUTED_VALUE"""),1853.99)</f>
        <v>1853.99</v>
      </c>
      <c r="C400" s="1">
        <f>IFERROR(__xludf.DUMMYFUNCTION("""COMPUTED_VALUE"""),1863.36)</f>
        <v>1863.36</v>
      </c>
      <c r="D400" s="1">
        <f>IFERROR(__xludf.DUMMYFUNCTION("""COMPUTED_VALUE"""),1825.9)</f>
        <v>1825.9</v>
      </c>
      <c r="E400" s="1">
        <f>IFERROR(__xludf.DUMMYFUNCTION("""COMPUTED_VALUE"""),1858.68)</f>
        <v>1858.68</v>
      </c>
      <c r="F400" s="1">
        <f>IFERROR(__xludf.DUMMYFUNCTION("""COMPUTED_VALUE"""),136384.0)</f>
        <v>136384</v>
      </c>
    </row>
    <row r="401">
      <c r="A401" s="2">
        <f>IFERROR(__xludf.DUMMYFUNCTION("""COMPUTED_VALUE"""),42528.64583333333)</f>
        <v>42528.64583</v>
      </c>
      <c r="B401" s="1">
        <f>IFERROR(__xludf.DUMMYFUNCTION("""COMPUTED_VALUE"""),1844.63)</f>
        <v>1844.63</v>
      </c>
      <c r="C401" s="1">
        <f>IFERROR(__xludf.DUMMYFUNCTION("""COMPUTED_VALUE"""),1858.68)</f>
        <v>1858.68</v>
      </c>
      <c r="D401" s="1">
        <f>IFERROR(__xludf.DUMMYFUNCTION("""COMPUTED_VALUE"""),1844.63)</f>
        <v>1844.63</v>
      </c>
      <c r="E401" s="1">
        <f>IFERROR(__xludf.DUMMYFUNCTION("""COMPUTED_VALUE"""),1853.99)</f>
        <v>1853.99</v>
      </c>
      <c r="F401" s="1">
        <f>IFERROR(__xludf.DUMMYFUNCTION("""COMPUTED_VALUE"""),6015.0)</f>
        <v>6015</v>
      </c>
    </row>
    <row r="402">
      <c r="A402" s="2">
        <f>IFERROR(__xludf.DUMMYFUNCTION("""COMPUTED_VALUE"""),42529.64583333333)</f>
        <v>42529.64583</v>
      </c>
      <c r="B402" s="1">
        <f>IFERROR(__xludf.DUMMYFUNCTION("""COMPUTED_VALUE"""),1858.68)</f>
        <v>1858.68</v>
      </c>
      <c r="C402" s="1">
        <f>IFERROR(__xludf.DUMMYFUNCTION("""COMPUTED_VALUE"""),1858.68)</f>
        <v>1858.68</v>
      </c>
      <c r="D402" s="1">
        <f>IFERROR(__xludf.DUMMYFUNCTION("""COMPUTED_VALUE"""),1835.27)</f>
        <v>1835.27</v>
      </c>
      <c r="E402" s="1">
        <f>IFERROR(__xludf.DUMMYFUNCTION("""COMPUTED_VALUE"""),1835.27)</f>
        <v>1835.27</v>
      </c>
      <c r="F402" s="1">
        <f>IFERROR(__xludf.DUMMYFUNCTION("""COMPUTED_VALUE"""),15523.0)</f>
        <v>15523</v>
      </c>
    </row>
    <row r="403">
      <c r="A403" s="2">
        <f>IFERROR(__xludf.DUMMYFUNCTION("""COMPUTED_VALUE"""),42530.64583333333)</f>
        <v>42530.64583</v>
      </c>
      <c r="B403" s="1">
        <f>IFERROR(__xludf.DUMMYFUNCTION("""COMPUTED_VALUE"""),1839.95)</f>
        <v>1839.95</v>
      </c>
      <c r="C403" s="1">
        <f>IFERROR(__xludf.DUMMYFUNCTION("""COMPUTED_VALUE"""),1868.04)</f>
        <v>1868.04</v>
      </c>
      <c r="D403" s="1">
        <f>IFERROR(__xludf.DUMMYFUNCTION("""COMPUTED_VALUE"""),1839.95)</f>
        <v>1839.95</v>
      </c>
      <c r="E403" s="1">
        <f>IFERROR(__xludf.DUMMYFUNCTION("""COMPUTED_VALUE"""),1868.04)</f>
        <v>1868.04</v>
      </c>
      <c r="F403" s="1">
        <f>IFERROR(__xludf.DUMMYFUNCTION("""COMPUTED_VALUE"""),3005.0)</f>
        <v>3005</v>
      </c>
    </row>
    <row r="404">
      <c r="A404" s="2">
        <f>IFERROR(__xludf.DUMMYFUNCTION("""COMPUTED_VALUE"""),42531.64583333333)</f>
        <v>42531.64583</v>
      </c>
      <c r="B404" s="1">
        <f>IFERROR(__xludf.DUMMYFUNCTION("""COMPUTED_VALUE"""),1863.36)</f>
        <v>1863.36</v>
      </c>
      <c r="C404" s="1">
        <f>IFERROR(__xludf.DUMMYFUNCTION("""COMPUTED_VALUE"""),1863.36)</f>
        <v>1863.36</v>
      </c>
      <c r="D404" s="1">
        <f>IFERROR(__xludf.DUMMYFUNCTION("""COMPUTED_VALUE"""),1858.68)</f>
        <v>1858.68</v>
      </c>
      <c r="E404" s="1">
        <f>IFERROR(__xludf.DUMMYFUNCTION("""COMPUTED_VALUE"""),1863.36)</f>
        <v>1863.36</v>
      </c>
      <c r="F404" s="1">
        <f>IFERROR(__xludf.DUMMYFUNCTION("""COMPUTED_VALUE"""),7597.0)</f>
        <v>7597</v>
      </c>
    </row>
    <row r="405">
      <c r="A405" s="2">
        <f>IFERROR(__xludf.DUMMYFUNCTION("""COMPUTED_VALUE"""),42534.64583333333)</f>
        <v>42534.64583</v>
      </c>
      <c r="B405" s="1">
        <f>IFERROR(__xludf.DUMMYFUNCTION("""COMPUTED_VALUE"""),1849.31)</f>
        <v>1849.31</v>
      </c>
      <c r="C405" s="1">
        <f>IFERROR(__xludf.DUMMYFUNCTION("""COMPUTED_VALUE"""),1868.04)</f>
        <v>1868.04</v>
      </c>
      <c r="D405" s="1">
        <f>IFERROR(__xludf.DUMMYFUNCTION("""COMPUTED_VALUE"""),1849.31)</f>
        <v>1849.31</v>
      </c>
      <c r="E405" s="1">
        <f>IFERROR(__xludf.DUMMYFUNCTION("""COMPUTED_VALUE"""),1868.04)</f>
        <v>1868.04</v>
      </c>
      <c r="F405" s="1">
        <f>IFERROR(__xludf.DUMMYFUNCTION("""COMPUTED_VALUE"""),9688.0)</f>
        <v>9688</v>
      </c>
    </row>
    <row r="406">
      <c r="A406" s="2">
        <f>IFERROR(__xludf.DUMMYFUNCTION("""COMPUTED_VALUE"""),42535.64583333333)</f>
        <v>42535.64583</v>
      </c>
      <c r="B406" s="1">
        <f>IFERROR(__xludf.DUMMYFUNCTION("""COMPUTED_VALUE"""),1863.36)</f>
        <v>1863.36</v>
      </c>
      <c r="C406" s="1">
        <f>IFERROR(__xludf.DUMMYFUNCTION("""COMPUTED_VALUE"""),1872.72)</f>
        <v>1872.72</v>
      </c>
      <c r="D406" s="1">
        <f>IFERROR(__xludf.DUMMYFUNCTION("""COMPUTED_VALUE"""),1858.68)</f>
        <v>1858.68</v>
      </c>
      <c r="E406" s="1">
        <f>IFERROR(__xludf.DUMMYFUNCTION("""COMPUTED_VALUE"""),1872.72)</f>
        <v>1872.72</v>
      </c>
      <c r="F406" s="1">
        <f>IFERROR(__xludf.DUMMYFUNCTION("""COMPUTED_VALUE"""),5837.0)</f>
        <v>5837</v>
      </c>
    </row>
    <row r="407">
      <c r="A407" s="2">
        <f>IFERROR(__xludf.DUMMYFUNCTION("""COMPUTED_VALUE"""),42536.64583333333)</f>
        <v>42536.64583</v>
      </c>
      <c r="B407" s="1">
        <f>IFERROR(__xludf.DUMMYFUNCTION("""COMPUTED_VALUE"""),1844.63)</f>
        <v>1844.63</v>
      </c>
      <c r="C407" s="1">
        <f>IFERROR(__xludf.DUMMYFUNCTION("""COMPUTED_VALUE"""),1872.72)</f>
        <v>1872.72</v>
      </c>
      <c r="D407" s="1">
        <f>IFERROR(__xludf.DUMMYFUNCTION("""COMPUTED_VALUE"""),1844.63)</f>
        <v>1844.63</v>
      </c>
      <c r="E407" s="1">
        <f>IFERROR(__xludf.DUMMYFUNCTION("""COMPUTED_VALUE"""),1868.04)</f>
        <v>1868.04</v>
      </c>
      <c r="F407" s="1">
        <f>IFERROR(__xludf.DUMMYFUNCTION("""COMPUTED_VALUE"""),14940.0)</f>
        <v>14940</v>
      </c>
    </row>
    <row r="408">
      <c r="A408" s="2">
        <f>IFERROR(__xludf.DUMMYFUNCTION("""COMPUTED_VALUE"""),42537.64583333333)</f>
        <v>42537.64583</v>
      </c>
      <c r="B408" s="1">
        <f>IFERROR(__xludf.DUMMYFUNCTION("""COMPUTED_VALUE"""),1868.04)</f>
        <v>1868.04</v>
      </c>
      <c r="C408" s="1">
        <f>IFERROR(__xludf.DUMMYFUNCTION("""COMPUTED_VALUE"""),1868.04)</f>
        <v>1868.04</v>
      </c>
      <c r="D408" s="1">
        <f>IFERROR(__xludf.DUMMYFUNCTION("""COMPUTED_VALUE"""),1858.68)</f>
        <v>1858.68</v>
      </c>
      <c r="E408" s="1">
        <f>IFERROR(__xludf.DUMMYFUNCTION("""COMPUTED_VALUE"""),1868.04)</f>
        <v>1868.04</v>
      </c>
      <c r="F408" s="1">
        <f>IFERROR(__xludf.DUMMYFUNCTION("""COMPUTED_VALUE"""),6714.0)</f>
        <v>6714</v>
      </c>
    </row>
    <row r="409">
      <c r="A409" s="2">
        <f>IFERROR(__xludf.DUMMYFUNCTION("""COMPUTED_VALUE"""),42538.64583333333)</f>
        <v>42538.64583</v>
      </c>
      <c r="B409" s="1">
        <f>IFERROR(__xludf.DUMMYFUNCTION("""COMPUTED_VALUE"""),1844.63)</f>
        <v>1844.63</v>
      </c>
      <c r="C409" s="1">
        <f>IFERROR(__xludf.DUMMYFUNCTION("""COMPUTED_VALUE"""),1868.04)</f>
        <v>1868.04</v>
      </c>
      <c r="D409" s="1">
        <f>IFERROR(__xludf.DUMMYFUNCTION("""COMPUTED_VALUE"""),1844.63)</f>
        <v>1844.63</v>
      </c>
      <c r="E409" s="1">
        <f>IFERROR(__xludf.DUMMYFUNCTION("""COMPUTED_VALUE"""),1863.36)</f>
        <v>1863.36</v>
      </c>
      <c r="F409" s="1">
        <f>IFERROR(__xludf.DUMMYFUNCTION("""COMPUTED_VALUE"""),20272.0)</f>
        <v>20272</v>
      </c>
    </row>
    <row r="410">
      <c r="A410" s="2">
        <f>IFERROR(__xludf.DUMMYFUNCTION("""COMPUTED_VALUE"""),42541.64583333333)</f>
        <v>42541.64583</v>
      </c>
      <c r="B410" s="1">
        <f>IFERROR(__xludf.DUMMYFUNCTION("""COMPUTED_VALUE"""),1863.36)</f>
        <v>1863.36</v>
      </c>
      <c r="C410" s="1">
        <f>IFERROR(__xludf.DUMMYFUNCTION("""COMPUTED_VALUE"""),1863.36)</f>
        <v>1863.36</v>
      </c>
      <c r="D410" s="1">
        <f>IFERROR(__xludf.DUMMYFUNCTION("""COMPUTED_VALUE"""),1853.99)</f>
        <v>1853.99</v>
      </c>
      <c r="E410" s="1">
        <f>IFERROR(__xludf.DUMMYFUNCTION("""COMPUTED_VALUE"""),1853.99)</f>
        <v>1853.99</v>
      </c>
      <c r="F410" s="1">
        <f>IFERROR(__xludf.DUMMYFUNCTION("""COMPUTED_VALUE"""),7765.0)</f>
        <v>7765</v>
      </c>
    </row>
    <row r="411">
      <c r="A411" s="2">
        <f>IFERROR(__xludf.DUMMYFUNCTION("""COMPUTED_VALUE"""),42542.64583333333)</f>
        <v>42542.64583</v>
      </c>
      <c r="B411" s="1">
        <f>IFERROR(__xludf.DUMMYFUNCTION("""COMPUTED_VALUE"""),1844.63)</f>
        <v>1844.63</v>
      </c>
      <c r="C411" s="1">
        <f>IFERROR(__xludf.DUMMYFUNCTION("""COMPUTED_VALUE"""),1858.68)</f>
        <v>1858.68</v>
      </c>
      <c r="D411" s="1">
        <f>IFERROR(__xludf.DUMMYFUNCTION("""COMPUTED_VALUE"""),1839.95)</f>
        <v>1839.95</v>
      </c>
      <c r="E411" s="1">
        <f>IFERROR(__xludf.DUMMYFUNCTION("""COMPUTED_VALUE"""),1858.68)</f>
        <v>1858.68</v>
      </c>
      <c r="F411" s="1">
        <f>IFERROR(__xludf.DUMMYFUNCTION("""COMPUTED_VALUE"""),21001.0)</f>
        <v>21001</v>
      </c>
    </row>
    <row r="412">
      <c r="A412" s="2">
        <f>IFERROR(__xludf.DUMMYFUNCTION("""COMPUTED_VALUE"""),42543.64583333333)</f>
        <v>42543.64583</v>
      </c>
      <c r="B412" s="1">
        <f>IFERROR(__xludf.DUMMYFUNCTION("""COMPUTED_VALUE"""),1844.63)</f>
        <v>1844.63</v>
      </c>
      <c r="C412" s="1">
        <f>IFERROR(__xludf.DUMMYFUNCTION("""COMPUTED_VALUE"""),1863.36)</f>
        <v>1863.36</v>
      </c>
      <c r="D412" s="1">
        <f>IFERROR(__xludf.DUMMYFUNCTION("""COMPUTED_VALUE"""),1844.63)</f>
        <v>1844.63</v>
      </c>
      <c r="E412" s="1">
        <f>IFERROR(__xludf.DUMMYFUNCTION("""COMPUTED_VALUE"""),1863.36)</f>
        <v>1863.36</v>
      </c>
      <c r="F412" s="1">
        <f>IFERROR(__xludf.DUMMYFUNCTION("""COMPUTED_VALUE"""),10216.0)</f>
        <v>10216</v>
      </c>
    </row>
    <row r="413">
      <c r="A413" s="2">
        <f>IFERROR(__xludf.DUMMYFUNCTION("""COMPUTED_VALUE"""),42544.64583333333)</f>
        <v>42544.64583</v>
      </c>
      <c r="B413" s="1">
        <f>IFERROR(__xludf.DUMMYFUNCTION("""COMPUTED_VALUE"""),1853.99)</f>
        <v>1853.99</v>
      </c>
      <c r="C413" s="1">
        <f>IFERROR(__xludf.DUMMYFUNCTION("""COMPUTED_VALUE"""),1872.72)</f>
        <v>1872.72</v>
      </c>
      <c r="D413" s="1">
        <f>IFERROR(__xludf.DUMMYFUNCTION("""COMPUTED_VALUE"""),1844.63)</f>
        <v>1844.63</v>
      </c>
      <c r="E413" s="1">
        <f>IFERROR(__xludf.DUMMYFUNCTION("""COMPUTED_VALUE"""),1868.04)</f>
        <v>1868.04</v>
      </c>
      <c r="F413" s="1">
        <f>IFERROR(__xludf.DUMMYFUNCTION("""COMPUTED_VALUE"""),26284.0)</f>
        <v>26284</v>
      </c>
    </row>
    <row r="414">
      <c r="A414" s="2">
        <f>IFERROR(__xludf.DUMMYFUNCTION("""COMPUTED_VALUE"""),42545.64583333333)</f>
        <v>42545.64583</v>
      </c>
      <c r="B414" s="1">
        <f>IFERROR(__xludf.DUMMYFUNCTION("""COMPUTED_VALUE"""),1853.99)</f>
        <v>1853.99</v>
      </c>
      <c r="C414" s="1">
        <f>IFERROR(__xludf.DUMMYFUNCTION("""COMPUTED_VALUE"""),1858.68)</f>
        <v>1858.68</v>
      </c>
      <c r="D414" s="1">
        <f>IFERROR(__xludf.DUMMYFUNCTION("""COMPUTED_VALUE"""),1839.95)</f>
        <v>1839.95</v>
      </c>
      <c r="E414" s="1">
        <f>IFERROR(__xludf.DUMMYFUNCTION("""COMPUTED_VALUE"""),1858.68)</f>
        <v>1858.68</v>
      </c>
      <c r="F414" s="1">
        <f>IFERROR(__xludf.DUMMYFUNCTION("""COMPUTED_VALUE"""),23887.0)</f>
        <v>23887</v>
      </c>
    </row>
    <row r="415">
      <c r="A415" s="2">
        <f>IFERROR(__xludf.DUMMYFUNCTION("""COMPUTED_VALUE"""),42548.64583333333)</f>
        <v>42548.64583</v>
      </c>
      <c r="B415" s="1">
        <f>IFERROR(__xludf.DUMMYFUNCTION("""COMPUTED_VALUE"""),1844.63)</f>
        <v>1844.63</v>
      </c>
      <c r="C415" s="1">
        <f>IFERROR(__xludf.DUMMYFUNCTION("""COMPUTED_VALUE"""),1858.68)</f>
        <v>1858.68</v>
      </c>
      <c r="D415" s="1">
        <f>IFERROR(__xludf.DUMMYFUNCTION("""COMPUTED_VALUE"""),1844.63)</f>
        <v>1844.63</v>
      </c>
      <c r="E415" s="1">
        <f>IFERROR(__xludf.DUMMYFUNCTION("""COMPUTED_VALUE"""),1858.68)</f>
        <v>1858.68</v>
      </c>
      <c r="F415" s="1">
        <f>IFERROR(__xludf.DUMMYFUNCTION("""COMPUTED_VALUE"""),5413.0)</f>
        <v>5413</v>
      </c>
    </row>
    <row r="416">
      <c r="A416" s="2">
        <f>IFERROR(__xludf.DUMMYFUNCTION("""COMPUTED_VALUE"""),42549.64583333333)</f>
        <v>42549.64583</v>
      </c>
      <c r="B416" s="1">
        <f>IFERROR(__xludf.DUMMYFUNCTION("""COMPUTED_VALUE"""),1863.36)</f>
        <v>1863.36</v>
      </c>
      <c r="C416" s="1">
        <f>IFERROR(__xludf.DUMMYFUNCTION("""COMPUTED_VALUE"""),1868.04)</f>
        <v>1868.04</v>
      </c>
      <c r="D416" s="1">
        <f>IFERROR(__xludf.DUMMYFUNCTION("""COMPUTED_VALUE"""),1863.36)</f>
        <v>1863.36</v>
      </c>
      <c r="E416" s="1">
        <f>IFERROR(__xludf.DUMMYFUNCTION("""COMPUTED_VALUE"""),1868.04)</f>
        <v>1868.04</v>
      </c>
      <c r="F416" s="1">
        <f>IFERROR(__xludf.DUMMYFUNCTION("""COMPUTED_VALUE"""),20661.0)</f>
        <v>20661</v>
      </c>
    </row>
    <row r="417">
      <c r="A417" s="2">
        <f>IFERROR(__xludf.DUMMYFUNCTION("""COMPUTED_VALUE"""),42550.64583333333)</f>
        <v>42550.64583</v>
      </c>
      <c r="B417" s="1">
        <f>IFERROR(__xludf.DUMMYFUNCTION("""COMPUTED_VALUE"""),1839.95)</f>
        <v>1839.95</v>
      </c>
      <c r="C417" s="1">
        <f>IFERROR(__xludf.DUMMYFUNCTION("""COMPUTED_VALUE"""),1886.77)</f>
        <v>1886.77</v>
      </c>
      <c r="D417" s="1">
        <f>IFERROR(__xludf.DUMMYFUNCTION("""COMPUTED_VALUE"""),1839.95)</f>
        <v>1839.95</v>
      </c>
      <c r="E417" s="1">
        <f>IFERROR(__xludf.DUMMYFUNCTION("""COMPUTED_VALUE"""),1872.72)</f>
        <v>1872.72</v>
      </c>
      <c r="F417" s="1">
        <f>IFERROR(__xludf.DUMMYFUNCTION("""COMPUTED_VALUE"""),37856.0)</f>
        <v>37856</v>
      </c>
    </row>
    <row r="418">
      <c r="A418" s="2">
        <f>IFERROR(__xludf.DUMMYFUNCTION("""COMPUTED_VALUE"""),42551.64583333333)</f>
        <v>42551.64583</v>
      </c>
      <c r="B418" s="1">
        <f>IFERROR(__xludf.DUMMYFUNCTION("""COMPUTED_VALUE"""),1872.72)</f>
        <v>1872.72</v>
      </c>
      <c r="C418" s="1">
        <f>IFERROR(__xludf.DUMMYFUNCTION("""COMPUTED_VALUE"""),1891.45)</f>
        <v>1891.45</v>
      </c>
      <c r="D418" s="1">
        <f>IFERROR(__xludf.DUMMYFUNCTION("""COMPUTED_VALUE"""),1872.72)</f>
        <v>1872.72</v>
      </c>
      <c r="E418" s="1">
        <f>IFERROR(__xludf.DUMMYFUNCTION("""COMPUTED_VALUE"""),1891.45)</f>
        <v>1891.45</v>
      </c>
      <c r="F418" s="1">
        <f>IFERROR(__xludf.DUMMYFUNCTION("""COMPUTED_VALUE"""),4107.0)</f>
        <v>4107</v>
      </c>
    </row>
    <row r="419">
      <c r="A419" s="2">
        <f>IFERROR(__xludf.DUMMYFUNCTION("""COMPUTED_VALUE"""),42552.64583333333)</f>
        <v>42552.64583</v>
      </c>
      <c r="B419" s="1">
        <f>IFERROR(__xludf.DUMMYFUNCTION("""COMPUTED_VALUE"""),1882.09)</f>
        <v>1882.09</v>
      </c>
      <c r="C419" s="1">
        <f>IFERROR(__xludf.DUMMYFUNCTION("""COMPUTED_VALUE"""),1900.81)</f>
        <v>1900.81</v>
      </c>
      <c r="D419" s="1">
        <f>IFERROR(__xludf.DUMMYFUNCTION("""COMPUTED_VALUE"""),1882.09)</f>
        <v>1882.09</v>
      </c>
      <c r="E419" s="1">
        <f>IFERROR(__xludf.DUMMYFUNCTION("""COMPUTED_VALUE"""),1900.81)</f>
        <v>1900.81</v>
      </c>
      <c r="F419" s="1">
        <f>IFERROR(__xludf.DUMMYFUNCTION("""COMPUTED_VALUE"""),7543.0)</f>
        <v>7543</v>
      </c>
    </row>
    <row r="420">
      <c r="A420" s="2">
        <f>IFERROR(__xludf.DUMMYFUNCTION("""COMPUTED_VALUE"""),42555.64583333333)</f>
        <v>42555.64583</v>
      </c>
      <c r="B420" s="1">
        <f>IFERROR(__xludf.DUMMYFUNCTION("""COMPUTED_VALUE"""),1868.04)</f>
        <v>1868.04</v>
      </c>
      <c r="C420" s="1">
        <f>IFERROR(__xludf.DUMMYFUNCTION("""COMPUTED_VALUE"""),1886.77)</f>
        <v>1886.77</v>
      </c>
      <c r="D420" s="1">
        <f>IFERROR(__xludf.DUMMYFUNCTION("""COMPUTED_VALUE"""),1868.04)</f>
        <v>1868.04</v>
      </c>
      <c r="E420" s="1">
        <f>IFERROR(__xludf.DUMMYFUNCTION("""COMPUTED_VALUE"""),1882.09)</f>
        <v>1882.09</v>
      </c>
      <c r="F420" s="1">
        <f>IFERROR(__xludf.DUMMYFUNCTION("""COMPUTED_VALUE"""),9992.0)</f>
        <v>9992</v>
      </c>
    </row>
    <row r="421">
      <c r="A421" s="2">
        <f>IFERROR(__xludf.DUMMYFUNCTION("""COMPUTED_VALUE"""),42556.64583333333)</f>
        <v>42556.64583</v>
      </c>
      <c r="B421" s="1">
        <f>IFERROR(__xludf.DUMMYFUNCTION("""COMPUTED_VALUE"""),1882.09)</f>
        <v>1882.09</v>
      </c>
      <c r="C421" s="1">
        <f>IFERROR(__xludf.DUMMYFUNCTION("""COMPUTED_VALUE"""),1891.45)</f>
        <v>1891.45</v>
      </c>
      <c r="D421" s="1">
        <f>IFERROR(__xludf.DUMMYFUNCTION("""COMPUTED_VALUE"""),1882.09)</f>
        <v>1882.09</v>
      </c>
      <c r="E421" s="1">
        <f>IFERROR(__xludf.DUMMYFUNCTION("""COMPUTED_VALUE"""),1886.77)</f>
        <v>1886.77</v>
      </c>
      <c r="F421" s="1">
        <f>IFERROR(__xludf.DUMMYFUNCTION("""COMPUTED_VALUE"""),667.0)</f>
        <v>667</v>
      </c>
    </row>
    <row r="422">
      <c r="A422" s="2">
        <f>IFERROR(__xludf.DUMMYFUNCTION("""COMPUTED_VALUE"""),42557.64583333333)</f>
        <v>42557.64583</v>
      </c>
      <c r="B422" s="1">
        <f>IFERROR(__xludf.DUMMYFUNCTION("""COMPUTED_VALUE"""),1886.77)</f>
        <v>1886.77</v>
      </c>
      <c r="C422" s="1">
        <f>IFERROR(__xludf.DUMMYFUNCTION("""COMPUTED_VALUE"""),1891.45)</f>
        <v>1891.45</v>
      </c>
      <c r="D422" s="1">
        <f>IFERROR(__xludf.DUMMYFUNCTION("""COMPUTED_VALUE"""),1886.77)</f>
        <v>1886.77</v>
      </c>
      <c r="E422" s="1">
        <f>IFERROR(__xludf.DUMMYFUNCTION("""COMPUTED_VALUE"""),1891.45)</f>
        <v>1891.45</v>
      </c>
      <c r="F422" s="1">
        <f>IFERROR(__xludf.DUMMYFUNCTION("""COMPUTED_VALUE"""),256.0)</f>
        <v>256</v>
      </c>
    </row>
    <row r="423">
      <c r="A423" s="2">
        <f>IFERROR(__xludf.DUMMYFUNCTION("""COMPUTED_VALUE"""),42558.64583333333)</f>
        <v>42558.64583</v>
      </c>
      <c r="B423" s="1">
        <f>IFERROR(__xludf.DUMMYFUNCTION("""COMPUTED_VALUE"""),1891.45)</f>
        <v>1891.45</v>
      </c>
      <c r="C423" s="1">
        <f>IFERROR(__xludf.DUMMYFUNCTION("""COMPUTED_VALUE"""),1891.45)</f>
        <v>1891.45</v>
      </c>
      <c r="D423" s="1">
        <f>IFERROR(__xludf.DUMMYFUNCTION("""COMPUTED_VALUE"""),1891.45)</f>
        <v>1891.45</v>
      </c>
      <c r="E423" s="1">
        <f>IFERROR(__xludf.DUMMYFUNCTION("""COMPUTED_VALUE"""),1891.45)</f>
        <v>1891.45</v>
      </c>
      <c r="F423" s="1">
        <f>IFERROR(__xludf.DUMMYFUNCTION("""COMPUTED_VALUE"""),848.0)</f>
        <v>848</v>
      </c>
    </row>
    <row r="424">
      <c r="A424" s="2">
        <f>IFERROR(__xludf.DUMMYFUNCTION("""COMPUTED_VALUE"""),42559.64583333333)</f>
        <v>42559.64583</v>
      </c>
      <c r="B424" s="1">
        <f>IFERROR(__xludf.DUMMYFUNCTION("""COMPUTED_VALUE"""),1896.13)</f>
        <v>1896.13</v>
      </c>
      <c r="C424" s="1">
        <f>IFERROR(__xludf.DUMMYFUNCTION("""COMPUTED_VALUE"""),1900.81)</f>
        <v>1900.81</v>
      </c>
      <c r="D424" s="1">
        <f>IFERROR(__xludf.DUMMYFUNCTION("""COMPUTED_VALUE"""),1891.45)</f>
        <v>1891.45</v>
      </c>
      <c r="E424" s="1">
        <f>IFERROR(__xludf.DUMMYFUNCTION("""COMPUTED_VALUE"""),1891.45)</f>
        <v>1891.45</v>
      </c>
      <c r="F424" s="1">
        <f>IFERROR(__xludf.DUMMYFUNCTION("""COMPUTED_VALUE"""),1632.0)</f>
        <v>1632</v>
      </c>
    </row>
    <row r="425">
      <c r="A425" s="2">
        <f>IFERROR(__xludf.DUMMYFUNCTION("""COMPUTED_VALUE"""),42562.64583333333)</f>
        <v>42562.64583</v>
      </c>
      <c r="B425" s="1">
        <f>IFERROR(__xludf.DUMMYFUNCTION("""COMPUTED_VALUE"""),1896.13)</f>
        <v>1896.13</v>
      </c>
      <c r="C425" s="1">
        <f>IFERROR(__xludf.DUMMYFUNCTION("""COMPUTED_VALUE"""),1896.13)</f>
        <v>1896.13</v>
      </c>
      <c r="D425" s="1">
        <f>IFERROR(__xludf.DUMMYFUNCTION("""COMPUTED_VALUE"""),1877.4)</f>
        <v>1877.4</v>
      </c>
      <c r="E425" s="1">
        <f>IFERROR(__xludf.DUMMYFUNCTION("""COMPUTED_VALUE"""),1896.13)</f>
        <v>1896.13</v>
      </c>
      <c r="F425" s="1">
        <f>IFERROR(__xludf.DUMMYFUNCTION("""COMPUTED_VALUE"""),365.0)</f>
        <v>365</v>
      </c>
    </row>
    <row r="426">
      <c r="A426" s="2">
        <f>IFERROR(__xludf.DUMMYFUNCTION("""COMPUTED_VALUE"""),42563.64583333333)</f>
        <v>42563.64583</v>
      </c>
      <c r="B426" s="1">
        <f>IFERROR(__xludf.DUMMYFUNCTION("""COMPUTED_VALUE"""),1900.81)</f>
        <v>1900.81</v>
      </c>
      <c r="C426" s="1">
        <f>IFERROR(__xludf.DUMMYFUNCTION("""COMPUTED_VALUE"""),1900.81)</f>
        <v>1900.81</v>
      </c>
      <c r="D426" s="1">
        <f>IFERROR(__xludf.DUMMYFUNCTION("""COMPUTED_VALUE"""),1896.13)</f>
        <v>1896.13</v>
      </c>
      <c r="E426" s="1">
        <f>IFERROR(__xludf.DUMMYFUNCTION("""COMPUTED_VALUE"""),1896.13)</f>
        <v>1896.13</v>
      </c>
      <c r="F426" s="1">
        <f>IFERROR(__xludf.DUMMYFUNCTION("""COMPUTED_VALUE"""),4601.0)</f>
        <v>4601</v>
      </c>
    </row>
    <row r="427">
      <c r="A427" s="2">
        <f>IFERROR(__xludf.DUMMYFUNCTION("""COMPUTED_VALUE"""),42564.64583333333)</f>
        <v>42564.64583</v>
      </c>
      <c r="B427" s="1">
        <f>IFERROR(__xludf.DUMMYFUNCTION("""COMPUTED_VALUE"""),1900.81)</f>
        <v>1900.81</v>
      </c>
      <c r="C427" s="1">
        <f>IFERROR(__xludf.DUMMYFUNCTION("""COMPUTED_VALUE"""),1900.81)</f>
        <v>1900.81</v>
      </c>
      <c r="D427" s="1">
        <f>IFERROR(__xludf.DUMMYFUNCTION("""COMPUTED_VALUE"""),1896.13)</f>
        <v>1896.13</v>
      </c>
      <c r="E427" s="1">
        <f>IFERROR(__xludf.DUMMYFUNCTION("""COMPUTED_VALUE"""),1900.81)</f>
        <v>1900.81</v>
      </c>
      <c r="F427" s="1">
        <f>IFERROR(__xludf.DUMMYFUNCTION("""COMPUTED_VALUE"""),18288.0)</f>
        <v>18288</v>
      </c>
    </row>
    <row r="428">
      <c r="A428" s="2">
        <f>IFERROR(__xludf.DUMMYFUNCTION("""COMPUTED_VALUE"""),42565.64583333333)</f>
        <v>42565.64583</v>
      </c>
      <c r="B428" s="1">
        <f>IFERROR(__xludf.DUMMYFUNCTION("""COMPUTED_VALUE"""),1900.81)</f>
        <v>1900.81</v>
      </c>
      <c r="C428" s="1">
        <f>IFERROR(__xludf.DUMMYFUNCTION("""COMPUTED_VALUE"""),1900.81)</f>
        <v>1900.81</v>
      </c>
      <c r="D428" s="1">
        <f>IFERROR(__xludf.DUMMYFUNCTION("""COMPUTED_VALUE"""),1900.81)</f>
        <v>1900.81</v>
      </c>
      <c r="E428" s="1">
        <f>IFERROR(__xludf.DUMMYFUNCTION("""COMPUTED_VALUE"""),1900.81)</f>
        <v>1900.81</v>
      </c>
      <c r="F428" s="1">
        <f>IFERROR(__xludf.DUMMYFUNCTION("""COMPUTED_VALUE"""),100.0)</f>
        <v>100</v>
      </c>
    </row>
    <row r="429">
      <c r="A429" s="2">
        <f>IFERROR(__xludf.DUMMYFUNCTION("""COMPUTED_VALUE"""),42566.64583333333)</f>
        <v>42566.64583</v>
      </c>
      <c r="B429" s="1">
        <f>IFERROR(__xludf.DUMMYFUNCTION("""COMPUTED_VALUE"""),1891.45)</f>
        <v>1891.45</v>
      </c>
      <c r="C429" s="1">
        <f>IFERROR(__xludf.DUMMYFUNCTION("""COMPUTED_VALUE"""),1891.45)</f>
        <v>1891.45</v>
      </c>
      <c r="D429" s="1">
        <f>IFERROR(__xludf.DUMMYFUNCTION("""COMPUTED_VALUE"""),1882.09)</f>
        <v>1882.09</v>
      </c>
      <c r="E429" s="1">
        <f>IFERROR(__xludf.DUMMYFUNCTION("""COMPUTED_VALUE"""),1886.77)</f>
        <v>1886.77</v>
      </c>
      <c r="F429" s="1">
        <f>IFERROR(__xludf.DUMMYFUNCTION("""COMPUTED_VALUE"""),3150.0)</f>
        <v>3150</v>
      </c>
    </row>
    <row r="430">
      <c r="A430" s="2">
        <f>IFERROR(__xludf.DUMMYFUNCTION("""COMPUTED_VALUE"""),42569.64583333333)</f>
        <v>42569.64583</v>
      </c>
      <c r="B430" s="1">
        <f>IFERROR(__xludf.DUMMYFUNCTION("""COMPUTED_VALUE"""),1891.45)</f>
        <v>1891.45</v>
      </c>
      <c r="C430" s="1">
        <f>IFERROR(__xludf.DUMMYFUNCTION("""COMPUTED_VALUE"""),1891.45)</f>
        <v>1891.45</v>
      </c>
      <c r="D430" s="1">
        <f>IFERROR(__xludf.DUMMYFUNCTION("""COMPUTED_VALUE"""),1877.4)</f>
        <v>1877.4</v>
      </c>
      <c r="E430" s="1">
        <f>IFERROR(__xludf.DUMMYFUNCTION("""COMPUTED_VALUE"""),1891.45)</f>
        <v>1891.45</v>
      </c>
      <c r="F430" s="1">
        <f>IFERROR(__xludf.DUMMYFUNCTION("""COMPUTED_VALUE"""),2940.0)</f>
        <v>2940</v>
      </c>
    </row>
    <row r="431">
      <c r="A431" s="2">
        <f>IFERROR(__xludf.DUMMYFUNCTION("""COMPUTED_VALUE"""),42570.64583333333)</f>
        <v>42570.64583</v>
      </c>
      <c r="B431" s="1">
        <f>IFERROR(__xludf.DUMMYFUNCTION("""COMPUTED_VALUE"""),1882.09)</f>
        <v>1882.09</v>
      </c>
      <c r="C431" s="1">
        <f>IFERROR(__xludf.DUMMYFUNCTION("""COMPUTED_VALUE"""),1882.09)</f>
        <v>1882.09</v>
      </c>
      <c r="D431" s="1">
        <f>IFERROR(__xludf.DUMMYFUNCTION("""COMPUTED_VALUE"""),1882.09)</f>
        <v>1882.09</v>
      </c>
      <c r="E431" s="1">
        <f>IFERROR(__xludf.DUMMYFUNCTION("""COMPUTED_VALUE"""),1882.09)</f>
        <v>1882.09</v>
      </c>
      <c r="F431" s="1">
        <f>IFERROR(__xludf.DUMMYFUNCTION("""COMPUTED_VALUE"""),5463.0)</f>
        <v>5463</v>
      </c>
    </row>
    <row r="432">
      <c r="A432" s="2">
        <f>IFERROR(__xludf.DUMMYFUNCTION("""COMPUTED_VALUE"""),42571.64583333333)</f>
        <v>42571.64583</v>
      </c>
      <c r="B432" s="1">
        <f>IFERROR(__xludf.DUMMYFUNCTION("""COMPUTED_VALUE"""),1872.72)</f>
        <v>1872.72</v>
      </c>
      <c r="C432" s="1">
        <f>IFERROR(__xludf.DUMMYFUNCTION("""COMPUTED_VALUE"""),1896.13)</f>
        <v>1896.13</v>
      </c>
      <c r="D432" s="1">
        <f>IFERROR(__xludf.DUMMYFUNCTION("""COMPUTED_VALUE"""),1872.72)</f>
        <v>1872.72</v>
      </c>
      <c r="E432" s="1">
        <f>IFERROR(__xludf.DUMMYFUNCTION("""COMPUTED_VALUE"""),1896.13)</f>
        <v>1896.13</v>
      </c>
      <c r="F432" s="1">
        <f>IFERROR(__xludf.DUMMYFUNCTION("""COMPUTED_VALUE"""),9540.0)</f>
        <v>9540</v>
      </c>
    </row>
    <row r="433">
      <c r="A433" s="2">
        <f>IFERROR(__xludf.DUMMYFUNCTION("""COMPUTED_VALUE"""),42572.64583333333)</f>
        <v>42572.64583</v>
      </c>
      <c r="B433" s="1">
        <f>IFERROR(__xludf.DUMMYFUNCTION("""COMPUTED_VALUE"""),1896.13)</f>
        <v>1896.13</v>
      </c>
      <c r="C433" s="1">
        <f>IFERROR(__xludf.DUMMYFUNCTION("""COMPUTED_VALUE"""),1896.13)</f>
        <v>1896.13</v>
      </c>
      <c r="D433" s="1">
        <f>IFERROR(__xludf.DUMMYFUNCTION("""COMPUTED_VALUE"""),1896.13)</f>
        <v>1896.13</v>
      </c>
      <c r="E433" s="1">
        <f>IFERROR(__xludf.DUMMYFUNCTION("""COMPUTED_VALUE"""),1896.13)</f>
        <v>1896.13</v>
      </c>
      <c r="F433" s="1">
        <f>IFERROR(__xludf.DUMMYFUNCTION("""COMPUTED_VALUE"""),3000.0)</f>
        <v>3000</v>
      </c>
    </row>
    <row r="434">
      <c r="A434" s="2">
        <f>IFERROR(__xludf.DUMMYFUNCTION("""COMPUTED_VALUE"""),42573.64583333333)</f>
        <v>42573.64583</v>
      </c>
      <c r="B434" s="1">
        <f>IFERROR(__xludf.DUMMYFUNCTION("""COMPUTED_VALUE"""),1877.4)</f>
        <v>1877.4</v>
      </c>
      <c r="C434" s="1">
        <f>IFERROR(__xludf.DUMMYFUNCTION("""COMPUTED_VALUE"""),1896.13)</f>
        <v>1896.13</v>
      </c>
      <c r="D434" s="1">
        <f>IFERROR(__xludf.DUMMYFUNCTION("""COMPUTED_VALUE"""),1877.4)</f>
        <v>1877.4</v>
      </c>
      <c r="E434" s="1">
        <f>IFERROR(__xludf.DUMMYFUNCTION("""COMPUTED_VALUE"""),1896.13)</f>
        <v>1896.13</v>
      </c>
      <c r="F434" s="1">
        <f>IFERROR(__xludf.DUMMYFUNCTION("""COMPUTED_VALUE"""),918.0)</f>
        <v>918</v>
      </c>
    </row>
    <row r="435">
      <c r="A435" s="2">
        <f>IFERROR(__xludf.DUMMYFUNCTION("""COMPUTED_VALUE"""),42576.64583333333)</f>
        <v>42576.64583</v>
      </c>
      <c r="B435" s="1">
        <f>IFERROR(__xludf.DUMMYFUNCTION("""COMPUTED_VALUE"""),1896.13)</f>
        <v>1896.13</v>
      </c>
      <c r="C435" s="1">
        <f>IFERROR(__xludf.DUMMYFUNCTION("""COMPUTED_VALUE"""),1900.81)</f>
        <v>1900.81</v>
      </c>
      <c r="D435" s="1">
        <f>IFERROR(__xludf.DUMMYFUNCTION("""COMPUTED_VALUE"""),1882.09)</f>
        <v>1882.09</v>
      </c>
      <c r="E435" s="1">
        <f>IFERROR(__xludf.DUMMYFUNCTION("""COMPUTED_VALUE"""),1882.09)</f>
        <v>1882.09</v>
      </c>
      <c r="F435" s="1">
        <f>IFERROR(__xludf.DUMMYFUNCTION("""COMPUTED_VALUE"""),5504.0)</f>
        <v>5504</v>
      </c>
    </row>
    <row r="436">
      <c r="A436" s="2">
        <f>IFERROR(__xludf.DUMMYFUNCTION("""COMPUTED_VALUE"""),42577.64583333333)</f>
        <v>42577.64583</v>
      </c>
      <c r="B436" s="1">
        <f>IFERROR(__xludf.DUMMYFUNCTION("""COMPUTED_VALUE"""),1882.09)</f>
        <v>1882.09</v>
      </c>
      <c r="C436" s="1">
        <f>IFERROR(__xludf.DUMMYFUNCTION("""COMPUTED_VALUE"""),1882.09)</f>
        <v>1882.09</v>
      </c>
      <c r="D436" s="1">
        <f>IFERROR(__xludf.DUMMYFUNCTION("""COMPUTED_VALUE"""),1882.09)</f>
        <v>1882.09</v>
      </c>
      <c r="E436" s="1">
        <f>IFERROR(__xludf.DUMMYFUNCTION("""COMPUTED_VALUE"""),1882.09)</f>
        <v>1882.09</v>
      </c>
      <c r="F436" s="1">
        <f>IFERROR(__xludf.DUMMYFUNCTION("""COMPUTED_VALUE"""),4.0)</f>
        <v>4</v>
      </c>
    </row>
    <row r="437">
      <c r="A437" s="2">
        <f>IFERROR(__xludf.DUMMYFUNCTION("""COMPUTED_VALUE"""),42578.64583333333)</f>
        <v>42578.64583</v>
      </c>
      <c r="B437" s="1">
        <f>IFERROR(__xludf.DUMMYFUNCTION("""COMPUTED_VALUE"""),1882.09)</f>
        <v>1882.09</v>
      </c>
      <c r="C437" s="1">
        <f>IFERROR(__xludf.DUMMYFUNCTION("""COMPUTED_VALUE"""),1882.09)</f>
        <v>1882.09</v>
      </c>
      <c r="D437" s="1">
        <f>IFERROR(__xludf.DUMMYFUNCTION("""COMPUTED_VALUE"""),1882.09)</f>
        <v>1882.09</v>
      </c>
      <c r="E437" s="1">
        <f>IFERROR(__xludf.DUMMYFUNCTION("""COMPUTED_VALUE"""),1882.09)</f>
        <v>1882.09</v>
      </c>
      <c r="F437" s="1">
        <f>IFERROR(__xludf.DUMMYFUNCTION("""COMPUTED_VALUE"""),511.0)</f>
        <v>511</v>
      </c>
    </row>
    <row r="438">
      <c r="A438" s="2">
        <f>IFERROR(__xludf.DUMMYFUNCTION("""COMPUTED_VALUE"""),42580.64583333333)</f>
        <v>42580.64583</v>
      </c>
      <c r="B438" s="1">
        <f>IFERROR(__xludf.DUMMYFUNCTION("""COMPUTED_VALUE"""),1886.77)</f>
        <v>1886.77</v>
      </c>
      <c r="C438" s="1">
        <f>IFERROR(__xludf.DUMMYFUNCTION("""COMPUTED_VALUE"""),1956.99)</f>
        <v>1956.99</v>
      </c>
      <c r="D438" s="1">
        <f>IFERROR(__xludf.DUMMYFUNCTION("""COMPUTED_VALUE"""),1886.77)</f>
        <v>1886.77</v>
      </c>
      <c r="E438" s="1">
        <f>IFERROR(__xludf.DUMMYFUNCTION("""COMPUTED_VALUE"""),1956.99)</f>
        <v>1956.99</v>
      </c>
      <c r="F438" s="1">
        <f>IFERROR(__xludf.DUMMYFUNCTION("""COMPUTED_VALUE"""),2242.0)</f>
        <v>2242</v>
      </c>
    </row>
    <row r="439">
      <c r="A439" s="2">
        <f>IFERROR(__xludf.DUMMYFUNCTION("""COMPUTED_VALUE"""),42583.64583333333)</f>
        <v>42583.64583</v>
      </c>
      <c r="B439" s="1">
        <f>IFERROR(__xludf.DUMMYFUNCTION("""COMPUTED_VALUE"""),1896.13)</f>
        <v>1896.13</v>
      </c>
      <c r="C439" s="1">
        <f>IFERROR(__xludf.DUMMYFUNCTION("""COMPUTED_VALUE"""),1905.49)</f>
        <v>1905.49</v>
      </c>
      <c r="D439" s="1">
        <f>IFERROR(__xludf.DUMMYFUNCTION("""COMPUTED_VALUE"""),1896.13)</f>
        <v>1896.13</v>
      </c>
      <c r="E439" s="1">
        <f>IFERROR(__xludf.DUMMYFUNCTION("""COMPUTED_VALUE"""),1896.13)</f>
        <v>1896.13</v>
      </c>
      <c r="F439" s="1">
        <f>IFERROR(__xludf.DUMMYFUNCTION("""COMPUTED_VALUE"""),1096.0)</f>
        <v>1096</v>
      </c>
    </row>
    <row r="440">
      <c r="A440" s="2">
        <f>IFERROR(__xludf.DUMMYFUNCTION("""COMPUTED_VALUE"""),42584.64583333333)</f>
        <v>42584.64583</v>
      </c>
      <c r="B440" s="1">
        <f>IFERROR(__xludf.DUMMYFUNCTION("""COMPUTED_VALUE"""),1891.45)</f>
        <v>1891.45</v>
      </c>
      <c r="C440" s="1">
        <f>IFERROR(__xludf.DUMMYFUNCTION("""COMPUTED_VALUE"""),1928.9)</f>
        <v>1928.9</v>
      </c>
      <c r="D440" s="1">
        <f>IFERROR(__xludf.DUMMYFUNCTION("""COMPUTED_VALUE"""),1891.45)</f>
        <v>1891.45</v>
      </c>
      <c r="E440" s="1">
        <f>IFERROR(__xludf.DUMMYFUNCTION("""COMPUTED_VALUE"""),1910.18)</f>
        <v>1910.18</v>
      </c>
      <c r="F440" s="1">
        <f>IFERROR(__xludf.DUMMYFUNCTION("""COMPUTED_VALUE"""),11517.0)</f>
        <v>11517</v>
      </c>
    </row>
    <row r="441">
      <c r="A441" s="2">
        <f>IFERROR(__xludf.DUMMYFUNCTION("""COMPUTED_VALUE"""),42585.64583333333)</f>
        <v>42585.64583</v>
      </c>
      <c r="B441" s="1">
        <f>IFERROR(__xludf.DUMMYFUNCTION("""COMPUTED_VALUE"""),1910.18)</f>
        <v>1910.18</v>
      </c>
      <c r="C441" s="1">
        <f>IFERROR(__xludf.DUMMYFUNCTION("""COMPUTED_VALUE"""),1919.54)</f>
        <v>1919.54</v>
      </c>
      <c r="D441" s="1">
        <f>IFERROR(__xludf.DUMMYFUNCTION("""COMPUTED_VALUE"""),1910.18)</f>
        <v>1910.18</v>
      </c>
      <c r="E441" s="1">
        <f>IFERROR(__xludf.DUMMYFUNCTION("""COMPUTED_VALUE"""),1919.54)</f>
        <v>1919.54</v>
      </c>
      <c r="F441" s="1">
        <f>IFERROR(__xludf.DUMMYFUNCTION("""COMPUTED_VALUE"""),10871.0)</f>
        <v>10871</v>
      </c>
    </row>
    <row r="442">
      <c r="A442" s="2">
        <f>IFERROR(__xludf.DUMMYFUNCTION("""COMPUTED_VALUE"""),42586.64583333333)</f>
        <v>42586.64583</v>
      </c>
      <c r="B442" s="1">
        <f>IFERROR(__xludf.DUMMYFUNCTION("""COMPUTED_VALUE"""),1966.36)</f>
        <v>1966.36</v>
      </c>
      <c r="C442" s="1">
        <f>IFERROR(__xludf.DUMMYFUNCTION("""COMPUTED_VALUE"""),1966.36)</f>
        <v>1966.36</v>
      </c>
      <c r="D442" s="1">
        <f>IFERROR(__xludf.DUMMYFUNCTION("""COMPUTED_VALUE"""),1928.9)</f>
        <v>1928.9</v>
      </c>
      <c r="E442" s="1">
        <f>IFERROR(__xludf.DUMMYFUNCTION("""COMPUTED_VALUE"""),1947.63)</f>
        <v>1947.63</v>
      </c>
      <c r="F442" s="1">
        <f>IFERROR(__xludf.DUMMYFUNCTION("""COMPUTED_VALUE"""),5472.0)</f>
        <v>5472</v>
      </c>
    </row>
    <row r="443">
      <c r="A443" s="2">
        <f>IFERROR(__xludf.DUMMYFUNCTION("""COMPUTED_VALUE"""),42587.64583333333)</f>
        <v>42587.64583</v>
      </c>
      <c r="B443" s="1">
        <f>IFERROR(__xludf.DUMMYFUNCTION("""COMPUTED_VALUE"""),1947.63)</f>
        <v>1947.63</v>
      </c>
      <c r="C443" s="1">
        <f>IFERROR(__xludf.DUMMYFUNCTION("""COMPUTED_VALUE"""),1956.99)</f>
        <v>1956.99</v>
      </c>
      <c r="D443" s="1">
        <f>IFERROR(__xludf.DUMMYFUNCTION("""COMPUTED_VALUE"""),1928.9)</f>
        <v>1928.9</v>
      </c>
      <c r="E443" s="1">
        <f>IFERROR(__xludf.DUMMYFUNCTION("""COMPUTED_VALUE"""),1942.95)</f>
        <v>1942.95</v>
      </c>
      <c r="F443" s="1">
        <f>IFERROR(__xludf.DUMMYFUNCTION("""COMPUTED_VALUE"""),6165.0)</f>
        <v>6165</v>
      </c>
    </row>
    <row r="444">
      <c r="A444" s="2">
        <f>IFERROR(__xludf.DUMMYFUNCTION("""COMPUTED_VALUE"""),42590.64583333333)</f>
        <v>42590.64583</v>
      </c>
      <c r="B444" s="1">
        <f>IFERROR(__xludf.DUMMYFUNCTION("""COMPUTED_VALUE"""),1900.81)</f>
        <v>1900.81</v>
      </c>
      <c r="C444" s="1">
        <f>IFERROR(__xludf.DUMMYFUNCTION("""COMPUTED_VALUE"""),1919.54)</f>
        <v>1919.54</v>
      </c>
      <c r="D444" s="1">
        <f>IFERROR(__xludf.DUMMYFUNCTION("""COMPUTED_VALUE"""),1900.81)</f>
        <v>1900.81</v>
      </c>
      <c r="E444" s="1">
        <f>IFERROR(__xludf.DUMMYFUNCTION("""COMPUTED_VALUE"""),1910.18)</f>
        <v>1910.18</v>
      </c>
      <c r="F444" s="1">
        <f>IFERROR(__xludf.DUMMYFUNCTION("""COMPUTED_VALUE"""),15244.0)</f>
        <v>15244</v>
      </c>
    </row>
    <row r="445">
      <c r="A445" s="2">
        <f>IFERROR(__xludf.DUMMYFUNCTION("""COMPUTED_VALUE"""),42591.64583333333)</f>
        <v>42591.64583</v>
      </c>
      <c r="B445" s="1">
        <f>IFERROR(__xludf.DUMMYFUNCTION("""COMPUTED_VALUE"""),1910.18)</f>
        <v>1910.18</v>
      </c>
      <c r="C445" s="1">
        <f>IFERROR(__xludf.DUMMYFUNCTION("""COMPUTED_VALUE"""),1914.86)</f>
        <v>1914.86</v>
      </c>
      <c r="D445" s="1">
        <f>IFERROR(__xludf.DUMMYFUNCTION("""COMPUTED_VALUE"""),1910.18)</f>
        <v>1910.18</v>
      </c>
      <c r="E445" s="1">
        <f>IFERROR(__xludf.DUMMYFUNCTION("""COMPUTED_VALUE"""),1914.86)</f>
        <v>1914.86</v>
      </c>
      <c r="F445" s="1">
        <f>IFERROR(__xludf.DUMMYFUNCTION("""COMPUTED_VALUE"""),13156.0)</f>
        <v>13156</v>
      </c>
    </row>
    <row r="446">
      <c r="A446" s="2">
        <f>IFERROR(__xludf.DUMMYFUNCTION("""COMPUTED_VALUE"""),42592.64583333333)</f>
        <v>42592.64583</v>
      </c>
      <c r="B446" s="1">
        <f>IFERROR(__xludf.DUMMYFUNCTION("""COMPUTED_VALUE"""),1924.22)</f>
        <v>1924.22</v>
      </c>
      <c r="C446" s="1">
        <f>IFERROR(__xludf.DUMMYFUNCTION("""COMPUTED_VALUE"""),1966.36)</f>
        <v>1966.36</v>
      </c>
      <c r="D446" s="1">
        <f>IFERROR(__xludf.DUMMYFUNCTION("""COMPUTED_VALUE"""),1924.22)</f>
        <v>1924.22</v>
      </c>
      <c r="E446" s="1">
        <f>IFERROR(__xludf.DUMMYFUNCTION("""COMPUTED_VALUE"""),1961.68)</f>
        <v>1961.68</v>
      </c>
      <c r="F446" s="1">
        <f>IFERROR(__xludf.DUMMYFUNCTION("""COMPUTED_VALUE"""),28081.0)</f>
        <v>28081</v>
      </c>
    </row>
    <row r="447">
      <c r="A447" s="2">
        <f>IFERROR(__xludf.DUMMYFUNCTION("""COMPUTED_VALUE"""),42593.64583333333)</f>
        <v>42593.64583</v>
      </c>
      <c r="B447" s="1">
        <f>IFERROR(__xludf.DUMMYFUNCTION("""COMPUTED_VALUE"""),1952.31)</f>
        <v>1952.31</v>
      </c>
      <c r="C447" s="1">
        <f>IFERROR(__xludf.DUMMYFUNCTION("""COMPUTED_VALUE"""),1971.04)</f>
        <v>1971.04</v>
      </c>
      <c r="D447" s="1">
        <f>IFERROR(__xludf.DUMMYFUNCTION("""COMPUTED_VALUE"""),1952.31)</f>
        <v>1952.31</v>
      </c>
      <c r="E447" s="1">
        <f>IFERROR(__xludf.DUMMYFUNCTION("""COMPUTED_VALUE"""),1956.99)</f>
        <v>1956.99</v>
      </c>
      <c r="F447" s="1">
        <f>IFERROR(__xludf.DUMMYFUNCTION("""COMPUTED_VALUE"""),47573.0)</f>
        <v>47573</v>
      </c>
    </row>
    <row r="448">
      <c r="A448" s="2">
        <f>IFERROR(__xludf.DUMMYFUNCTION("""COMPUTED_VALUE"""),42594.64583333333)</f>
        <v>42594.64583</v>
      </c>
      <c r="B448" s="1">
        <f>IFERROR(__xludf.DUMMYFUNCTION("""COMPUTED_VALUE"""),1956.99)</f>
        <v>1956.99</v>
      </c>
      <c r="C448" s="1">
        <f>IFERROR(__xludf.DUMMYFUNCTION("""COMPUTED_VALUE"""),1956.99)</f>
        <v>1956.99</v>
      </c>
      <c r="D448" s="1">
        <f>IFERROR(__xludf.DUMMYFUNCTION("""COMPUTED_VALUE"""),1933.59)</f>
        <v>1933.59</v>
      </c>
      <c r="E448" s="1">
        <f>IFERROR(__xludf.DUMMYFUNCTION("""COMPUTED_VALUE"""),1956.99)</f>
        <v>1956.99</v>
      </c>
      <c r="F448" s="1">
        <f>IFERROR(__xludf.DUMMYFUNCTION("""COMPUTED_VALUE"""),44516.0)</f>
        <v>44516</v>
      </c>
    </row>
    <row r="449">
      <c r="A449" s="2">
        <f>IFERROR(__xludf.DUMMYFUNCTION("""COMPUTED_VALUE"""),42598.64583333333)</f>
        <v>42598.64583</v>
      </c>
      <c r="B449" s="1">
        <f>IFERROR(__xludf.DUMMYFUNCTION("""COMPUTED_VALUE"""),1956.99)</f>
        <v>1956.99</v>
      </c>
      <c r="C449" s="1">
        <f>IFERROR(__xludf.DUMMYFUNCTION("""COMPUTED_VALUE"""),1956.99)</f>
        <v>1956.99</v>
      </c>
      <c r="D449" s="1">
        <f>IFERROR(__xludf.DUMMYFUNCTION("""COMPUTED_VALUE"""),1914.86)</f>
        <v>1914.86</v>
      </c>
      <c r="E449" s="1">
        <f>IFERROR(__xludf.DUMMYFUNCTION("""COMPUTED_VALUE"""),1938.27)</f>
        <v>1938.27</v>
      </c>
      <c r="F449" s="1">
        <f>IFERROR(__xludf.DUMMYFUNCTION("""COMPUTED_VALUE"""),22851.0)</f>
        <v>22851</v>
      </c>
    </row>
    <row r="450">
      <c r="A450" s="2">
        <f>IFERROR(__xludf.DUMMYFUNCTION("""COMPUTED_VALUE"""),42599.64583333333)</f>
        <v>42599.64583</v>
      </c>
      <c r="B450" s="1">
        <f>IFERROR(__xludf.DUMMYFUNCTION("""COMPUTED_VALUE"""),1910.18)</f>
        <v>1910.18</v>
      </c>
      <c r="C450" s="1">
        <f>IFERROR(__xludf.DUMMYFUNCTION("""COMPUTED_VALUE"""),1952.31)</f>
        <v>1952.31</v>
      </c>
      <c r="D450" s="1">
        <f>IFERROR(__xludf.DUMMYFUNCTION("""COMPUTED_VALUE"""),1910.18)</f>
        <v>1910.18</v>
      </c>
      <c r="E450" s="1">
        <f>IFERROR(__xludf.DUMMYFUNCTION("""COMPUTED_VALUE"""),1952.31)</f>
        <v>1952.31</v>
      </c>
      <c r="F450" s="1">
        <f>IFERROR(__xludf.DUMMYFUNCTION("""COMPUTED_VALUE"""),1001.0)</f>
        <v>1001</v>
      </c>
    </row>
    <row r="451">
      <c r="A451" s="2">
        <f>IFERROR(__xludf.DUMMYFUNCTION("""COMPUTED_VALUE"""),42600.64583333333)</f>
        <v>42600.64583</v>
      </c>
      <c r="B451" s="1">
        <f>IFERROR(__xludf.DUMMYFUNCTION("""COMPUTED_VALUE"""),1942.95)</f>
        <v>1942.95</v>
      </c>
      <c r="C451" s="1">
        <f>IFERROR(__xludf.DUMMYFUNCTION("""COMPUTED_VALUE"""),1942.95)</f>
        <v>1942.95</v>
      </c>
      <c r="D451" s="1">
        <f>IFERROR(__xludf.DUMMYFUNCTION("""COMPUTED_VALUE"""),1942.95)</f>
        <v>1942.95</v>
      </c>
      <c r="E451" s="1">
        <f>IFERROR(__xludf.DUMMYFUNCTION("""COMPUTED_VALUE"""),1942.95)</f>
        <v>1942.95</v>
      </c>
      <c r="F451" s="1">
        <f>IFERROR(__xludf.DUMMYFUNCTION("""COMPUTED_VALUE"""),1.0)</f>
        <v>1</v>
      </c>
    </row>
    <row r="452">
      <c r="A452" s="2">
        <f>IFERROR(__xludf.DUMMYFUNCTION("""COMPUTED_VALUE"""),42601.64583333333)</f>
        <v>42601.64583</v>
      </c>
      <c r="B452" s="1">
        <f>IFERROR(__xludf.DUMMYFUNCTION("""COMPUTED_VALUE"""),1942.95)</f>
        <v>1942.95</v>
      </c>
      <c r="C452" s="1">
        <f>IFERROR(__xludf.DUMMYFUNCTION("""COMPUTED_VALUE"""),1942.95)</f>
        <v>1942.95</v>
      </c>
      <c r="D452" s="1">
        <f>IFERROR(__xludf.DUMMYFUNCTION("""COMPUTED_VALUE"""),1942.95)</f>
        <v>1942.95</v>
      </c>
      <c r="E452" s="1">
        <f>IFERROR(__xludf.DUMMYFUNCTION("""COMPUTED_VALUE"""),1942.95)</f>
        <v>1942.95</v>
      </c>
      <c r="F452" s="1">
        <f>IFERROR(__xludf.DUMMYFUNCTION("""COMPUTED_VALUE"""),1.0)</f>
        <v>1</v>
      </c>
    </row>
    <row r="453">
      <c r="A453" s="2">
        <f>IFERROR(__xludf.DUMMYFUNCTION("""COMPUTED_VALUE"""),42604.64583333333)</f>
        <v>42604.64583</v>
      </c>
      <c r="B453" s="1">
        <f>IFERROR(__xludf.DUMMYFUNCTION("""COMPUTED_VALUE"""),1905.49)</f>
        <v>1905.49</v>
      </c>
      <c r="C453" s="1">
        <f>IFERROR(__xludf.DUMMYFUNCTION("""COMPUTED_VALUE"""),1942.95)</f>
        <v>1942.95</v>
      </c>
      <c r="D453" s="1">
        <f>IFERROR(__xludf.DUMMYFUNCTION("""COMPUTED_VALUE"""),1905.49)</f>
        <v>1905.49</v>
      </c>
      <c r="E453" s="1">
        <f>IFERROR(__xludf.DUMMYFUNCTION("""COMPUTED_VALUE"""),1942.95)</f>
        <v>1942.95</v>
      </c>
      <c r="F453" s="1">
        <f>IFERROR(__xludf.DUMMYFUNCTION("""COMPUTED_VALUE"""),31078.0)</f>
        <v>31078</v>
      </c>
    </row>
    <row r="454">
      <c r="A454" s="2">
        <f>IFERROR(__xludf.DUMMYFUNCTION("""COMPUTED_VALUE"""),42605.64583333333)</f>
        <v>42605.64583</v>
      </c>
      <c r="B454" s="1">
        <f>IFERROR(__xludf.DUMMYFUNCTION("""COMPUTED_VALUE"""),1914.86)</f>
        <v>1914.86</v>
      </c>
      <c r="C454" s="1">
        <f>IFERROR(__xludf.DUMMYFUNCTION("""COMPUTED_VALUE"""),1961.68)</f>
        <v>1961.68</v>
      </c>
      <c r="D454" s="1">
        <f>IFERROR(__xludf.DUMMYFUNCTION("""COMPUTED_VALUE"""),1910.18)</f>
        <v>1910.18</v>
      </c>
      <c r="E454" s="1">
        <f>IFERROR(__xludf.DUMMYFUNCTION("""COMPUTED_VALUE"""),1961.68)</f>
        <v>1961.68</v>
      </c>
      <c r="F454" s="1">
        <f>IFERROR(__xludf.DUMMYFUNCTION("""COMPUTED_VALUE"""),40745.0)</f>
        <v>40745</v>
      </c>
    </row>
    <row r="455">
      <c r="A455" s="2">
        <f>IFERROR(__xludf.DUMMYFUNCTION("""COMPUTED_VALUE"""),42606.64583333333)</f>
        <v>42606.64583</v>
      </c>
      <c r="B455" s="1">
        <f>IFERROR(__xludf.DUMMYFUNCTION("""COMPUTED_VALUE"""),1919.54)</f>
        <v>1919.54</v>
      </c>
      <c r="C455" s="1">
        <f>IFERROR(__xludf.DUMMYFUNCTION("""COMPUTED_VALUE"""),1924.22)</f>
        <v>1924.22</v>
      </c>
      <c r="D455" s="1">
        <f>IFERROR(__xludf.DUMMYFUNCTION("""COMPUTED_VALUE"""),1919.54)</f>
        <v>1919.54</v>
      </c>
      <c r="E455" s="1">
        <f>IFERROR(__xludf.DUMMYFUNCTION("""COMPUTED_VALUE"""),1919.54)</f>
        <v>1919.54</v>
      </c>
      <c r="F455" s="1">
        <f>IFERROR(__xludf.DUMMYFUNCTION("""COMPUTED_VALUE"""),277.0)</f>
        <v>277</v>
      </c>
    </row>
    <row r="456">
      <c r="A456" s="2">
        <f>IFERROR(__xludf.DUMMYFUNCTION("""COMPUTED_VALUE"""),42607.64583333333)</f>
        <v>42607.64583</v>
      </c>
      <c r="B456" s="1">
        <f>IFERROR(__xludf.DUMMYFUNCTION("""COMPUTED_VALUE"""),1919.54)</f>
        <v>1919.54</v>
      </c>
      <c r="C456" s="1">
        <f>IFERROR(__xludf.DUMMYFUNCTION("""COMPUTED_VALUE"""),1942.95)</f>
        <v>1942.95</v>
      </c>
      <c r="D456" s="1">
        <f>IFERROR(__xludf.DUMMYFUNCTION("""COMPUTED_VALUE"""),1919.54)</f>
        <v>1919.54</v>
      </c>
      <c r="E456" s="1">
        <f>IFERROR(__xludf.DUMMYFUNCTION("""COMPUTED_VALUE"""),1942.95)</f>
        <v>1942.95</v>
      </c>
      <c r="F456" s="1">
        <f>IFERROR(__xludf.DUMMYFUNCTION("""COMPUTED_VALUE"""),1277.0)</f>
        <v>1277</v>
      </c>
    </row>
    <row r="457">
      <c r="A457" s="2">
        <f>IFERROR(__xludf.DUMMYFUNCTION("""COMPUTED_VALUE"""),42608.64583333333)</f>
        <v>42608.64583</v>
      </c>
      <c r="B457" s="1">
        <f>IFERROR(__xludf.DUMMYFUNCTION("""COMPUTED_VALUE"""),1942.95)</f>
        <v>1942.95</v>
      </c>
      <c r="C457" s="1">
        <f>IFERROR(__xludf.DUMMYFUNCTION("""COMPUTED_VALUE"""),1942.95)</f>
        <v>1942.95</v>
      </c>
      <c r="D457" s="1">
        <f>IFERROR(__xludf.DUMMYFUNCTION("""COMPUTED_VALUE"""),1919.54)</f>
        <v>1919.54</v>
      </c>
      <c r="E457" s="1">
        <f>IFERROR(__xludf.DUMMYFUNCTION("""COMPUTED_VALUE"""),1919.54)</f>
        <v>1919.54</v>
      </c>
      <c r="F457" s="1">
        <f>IFERROR(__xludf.DUMMYFUNCTION("""COMPUTED_VALUE"""),3009.0)</f>
        <v>3009</v>
      </c>
    </row>
    <row r="458">
      <c r="A458" s="2">
        <f>IFERROR(__xludf.DUMMYFUNCTION("""COMPUTED_VALUE"""),42611.64583333333)</f>
        <v>42611.64583</v>
      </c>
      <c r="B458" s="1">
        <f>IFERROR(__xludf.DUMMYFUNCTION("""COMPUTED_VALUE"""),1914.86)</f>
        <v>1914.86</v>
      </c>
      <c r="C458" s="1">
        <f>IFERROR(__xludf.DUMMYFUNCTION("""COMPUTED_VALUE"""),1942.95)</f>
        <v>1942.95</v>
      </c>
      <c r="D458" s="1">
        <f>IFERROR(__xludf.DUMMYFUNCTION("""COMPUTED_VALUE"""),1914.86)</f>
        <v>1914.86</v>
      </c>
      <c r="E458" s="1">
        <f>IFERROR(__xludf.DUMMYFUNCTION("""COMPUTED_VALUE"""),1942.95)</f>
        <v>1942.95</v>
      </c>
      <c r="F458" s="1">
        <f>IFERROR(__xludf.DUMMYFUNCTION("""COMPUTED_VALUE"""),1008.0)</f>
        <v>1008</v>
      </c>
    </row>
    <row r="459">
      <c r="A459" s="2">
        <f>IFERROR(__xludf.DUMMYFUNCTION("""COMPUTED_VALUE"""),42657.64583333333)</f>
        <v>42657.64583</v>
      </c>
      <c r="B459" s="1">
        <f>IFERROR(__xludf.DUMMYFUNCTION("""COMPUTED_VALUE"""),1966.36)</f>
        <v>1966.36</v>
      </c>
      <c r="C459" s="1">
        <f>IFERROR(__xludf.DUMMYFUNCTION("""COMPUTED_VALUE"""),2013.18)</f>
        <v>2013.18</v>
      </c>
      <c r="D459" s="1">
        <f>IFERROR(__xludf.DUMMYFUNCTION("""COMPUTED_VALUE"""),1947.63)</f>
        <v>1947.63</v>
      </c>
      <c r="E459" s="1">
        <f>IFERROR(__xludf.DUMMYFUNCTION("""COMPUTED_VALUE"""),1980.4)</f>
        <v>1980.4</v>
      </c>
      <c r="F459" s="1">
        <f>IFERROR(__xludf.DUMMYFUNCTION("""COMPUTED_VALUE"""),369458.0)</f>
        <v>369458</v>
      </c>
    </row>
    <row r="460">
      <c r="A460" s="2">
        <f>IFERROR(__xludf.DUMMYFUNCTION("""COMPUTED_VALUE"""),42660.64583333333)</f>
        <v>42660.64583</v>
      </c>
      <c r="B460" s="1">
        <f>IFERROR(__xludf.DUMMYFUNCTION("""COMPUTED_VALUE"""),1975.72)</f>
        <v>1975.72</v>
      </c>
      <c r="C460" s="1">
        <f>IFERROR(__xludf.DUMMYFUNCTION("""COMPUTED_VALUE"""),1985.09)</f>
        <v>1985.09</v>
      </c>
      <c r="D460" s="1">
        <f>IFERROR(__xludf.DUMMYFUNCTION("""COMPUTED_VALUE"""),1961.68)</f>
        <v>1961.68</v>
      </c>
      <c r="E460" s="1">
        <f>IFERROR(__xludf.DUMMYFUNCTION("""COMPUTED_VALUE"""),1966.36)</f>
        <v>1966.36</v>
      </c>
      <c r="F460" s="1">
        <f>IFERROR(__xludf.DUMMYFUNCTION("""COMPUTED_VALUE"""),89316.0)</f>
        <v>89316</v>
      </c>
    </row>
    <row r="461">
      <c r="A461" s="2">
        <f>IFERROR(__xludf.DUMMYFUNCTION("""COMPUTED_VALUE"""),42661.64583333333)</f>
        <v>42661.64583</v>
      </c>
      <c r="B461" s="1">
        <f>IFERROR(__xludf.DUMMYFUNCTION("""COMPUTED_VALUE"""),1966.36)</f>
        <v>1966.36</v>
      </c>
      <c r="C461" s="1">
        <f>IFERROR(__xludf.DUMMYFUNCTION("""COMPUTED_VALUE"""),1994.45)</f>
        <v>1994.45</v>
      </c>
      <c r="D461" s="1">
        <f>IFERROR(__xludf.DUMMYFUNCTION("""COMPUTED_VALUE"""),1961.68)</f>
        <v>1961.68</v>
      </c>
      <c r="E461" s="1">
        <f>IFERROR(__xludf.DUMMYFUNCTION("""COMPUTED_VALUE"""),1980.4)</f>
        <v>1980.4</v>
      </c>
      <c r="F461" s="1">
        <f>IFERROR(__xludf.DUMMYFUNCTION("""COMPUTED_VALUE"""),61953.0)</f>
        <v>61953</v>
      </c>
    </row>
    <row r="462">
      <c r="A462" s="2">
        <f>IFERROR(__xludf.DUMMYFUNCTION("""COMPUTED_VALUE"""),42662.64583333333)</f>
        <v>42662.64583</v>
      </c>
      <c r="B462" s="1">
        <f>IFERROR(__xludf.DUMMYFUNCTION("""COMPUTED_VALUE"""),1980.4)</f>
        <v>1980.4</v>
      </c>
      <c r="C462" s="1">
        <f>IFERROR(__xludf.DUMMYFUNCTION("""COMPUTED_VALUE"""),2013.18)</f>
        <v>2013.18</v>
      </c>
      <c r="D462" s="1">
        <f>IFERROR(__xludf.DUMMYFUNCTION("""COMPUTED_VALUE"""),1980.4)</f>
        <v>1980.4</v>
      </c>
      <c r="E462" s="1">
        <f>IFERROR(__xludf.DUMMYFUNCTION("""COMPUTED_VALUE"""),1999.13)</f>
        <v>1999.13</v>
      </c>
      <c r="F462" s="1">
        <f>IFERROR(__xludf.DUMMYFUNCTION("""COMPUTED_VALUE"""),65252.0)</f>
        <v>65252</v>
      </c>
    </row>
    <row r="463">
      <c r="A463" s="2">
        <f>IFERROR(__xludf.DUMMYFUNCTION("""COMPUTED_VALUE"""),42663.64583333333)</f>
        <v>42663.64583</v>
      </c>
      <c r="B463" s="1">
        <f>IFERROR(__xludf.DUMMYFUNCTION("""COMPUTED_VALUE"""),2003.81)</f>
        <v>2003.81</v>
      </c>
      <c r="C463" s="1">
        <f>IFERROR(__xludf.DUMMYFUNCTION("""COMPUTED_VALUE"""),2003.81)</f>
        <v>2003.81</v>
      </c>
      <c r="D463" s="1">
        <f>IFERROR(__xludf.DUMMYFUNCTION("""COMPUTED_VALUE"""),1985.09)</f>
        <v>1985.09</v>
      </c>
      <c r="E463" s="1">
        <f>IFERROR(__xludf.DUMMYFUNCTION("""COMPUTED_VALUE"""),1999.13)</f>
        <v>1999.13</v>
      </c>
      <c r="F463" s="1">
        <f>IFERROR(__xludf.DUMMYFUNCTION("""COMPUTED_VALUE"""),101090.0)</f>
        <v>101090</v>
      </c>
    </row>
    <row r="464">
      <c r="A464" s="2">
        <f>IFERROR(__xludf.DUMMYFUNCTION("""COMPUTED_VALUE"""),42664.64583333333)</f>
        <v>42664.64583</v>
      </c>
      <c r="B464" s="1">
        <f>IFERROR(__xludf.DUMMYFUNCTION("""COMPUTED_VALUE"""),1985.09)</f>
        <v>1985.09</v>
      </c>
      <c r="C464" s="1">
        <f>IFERROR(__xludf.DUMMYFUNCTION("""COMPUTED_VALUE"""),2003.81)</f>
        <v>2003.81</v>
      </c>
      <c r="D464" s="1">
        <f>IFERROR(__xludf.DUMMYFUNCTION("""COMPUTED_VALUE"""),1985.09)</f>
        <v>1985.09</v>
      </c>
      <c r="E464" s="1">
        <f>IFERROR(__xludf.DUMMYFUNCTION("""COMPUTED_VALUE"""),1999.13)</f>
        <v>1999.13</v>
      </c>
      <c r="F464" s="1">
        <f>IFERROR(__xludf.DUMMYFUNCTION("""COMPUTED_VALUE"""),68185.0)</f>
        <v>68185</v>
      </c>
    </row>
    <row r="465">
      <c r="A465" s="2">
        <f>IFERROR(__xludf.DUMMYFUNCTION("""COMPUTED_VALUE"""),42667.64583333333)</f>
        <v>42667.64583</v>
      </c>
      <c r="B465" s="1">
        <f>IFERROR(__xludf.DUMMYFUNCTION("""COMPUTED_VALUE"""),2008.49)</f>
        <v>2008.49</v>
      </c>
      <c r="C465" s="1">
        <f>IFERROR(__xludf.DUMMYFUNCTION("""COMPUTED_VALUE"""),2008.49)</f>
        <v>2008.49</v>
      </c>
      <c r="D465" s="1">
        <f>IFERROR(__xludf.DUMMYFUNCTION("""COMPUTED_VALUE"""),1966.36)</f>
        <v>1966.36</v>
      </c>
      <c r="E465" s="1">
        <f>IFERROR(__xludf.DUMMYFUNCTION("""COMPUTED_VALUE"""),1966.36)</f>
        <v>1966.36</v>
      </c>
      <c r="F465" s="1">
        <f>IFERROR(__xludf.DUMMYFUNCTION("""COMPUTED_VALUE"""),48134.0)</f>
        <v>48134</v>
      </c>
    </row>
    <row r="466">
      <c r="A466" s="2">
        <f>IFERROR(__xludf.DUMMYFUNCTION("""COMPUTED_VALUE"""),42668.64583333333)</f>
        <v>42668.64583</v>
      </c>
      <c r="B466" s="1">
        <f>IFERROR(__xludf.DUMMYFUNCTION("""COMPUTED_VALUE"""),1966.36)</f>
        <v>1966.36</v>
      </c>
      <c r="C466" s="1">
        <f>IFERROR(__xludf.DUMMYFUNCTION("""COMPUTED_VALUE"""),1989.77)</f>
        <v>1989.77</v>
      </c>
      <c r="D466" s="1">
        <f>IFERROR(__xludf.DUMMYFUNCTION("""COMPUTED_VALUE"""),1966.36)</f>
        <v>1966.36</v>
      </c>
      <c r="E466" s="1">
        <f>IFERROR(__xludf.DUMMYFUNCTION("""COMPUTED_VALUE"""),1975.72)</f>
        <v>1975.72</v>
      </c>
      <c r="F466" s="1">
        <f>IFERROR(__xludf.DUMMYFUNCTION("""COMPUTED_VALUE"""),38241.0)</f>
        <v>38241</v>
      </c>
    </row>
    <row r="467">
      <c r="A467" s="2">
        <f>IFERROR(__xludf.DUMMYFUNCTION("""COMPUTED_VALUE"""),42669.64583333333)</f>
        <v>42669.64583</v>
      </c>
      <c r="B467" s="1">
        <f>IFERROR(__xludf.DUMMYFUNCTION("""COMPUTED_VALUE"""),1971.04)</f>
        <v>1971.04</v>
      </c>
      <c r="C467" s="1">
        <f>IFERROR(__xludf.DUMMYFUNCTION("""COMPUTED_VALUE"""),1985.09)</f>
        <v>1985.09</v>
      </c>
      <c r="D467" s="1">
        <f>IFERROR(__xludf.DUMMYFUNCTION("""COMPUTED_VALUE"""),1966.36)</f>
        <v>1966.36</v>
      </c>
      <c r="E467" s="1">
        <f>IFERROR(__xludf.DUMMYFUNCTION("""COMPUTED_VALUE"""),1971.04)</f>
        <v>1971.04</v>
      </c>
      <c r="F467" s="1">
        <f>IFERROR(__xludf.DUMMYFUNCTION("""COMPUTED_VALUE"""),67194.0)</f>
        <v>67194</v>
      </c>
    </row>
    <row r="468">
      <c r="A468" s="2">
        <f>IFERROR(__xludf.DUMMYFUNCTION("""COMPUTED_VALUE"""),42670.64583333333)</f>
        <v>42670.64583</v>
      </c>
      <c r="B468" s="1">
        <f>IFERROR(__xludf.DUMMYFUNCTION("""COMPUTED_VALUE"""),1971.04)</f>
        <v>1971.04</v>
      </c>
      <c r="C468" s="1">
        <f>IFERROR(__xludf.DUMMYFUNCTION("""COMPUTED_VALUE"""),1985.09)</f>
        <v>1985.09</v>
      </c>
      <c r="D468" s="1">
        <f>IFERROR(__xludf.DUMMYFUNCTION("""COMPUTED_VALUE"""),1956.99)</f>
        <v>1956.99</v>
      </c>
      <c r="E468" s="1">
        <f>IFERROR(__xludf.DUMMYFUNCTION("""COMPUTED_VALUE"""),1975.72)</f>
        <v>1975.72</v>
      </c>
      <c r="F468" s="1">
        <f>IFERROR(__xludf.DUMMYFUNCTION("""COMPUTED_VALUE"""),56625.0)</f>
        <v>56625</v>
      </c>
    </row>
    <row r="469">
      <c r="A469" s="2">
        <f>IFERROR(__xludf.DUMMYFUNCTION("""COMPUTED_VALUE"""),42671.64583333333)</f>
        <v>42671.64583</v>
      </c>
      <c r="B469" s="1">
        <f>IFERROR(__xludf.DUMMYFUNCTION("""COMPUTED_VALUE"""),1975.72)</f>
        <v>1975.72</v>
      </c>
      <c r="C469" s="1">
        <f>IFERROR(__xludf.DUMMYFUNCTION("""COMPUTED_VALUE"""),1975.72)</f>
        <v>1975.72</v>
      </c>
      <c r="D469" s="1">
        <f>IFERROR(__xludf.DUMMYFUNCTION("""COMPUTED_VALUE"""),1956.99)</f>
        <v>1956.99</v>
      </c>
      <c r="E469" s="1">
        <f>IFERROR(__xludf.DUMMYFUNCTION("""COMPUTED_VALUE"""),1975.72)</f>
        <v>1975.72</v>
      </c>
      <c r="F469" s="1">
        <f>IFERROR(__xludf.DUMMYFUNCTION("""COMPUTED_VALUE"""),46841.0)</f>
        <v>46841</v>
      </c>
    </row>
    <row r="470">
      <c r="A470" s="2">
        <f>IFERROR(__xludf.DUMMYFUNCTION("""COMPUTED_VALUE"""),42674.64583333333)</f>
        <v>42674.64583</v>
      </c>
      <c r="B470" s="1">
        <f>IFERROR(__xludf.DUMMYFUNCTION("""COMPUTED_VALUE"""),1956.99)</f>
        <v>1956.99</v>
      </c>
      <c r="C470" s="1">
        <f>IFERROR(__xludf.DUMMYFUNCTION("""COMPUTED_VALUE"""),1971.04)</f>
        <v>1971.04</v>
      </c>
      <c r="D470" s="1">
        <f>IFERROR(__xludf.DUMMYFUNCTION("""COMPUTED_VALUE"""),1942.95)</f>
        <v>1942.95</v>
      </c>
      <c r="E470" s="1">
        <f>IFERROR(__xludf.DUMMYFUNCTION("""COMPUTED_VALUE"""),1971.04)</f>
        <v>1971.04</v>
      </c>
      <c r="F470" s="1">
        <f>IFERROR(__xludf.DUMMYFUNCTION("""COMPUTED_VALUE"""),26566.0)</f>
        <v>26566</v>
      </c>
    </row>
    <row r="471">
      <c r="A471" s="2">
        <f>IFERROR(__xludf.DUMMYFUNCTION("""COMPUTED_VALUE"""),42675.64583333333)</f>
        <v>42675.64583</v>
      </c>
      <c r="B471" s="1">
        <f>IFERROR(__xludf.DUMMYFUNCTION("""COMPUTED_VALUE"""),1956.99)</f>
        <v>1956.99</v>
      </c>
      <c r="C471" s="1">
        <f>IFERROR(__xludf.DUMMYFUNCTION("""COMPUTED_VALUE"""),1966.36)</f>
        <v>1966.36</v>
      </c>
      <c r="D471" s="1">
        <f>IFERROR(__xludf.DUMMYFUNCTION("""COMPUTED_VALUE"""),1947.63)</f>
        <v>1947.63</v>
      </c>
      <c r="E471" s="1">
        <f>IFERROR(__xludf.DUMMYFUNCTION("""COMPUTED_VALUE"""),1956.99)</f>
        <v>1956.99</v>
      </c>
      <c r="F471" s="1">
        <f>IFERROR(__xludf.DUMMYFUNCTION("""COMPUTED_VALUE"""),37653.0)</f>
        <v>37653</v>
      </c>
    </row>
    <row r="472">
      <c r="A472" s="2">
        <f>IFERROR(__xludf.DUMMYFUNCTION("""COMPUTED_VALUE"""),42676.64583333333)</f>
        <v>42676.64583</v>
      </c>
      <c r="B472" s="1">
        <f>IFERROR(__xludf.DUMMYFUNCTION("""COMPUTED_VALUE"""),1947.63)</f>
        <v>1947.63</v>
      </c>
      <c r="C472" s="1">
        <f>IFERROR(__xludf.DUMMYFUNCTION("""COMPUTED_VALUE"""),1966.36)</f>
        <v>1966.36</v>
      </c>
      <c r="D472" s="1">
        <f>IFERROR(__xludf.DUMMYFUNCTION("""COMPUTED_VALUE"""),1886.77)</f>
        <v>1886.77</v>
      </c>
      <c r="E472" s="1">
        <f>IFERROR(__xludf.DUMMYFUNCTION("""COMPUTED_VALUE"""),1952.31)</f>
        <v>1952.31</v>
      </c>
      <c r="F472" s="1">
        <f>IFERROR(__xludf.DUMMYFUNCTION("""COMPUTED_VALUE"""),66538.0)</f>
        <v>66538</v>
      </c>
    </row>
    <row r="473">
      <c r="A473" s="2">
        <f>IFERROR(__xludf.DUMMYFUNCTION("""COMPUTED_VALUE"""),42677.64583333333)</f>
        <v>42677.64583</v>
      </c>
      <c r="B473" s="1">
        <f>IFERROR(__xludf.DUMMYFUNCTION("""COMPUTED_VALUE"""),1938.27)</f>
        <v>1938.27</v>
      </c>
      <c r="C473" s="1">
        <f>IFERROR(__xludf.DUMMYFUNCTION("""COMPUTED_VALUE"""),1938.27)</f>
        <v>1938.27</v>
      </c>
      <c r="D473" s="1">
        <f>IFERROR(__xludf.DUMMYFUNCTION("""COMPUTED_VALUE"""),1928.9)</f>
        <v>1928.9</v>
      </c>
      <c r="E473" s="1">
        <f>IFERROR(__xludf.DUMMYFUNCTION("""COMPUTED_VALUE"""),1928.9)</f>
        <v>1928.9</v>
      </c>
      <c r="F473" s="1">
        <f>IFERROR(__xludf.DUMMYFUNCTION("""COMPUTED_VALUE"""),11938.0)</f>
        <v>11938</v>
      </c>
    </row>
    <row r="474">
      <c r="A474" s="2">
        <f>IFERROR(__xludf.DUMMYFUNCTION("""COMPUTED_VALUE"""),42678.64583333333)</f>
        <v>42678.64583</v>
      </c>
      <c r="B474" s="1">
        <f>IFERROR(__xludf.DUMMYFUNCTION("""COMPUTED_VALUE"""),1891.45)</f>
        <v>1891.45</v>
      </c>
      <c r="C474" s="1">
        <f>IFERROR(__xludf.DUMMYFUNCTION("""COMPUTED_VALUE"""),1924.22)</f>
        <v>1924.22</v>
      </c>
      <c r="D474" s="1">
        <f>IFERROR(__xludf.DUMMYFUNCTION("""COMPUTED_VALUE"""),1891.45)</f>
        <v>1891.45</v>
      </c>
      <c r="E474" s="1">
        <f>IFERROR(__xludf.DUMMYFUNCTION("""COMPUTED_VALUE"""),1900.81)</f>
        <v>1900.81</v>
      </c>
      <c r="F474" s="1">
        <f>IFERROR(__xludf.DUMMYFUNCTION("""COMPUTED_VALUE"""),14610.0)</f>
        <v>14610</v>
      </c>
    </row>
    <row r="475">
      <c r="A475" s="2">
        <f>IFERROR(__xludf.DUMMYFUNCTION("""COMPUTED_VALUE"""),42681.64583333333)</f>
        <v>42681.64583</v>
      </c>
      <c r="B475" s="1">
        <f>IFERROR(__xludf.DUMMYFUNCTION("""COMPUTED_VALUE"""),1900.81)</f>
        <v>1900.81</v>
      </c>
      <c r="C475" s="1">
        <f>IFERROR(__xludf.DUMMYFUNCTION("""COMPUTED_VALUE"""),1900.81)</f>
        <v>1900.81</v>
      </c>
      <c r="D475" s="1">
        <f>IFERROR(__xludf.DUMMYFUNCTION("""COMPUTED_VALUE"""),1886.77)</f>
        <v>1886.77</v>
      </c>
      <c r="E475" s="1">
        <f>IFERROR(__xludf.DUMMYFUNCTION("""COMPUTED_VALUE"""),1891.45)</f>
        <v>1891.45</v>
      </c>
      <c r="F475" s="1">
        <f>IFERROR(__xludf.DUMMYFUNCTION("""COMPUTED_VALUE"""),33755.0)</f>
        <v>33755</v>
      </c>
    </row>
    <row r="476">
      <c r="A476" s="2">
        <f>IFERROR(__xludf.DUMMYFUNCTION("""COMPUTED_VALUE"""),42682.64583333333)</f>
        <v>42682.64583</v>
      </c>
      <c r="B476" s="1">
        <f>IFERROR(__xludf.DUMMYFUNCTION("""COMPUTED_VALUE"""),1872.72)</f>
        <v>1872.72</v>
      </c>
      <c r="C476" s="1">
        <f>IFERROR(__xludf.DUMMYFUNCTION("""COMPUTED_VALUE"""),1891.45)</f>
        <v>1891.45</v>
      </c>
      <c r="D476" s="1">
        <f>IFERROR(__xludf.DUMMYFUNCTION("""COMPUTED_VALUE"""),1872.72)</f>
        <v>1872.72</v>
      </c>
      <c r="E476" s="1">
        <f>IFERROR(__xludf.DUMMYFUNCTION("""COMPUTED_VALUE"""),1872.72)</f>
        <v>1872.72</v>
      </c>
      <c r="F476" s="1">
        <f>IFERROR(__xludf.DUMMYFUNCTION("""COMPUTED_VALUE"""),87569.0)</f>
        <v>87569</v>
      </c>
    </row>
    <row r="477">
      <c r="A477" s="2">
        <f>IFERROR(__xludf.DUMMYFUNCTION("""COMPUTED_VALUE"""),42683.64583333333)</f>
        <v>42683.64583</v>
      </c>
      <c r="B477" s="1">
        <f>IFERROR(__xludf.DUMMYFUNCTION("""COMPUTED_VALUE"""),1891.45)</f>
        <v>1891.45</v>
      </c>
      <c r="C477" s="1">
        <f>IFERROR(__xludf.DUMMYFUNCTION("""COMPUTED_VALUE"""),1891.45)</f>
        <v>1891.45</v>
      </c>
      <c r="D477" s="1">
        <f>IFERROR(__xludf.DUMMYFUNCTION("""COMPUTED_VALUE"""),1863.36)</f>
        <v>1863.36</v>
      </c>
      <c r="E477" s="1">
        <f>IFERROR(__xludf.DUMMYFUNCTION("""COMPUTED_VALUE"""),1872.72)</f>
        <v>1872.72</v>
      </c>
      <c r="F477" s="1">
        <f>IFERROR(__xludf.DUMMYFUNCTION("""COMPUTED_VALUE"""),27085.0)</f>
        <v>27085</v>
      </c>
    </row>
    <row r="478">
      <c r="A478" s="2">
        <f>IFERROR(__xludf.DUMMYFUNCTION("""COMPUTED_VALUE"""),42684.64583333333)</f>
        <v>42684.64583</v>
      </c>
      <c r="B478" s="1">
        <f>IFERROR(__xludf.DUMMYFUNCTION("""COMPUTED_VALUE"""),1858.68)</f>
        <v>1858.68</v>
      </c>
      <c r="C478" s="1">
        <f>IFERROR(__xludf.DUMMYFUNCTION("""COMPUTED_VALUE"""),1910.18)</f>
        <v>1910.18</v>
      </c>
      <c r="D478" s="1">
        <f>IFERROR(__xludf.DUMMYFUNCTION("""COMPUTED_VALUE"""),1858.68)</f>
        <v>1858.68</v>
      </c>
      <c r="E478" s="1">
        <f>IFERROR(__xludf.DUMMYFUNCTION("""COMPUTED_VALUE"""),1872.72)</f>
        <v>1872.72</v>
      </c>
      <c r="F478" s="1">
        <f>IFERROR(__xludf.DUMMYFUNCTION("""COMPUTED_VALUE"""),13833.0)</f>
        <v>13833</v>
      </c>
    </row>
    <row r="479">
      <c r="A479" s="2">
        <f>IFERROR(__xludf.DUMMYFUNCTION("""COMPUTED_VALUE"""),42685.64583333333)</f>
        <v>42685.64583</v>
      </c>
      <c r="B479" s="1">
        <f>IFERROR(__xludf.DUMMYFUNCTION("""COMPUTED_VALUE"""),1868.04)</f>
        <v>1868.04</v>
      </c>
      <c r="C479" s="1">
        <f>IFERROR(__xludf.DUMMYFUNCTION("""COMPUTED_VALUE"""),1872.72)</f>
        <v>1872.72</v>
      </c>
      <c r="D479" s="1">
        <f>IFERROR(__xludf.DUMMYFUNCTION("""COMPUTED_VALUE"""),1858.68)</f>
        <v>1858.68</v>
      </c>
      <c r="E479" s="1">
        <f>IFERROR(__xludf.DUMMYFUNCTION("""COMPUTED_VALUE"""),1872.72)</f>
        <v>1872.72</v>
      </c>
      <c r="F479" s="1">
        <f>IFERROR(__xludf.DUMMYFUNCTION("""COMPUTED_VALUE"""),326.0)</f>
        <v>326</v>
      </c>
    </row>
    <row r="480">
      <c r="A480" s="2">
        <f>IFERROR(__xludf.DUMMYFUNCTION("""COMPUTED_VALUE"""),42688.64583333333)</f>
        <v>42688.64583</v>
      </c>
      <c r="B480" s="1">
        <f>IFERROR(__xludf.DUMMYFUNCTION("""COMPUTED_VALUE"""),1868.04)</f>
        <v>1868.04</v>
      </c>
      <c r="C480" s="1">
        <f>IFERROR(__xludf.DUMMYFUNCTION("""COMPUTED_VALUE"""),1872.72)</f>
        <v>1872.72</v>
      </c>
      <c r="D480" s="1">
        <f>IFERROR(__xludf.DUMMYFUNCTION("""COMPUTED_VALUE"""),1868.04)</f>
        <v>1868.04</v>
      </c>
      <c r="E480" s="1">
        <f>IFERROR(__xludf.DUMMYFUNCTION("""COMPUTED_VALUE"""),1868.04)</f>
        <v>1868.04</v>
      </c>
      <c r="F480" s="1">
        <f>IFERROR(__xludf.DUMMYFUNCTION("""COMPUTED_VALUE"""),7156.0)</f>
        <v>7156</v>
      </c>
    </row>
    <row r="481">
      <c r="A481" s="2">
        <f>IFERROR(__xludf.DUMMYFUNCTION("""COMPUTED_VALUE"""),42689.64583333333)</f>
        <v>42689.64583</v>
      </c>
      <c r="B481" s="1">
        <f>IFERROR(__xludf.DUMMYFUNCTION("""COMPUTED_VALUE"""),1868.04)</f>
        <v>1868.04</v>
      </c>
      <c r="C481" s="1">
        <f>IFERROR(__xludf.DUMMYFUNCTION("""COMPUTED_VALUE"""),1868.04)</f>
        <v>1868.04</v>
      </c>
      <c r="D481" s="1">
        <f>IFERROR(__xludf.DUMMYFUNCTION("""COMPUTED_VALUE"""),1858.68)</f>
        <v>1858.68</v>
      </c>
      <c r="E481" s="1">
        <f>IFERROR(__xludf.DUMMYFUNCTION("""COMPUTED_VALUE"""),1858.68)</f>
        <v>1858.68</v>
      </c>
      <c r="F481" s="1">
        <f>IFERROR(__xludf.DUMMYFUNCTION("""COMPUTED_VALUE"""),1231.0)</f>
        <v>1231</v>
      </c>
    </row>
    <row r="482">
      <c r="A482" s="2">
        <f>IFERROR(__xludf.DUMMYFUNCTION("""COMPUTED_VALUE"""),42690.64583333333)</f>
        <v>42690.64583</v>
      </c>
      <c r="B482" s="1">
        <f>IFERROR(__xludf.DUMMYFUNCTION("""COMPUTED_VALUE"""),1863.36)</f>
        <v>1863.36</v>
      </c>
      <c r="C482" s="1">
        <f>IFERROR(__xludf.DUMMYFUNCTION("""COMPUTED_VALUE"""),1863.36)</f>
        <v>1863.36</v>
      </c>
      <c r="D482" s="1">
        <f>IFERROR(__xludf.DUMMYFUNCTION("""COMPUTED_VALUE"""),1863.36)</f>
        <v>1863.36</v>
      </c>
      <c r="E482" s="1">
        <f>IFERROR(__xludf.DUMMYFUNCTION("""COMPUTED_VALUE"""),1863.36)</f>
        <v>1863.36</v>
      </c>
      <c r="F482" s="1">
        <f>IFERROR(__xludf.DUMMYFUNCTION("""COMPUTED_VALUE"""),3042.0)</f>
        <v>3042</v>
      </c>
    </row>
    <row r="483">
      <c r="A483" s="2">
        <f>IFERROR(__xludf.DUMMYFUNCTION("""COMPUTED_VALUE"""),42691.64583333333)</f>
        <v>42691.64583</v>
      </c>
      <c r="B483" s="1">
        <f>IFERROR(__xludf.DUMMYFUNCTION("""COMPUTED_VALUE"""),1872.72)</f>
        <v>1872.72</v>
      </c>
      <c r="C483" s="1">
        <f>IFERROR(__xludf.DUMMYFUNCTION("""COMPUTED_VALUE"""),1877.4)</f>
        <v>1877.4</v>
      </c>
      <c r="D483" s="1">
        <f>IFERROR(__xludf.DUMMYFUNCTION("""COMPUTED_VALUE"""),1872.72)</f>
        <v>1872.72</v>
      </c>
      <c r="E483" s="1">
        <f>IFERROR(__xludf.DUMMYFUNCTION("""COMPUTED_VALUE"""),1877.4)</f>
        <v>1877.4</v>
      </c>
      <c r="F483" s="1">
        <f>IFERROR(__xludf.DUMMYFUNCTION("""COMPUTED_VALUE"""),4777.0)</f>
        <v>4777</v>
      </c>
    </row>
    <row r="484">
      <c r="A484" s="2">
        <f>IFERROR(__xludf.DUMMYFUNCTION("""COMPUTED_VALUE"""),42692.64583333333)</f>
        <v>42692.64583</v>
      </c>
      <c r="B484" s="1">
        <f>IFERROR(__xludf.DUMMYFUNCTION("""COMPUTED_VALUE"""),1882.09)</f>
        <v>1882.09</v>
      </c>
      <c r="C484" s="1">
        <f>IFERROR(__xludf.DUMMYFUNCTION("""COMPUTED_VALUE"""),1886.77)</f>
        <v>1886.77</v>
      </c>
      <c r="D484" s="1">
        <f>IFERROR(__xludf.DUMMYFUNCTION("""COMPUTED_VALUE"""),1877.4)</f>
        <v>1877.4</v>
      </c>
      <c r="E484" s="1">
        <f>IFERROR(__xludf.DUMMYFUNCTION("""COMPUTED_VALUE"""),1877.4)</f>
        <v>1877.4</v>
      </c>
      <c r="F484" s="1">
        <f>IFERROR(__xludf.DUMMYFUNCTION("""COMPUTED_VALUE"""),7775.0)</f>
        <v>7775</v>
      </c>
    </row>
    <row r="485">
      <c r="A485" s="2">
        <f>IFERROR(__xludf.DUMMYFUNCTION("""COMPUTED_VALUE"""),42695.64583333333)</f>
        <v>42695.64583</v>
      </c>
      <c r="B485" s="1">
        <f>IFERROR(__xludf.DUMMYFUNCTION("""COMPUTED_VALUE"""),1877.4)</f>
        <v>1877.4</v>
      </c>
      <c r="C485" s="1">
        <f>IFERROR(__xludf.DUMMYFUNCTION("""COMPUTED_VALUE"""),1905.49)</f>
        <v>1905.49</v>
      </c>
      <c r="D485" s="1">
        <f>IFERROR(__xludf.DUMMYFUNCTION("""COMPUTED_VALUE"""),1877.4)</f>
        <v>1877.4</v>
      </c>
      <c r="E485" s="1">
        <f>IFERROR(__xludf.DUMMYFUNCTION("""COMPUTED_VALUE"""),1905.49)</f>
        <v>1905.49</v>
      </c>
      <c r="F485" s="1">
        <f>IFERROR(__xludf.DUMMYFUNCTION("""COMPUTED_VALUE"""),11462.0)</f>
        <v>11462</v>
      </c>
    </row>
    <row r="486">
      <c r="A486" s="2">
        <f>IFERROR(__xludf.DUMMYFUNCTION("""COMPUTED_VALUE"""),42696.64583333333)</f>
        <v>42696.64583</v>
      </c>
      <c r="B486" s="1">
        <f>IFERROR(__xludf.DUMMYFUNCTION("""COMPUTED_VALUE"""),1919.54)</f>
        <v>1919.54</v>
      </c>
      <c r="C486" s="1">
        <f>IFERROR(__xludf.DUMMYFUNCTION("""COMPUTED_VALUE"""),1919.54)</f>
        <v>1919.54</v>
      </c>
      <c r="D486" s="1">
        <f>IFERROR(__xludf.DUMMYFUNCTION("""COMPUTED_VALUE"""),1905.49)</f>
        <v>1905.49</v>
      </c>
      <c r="E486" s="1">
        <f>IFERROR(__xludf.DUMMYFUNCTION("""COMPUTED_VALUE"""),1919.54)</f>
        <v>1919.54</v>
      </c>
      <c r="F486" s="1">
        <f>IFERROR(__xludf.DUMMYFUNCTION("""COMPUTED_VALUE"""),20597.0)</f>
        <v>20597</v>
      </c>
    </row>
    <row r="487">
      <c r="A487" s="2">
        <f>IFERROR(__xludf.DUMMYFUNCTION("""COMPUTED_VALUE"""),42697.64583333333)</f>
        <v>42697.64583</v>
      </c>
      <c r="B487" s="1">
        <f>IFERROR(__xludf.DUMMYFUNCTION("""COMPUTED_VALUE"""),1919.54)</f>
        <v>1919.54</v>
      </c>
      <c r="C487" s="1">
        <f>IFERROR(__xludf.DUMMYFUNCTION("""COMPUTED_VALUE"""),1928.9)</f>
        <v>1928.9</v>
      </c>
      <c r="D487" s="1">
        <f>IFERROR(__xludf.DUMMYFUNCTION("""COMPUTED_VALUE"""),1919.54)</f>
        <v>1919.54</v>
      </c>
      <c r="E487" s="1">
        <f>IFERROR(__xludf.DUMMYFUNCTION("""COMPUTED_VALUE"""),1928.9)</f>
        <v>1928.9</v>
      </c>
      <c r="F487" s="1">
        <f>IFERROR(__xludf.DUMMYFUNCTION("""COMPUTED_VALUE"""),32038.0)</f>
        <v>32038</v>
      </c>
    </row>
    <row r="488">
      <c r="A488" s="2">
        <f>IFERROR(__xludf.DUMMYFUNCTION("""COMPUTED_VALUE"""),42698.64583333333)</f>
        <v>42698.64583</v>
      </c>
      <c r="B488" s="1">
        <f>IFERROR(__xludf.DUMMYFUNCTION("""COMPUTED_VALUE"""),1928.9)</f>
        <v>1928.9</v>
      </c>
      <c r="C488" s="1">
        <f>IFERROR(__xludf.DUMMYFUNCTION("""COMPUTED_VALUE"""),1928.9)</f>
        <v>1928.9</v>
      </c>
      <c r="D488" s="1">
        <f>IFERROR(__xludf.DUMMYFUNCTION("""COMPUTED_VALUE"""),1919.54)</f>
        <v>1919.54</v>
      </c>
      <c r="E488" s="1">
        <f>IFERROR(__xludf.DUMMYFUNCTION("""COMPUTED_VALUE"""),1924.22)</f>
        <v>1924.22</v>
      </c>
      <c r="F488" s="1">
        <f>IFERROR(__xludf.DUMMYFUNCTION("""COMPUTED_VALUE"""),49290.0)</f>
        <v>49290</v>
      </c>
    </row>
    <row r="489">
      <c r="A489" s="2">
        <f>IFERROR(__xludf.DUMMYFUNCTION("""COMPUTED_VALUE"""),42699.64583333333)</f>
        <v>42699.64583</v>
      </c>
      <c r="B489" s="1">
        <f>IFERROR(__xludf.DUMMYFUNCTION("""COMPUTED_VALUE"""),1919.54)</f>
        <v>1919.54</v>
      </c>
      <c r="C489" s="1">
        <f>IFERROR(__xludf.DUMMYFUNCTION("""COMPUTED_VALUE"""),1933.59)</f>
        <v>1933.59</v>
      </c>
      <c r="D489" s="1">
        <f>IFERROR(__xludf.DUMMYFUNCTION("""COMPUTED_VALUE"""),1919.54)</f>
        <v>1919.54</v>
      </c>
      <c r="E489" s="1">
        <f>IFERROR(__xludf.DUMMYFUNCTION("""COMPUTED_VALUE"""),1933.59)</f>
        <v>1933.59</v>
      </c>
      <c r="F489" s="1">
        <f>IFERROR(__xludf.DUMMYFUNCTION("""COMPUTED_VALUE"""),73324.0)</f>
        <v>73324</v>
      </c>
    </row>
    <row r="490">
      <c r="A490" s="2">
        <f>IFERROR(__xludf.DUMMYFUNCTION("""COMPUTED_VALUE"""),42702.64583333333)</f>
        <v>42702.64583</v>
      </c>
      <c r="B490" s="1">
        <f>IFERROR(__xludf.DUMMYFUNCTION("""COMPUTED_VALUE"""),1938.27)</f>
        <v>1938.27</v>
      </c>
      <c r="C490" s="1">
        <f>IFERROR(__xludf.DUMMYFUNCTION("""COMPUTED_VALUE"""),1938.27)</f>
        <v>1938.27</v>
      </c>
      <c r="D490" s="1">
        <f>IFERROR(__xludf.DUMMYFUNCTION("""COMPUTED_VALUE"""),1924.22)</f>
        <v>1924.22</v>
      </c>
      <c r="E490" s="1">
        <f>IFERROR(__xludf.DUMMYFUNCTION("""COMPUTED_VALUE"""),1928.9)</f>
        <v>1928.9</v>
      </c>
      <c r="F490" s="1">
        <f>IFERROR(__xludf.DUMMYFUNCTION("""COMPUTED_VALUE"""),242558.0)</f>
        <v>242558</v>
      </c>
    </row>
    <row r="491">
      <c r="A491" s="2">
        <f>IFERROR(__xludf.DUMMYFUNCTION("""COMPUTED_VALUE"""),42703.64583333333)</f>
        <v>42703.64583</v>
      </c>
      <c r="B491" s="1">
        <f>IFERROR(__xludf.DUMMYFUNCTION("""COMPUTED_VALUE"""),1928.9)</f>
        <v>1928.9</v>
      </c>
      <c r="C491" s="1">
        <f>IFERROR(__xludf.DUMMYFUNCTION("""COMPUTED_VALUE"""),1928.9)</f>
        <v>1928.9</v>
      </c>
      <c r="D491" s="1">
        <f>IFERROR(__xludf.DUMMYFUNCTION("""COMPUTED_VALUE"""),1900.81)</f>
        <v>1900.81</v>
      </c>
      <c r="E491" s="1">
        <f>IFERROR(__xludf.DUMMYFUNCTION("""COMPUTED_VALUE"""),1919.54)</f>
        <v>1919.54</v>
      </c>
      <c r="F491" s="1">
        <f>IFERROR(__xludf.DUMMYFUNCTION("""COMPUTED_VALUE"""),149404.0)</f>
        <v>149404</v>
      </c>
    </row>
    <row r="492">
      <c r="A492" s="2">
        <f>IFERROR(__xludf.DUMMYFUNCTION("""COMPUTED_VALUE"""),42704.64583333333)</f>
        <v>42704.64583</v>
      </c>
      <c r="B492" s="1">
        <f>IFERROR(__xludf.DUMMYFUNCTION("""COMPUTED_VALUE"""),1919.54)</f>
        <v>1919.54</v>
      </c>
      <c r="C492" s="1">
        <f>IFERROR(__xludf.DUMMYFUNCTION("""COMPUTED_VALUE"""),1933.59)</f>
        <v>1933.59</v>
      </c>
      <c r="D492" s="1">
        <f>IFERROR(__xludf.DUMMYFUNCTION("""COMPUTED_VALUE"""),1919.54)</f>
        <v>1919.54</v>
      </c>
      <c r="E492" s="1">
        <f>IFERROR(__xludf.DUMMYFUNCTION("""COMPUTED_VALUE"""),1928.9)</f>
        <v>1928.9</v>
      </c>
      <c r="F492" s="1">
        <f>IFERROR(__xludf.DUMMYFUNCTION("""COMPUTED_VALUE"""),136240.0)</f>
        <v>136240</v>
      </c>
    </row>
    <row r="493">
      <c r="A493" s="2">
        <f>IFERROR(__xludf.DUMMYFUNCTION("""COMPUTED_VALUE"""),42705.64583333333)</f>
        <v>42705.64583</v>
      </c>
      <c r="B493" s="1">
        <f>IFERROR(__xludf.DUMMYFUNCTION("""COMPUTED_VALUE"""),1928.9)</f>
        <v>1928.9</v>
      </c>
      <c r="C493" s="1">
        <f>IFERROR(__xludf.DUMMYFUNCTION("""COMPUTED_VALUE"""),1938.27)</f>
        <v>1938.27</v>
      </c>
      <c r="D493" s="1">
        <f>IFERROR(__xludf.DUMMYFUNCTION("""COMPUTED_VALUE"""),1910.18)</f>
        <v>1910.18</v>
      </c>
      <c r="E493" s="1">
        <f>IFERROR(__xludf.DUMMYFUNCTION("""COMPUTED_VALUE"""),1938.27)</f>
        <v>1938.27</v>
      </c>
      <c r="F493" s="1">
        <f>IFERROR(__xludf.DUMMYFUNCTION("""COMPUTED_VALUE"""),165081.0)</f>
        <v>165081</v>
      </c>
    </row>
    <row r="494">
      <c r="A494" s="2">
        <f>IFERROR(__xludf.DUMMYFUNCTION("""COMPUTED_VALUE"""),42706.64583333333)</f>
        <v>42706.64583</v>
      </c>
      <c r="B494" s="1">
        <f>IFERROR(__xludf.DUMMYFUNCTION("""COMPUTED_VALUE"""),1947.63)</f>
        <v>1947.63</v>
      </c>
      <c r="C494" s="1">
        <f>IFERROR(__xludf.DUMMYFUNCTION("""COMPUTED_VALUE"""),1947.63)</f>
        <v>1947.63</v>
      </c>
      <c r="D494" s="1">
        <f>IFERROR(__xludf.DUMMYFUNCTION("""COMPUTED_VALUE"""),1928.9)</f>
        <v>1928.9</v>
      </c>
      <c r="E494" s="1">
        <f>IFERROR(__xludf.DUMMYFUNCTION("""COMPUTED_VALUE"""),1928.9)</f>
        <v>1928.9</v>
      </c>
      <c r="F494" s="1">
        <f>IFERROR(__xludf.DUMMYFUNCTION("""COMPUTED_VALUE"""),85769.0)</f>
        <v>85769</v>
      </c>
    </row>
    <row r="495">
      <c r="A495" s="2">
        <f>IFERROR(__xludf.DUMMYFUNCTION("""COMPUTED_VALUE"""),42709.64583333333)</f>
        <v>42709.64583</v>
      </c>
      <c r="B495" s="1">
        <f>IFERROR(__xludf.DUMMYFUNCTION("""COMPUTED_VALUE"""),1938.27)</f>
        <v>1938.27</v>
      </c>
      <c r="C495" s="1">
        <f>IFERROR(__xludf.DUMMYFUNCTION("""COMPUTED_VALUE"""),1942.95)</f>
        <v>1942.95</v>
      </c>
      <c r="D495" s="1">
        <f>IFERROR(__xludf.DUMMYFUNCTION("""COMPUTED_VALUE"""),1872.72)</f>
        <v>1872.72</v>
      </c>
      <c r="E495" s="1">
        <f>IFERROR(__xludf.DUMMYFUNCTION("""COMPUTED_VALUE"""),1924.22)</f>
        <v>1924.22</v>
      </c>
      <c r="F495" s="1">
        <f>IFERROR(__xludf.DUMMYFUNCTION("""COMPUTED_VALUE"""),25240.0)</f>
        <v>25240</v>
      </c>
    </row>
    <row r="496">
      <c r="A496" s="2">
        <f>IFERROR(__xludf.DUMMYFUNCTION("""COMPUTED_VALUE"""),42710.64583333333)</f>
        <v>42710.64583</v>
      </c>
      <c r="B496" s="1">
        <f>IFERROR(__xludf.DUMMYFUNCTION("""COMPUTED_VALUE"""),1872.72)</f>
        <v>1872.72</v>
      </c>
      <c r="C496" s="1">
        <f>IFERROR(__xludf.DUMMYFUNCTION("""COMPUTED_VALUE"""),1928.9)</f>
        <v>1928.9</v>
      </c>
      <c r="D496" s="1">
        <f>IFERROR(__xludf.DUMMYFUNCTION("""COMPUTED_VALUE"""),1872.72)</f>
        <v>1872.72</v>
      </c>
      <c r="E496" s="1">
        <f>IFERROR(__xludf.DUMMYFUNCTION("""COMPUTED_VALUE"""),1910.18)</f>
        <v>1910.18</v>
      </c>
      <c r="F496" s="1">
        <f>IFERROR(__xludf.DUMMYFUNCTION("""COMPUTED_VALUE"""),27420.0)</f>
        <v>27420</v>
      </c>
    </row>
    <row r="497">
      <c r="A497" s="2">
        <f>IFERROR(__xludf.DUMMYFUNCTION("""COMPUTED_VALUE"""),42711.64583333333)</f>
        <v>42711.64583</v>
      </c>
      <c r="B497" s="1">
        <f>IFERROR(__xludf.DUMMYFUNCTION("""COMPUTED_VALUE"""),1877.4)</f>
        <v>1877.4</v>
      </c>
      <c r="C497" s="1">
        <f>IFERROR(__xludf.DUMMYFUNCTION("""COMPUTED_VALUE"""),1938.27)</f>
        <v>1938.27</v>
      </c>
      <c r="D497" s="1">
        <f>IFERROR(__xludf.DUMMYFUNCTION("""COMPUTED_VALUE"""),1877.4)</f>
        <v>1877.4</v>
      </c>
      <c r="E497" s="1">
        <f>IFERROR(__xludf.DUMMYFUNCTION("""COMPUTED_VALUE"""),1919.54)</f>
        <v>1919.54</v>
      </c>
      <c r="F497" s="1">
        <f>IFERROR(__xludf.DUMMYFUNCTION("""COMPUTED_VALUE"""),32809.0)</f>
        <v>32809</v>
      </c>
    </row>
    <row r="498">
      <c r="A498" s="2">
        <f>IFERROR(__xludf.DUMMYFUNCTION("""COMPUTED_VALUE"""),42712.64583333333)</f>
        <v>42712.64583</v>
      </c>
      <c r="B498" s="1">
        <f>IFERROR(__xludf.DUMMYFUNCTION("""COMPUTED_VALUE"""),1919.54)</f>
        <v>1919.54</v>
      </c>
      <c r="C498" s="1">
        <f>IFERROR(__xludf.DUMMYFUNCTION("""COMPUTED_VALUE"""),1919.54)</f>
        <v>1919.54</v>
      </c>
      <c r="D498" s="1">
        <f>IFERROR(__xludf.DUMMYFUNCTION("""COMPUTED_VALUE"""),1910.18)</f>
        <v>1910.18</v>
      </c>
      <c r="E498" s="1">
        <f>IFERROR(__xludf.DUMMYFUNCTION("""COMPUTED_VALUE"""),1914.86)</f>
        <v>1914.86</v>
      </c>
      <c r="F498" s="1">
        <f>IFERROR(__xludf.DUMMYFUNCTION("""COMPUTED_VALUE"""),5437.0)</f>
        <v>5437</v>
      </c>
    </row>
    <row r="499">
      <c r="A499" s="2">
        <f>IFERROR(__xludf.DUMMYFUNCTION("""COMPUTED_VALUE"""),42713.64583333333)</f>
        <v>42713.64583</v>
      </c>
      <c r="B499" s="1">
        <f>IFERROR(__xludf.DUMMYFUNCTION("""COMPUTED_VALUE"""),1914.86)</f>
        <v>1914.86</v>
      </c>
      <c r="C499" s="1">
        <f>IFERROR(__xludf.DUMMYFUNCTION("""COMPUTED_VALUE"""),1914.86)</f>
        <v>1914.86</v>
      </c>
      <c r="D499" s="1">
        <f>IFERROR(__xludf.DUMMYFUNCTION("""COMPUTED_VALUE"""),1891.45)</f>
        <v>1891.45</v>
      </c>
      <c r="E499" s="1">
        <f>IFERROR(__xludf.DUMMYFUNCTION("""COMPUTED_VALUE"""),1914.86)</f>
        <v>1914.86</v>
      </c>
      <c r="F499" s="1">
        <f>IFERROR(__xludf.DUMMYFUNCTION("""COMPUTED_VALUE"""),16889.0)</f>
        <v>16889</v>
      </c>
    </row>
    <row r="500">
      <c r="A500" s="2">
        <f>IFERROR(__xludf.DUMMYFUNCTION("""COMPUTED_VALUE"""),42716.64583333333)</f>
        <v>42716.64583</v>
      </c>
      <c r="B500" s="1">
        <f>IFERROR(__xludf.DUMMYFUNCTION("""COMPUTED_VALUE"""),1914.86)</f>
        <v>1914.86</v>
      </c>
      <c r="C500" s="1">
        <f>IFERROR(__xludf.DUMMYFUNCTION("""COMPUTED_VALUE"""),1914.86)</f>
        <v>1914.86</v>
      </c>
      <c r="D500" s="1">
        <f>IFERROR(__xludf.DUMMYFUNCTION("""COMPUTED_VALUE"""),1858.68)</f>
        <v>1858.68</v>
      </c>
      <c r="E500" s="1">
        <f>IFERROR(__xludf.DUMMYFUNCTION("""COMPUTED_VALUE"""),1858.68)</f>
        <v>1858.68</v>
      </c>
      <c r="F500" s="1">
        <f>IFERROR(__xludf.DUMMYFUNCTION("""COMPUTED_VALUE"""),26890.0)</f>
        <v>26890</v>
      </c>
    </row>
    <row r="501">
      <c r="A501" s="2">
        <f>IFERROR(__xludf.DUMMYFUNCTION("""COMPUTED_VALUE"""),42717.64583333333)</f>
        <v>42717.64583</v>
      </c>
      <c r="B501" s="1">
        <f>IFERROR(__xludf.DUMMYFUNCTION("""COMPUTED_VALUE"""),1872.72)</f>
        <v>1872.72</v>
      </c>
      <c r="C501" s="1">
        <f>IFERROR(__xludf.DUMMYFUNCTION("""COMPUTED_VALUE"""),1882.09)</f>
        <v>1882.09</v>
      </c>
      <c r="D501" s="1">
        <f>IFERROR(__xludf.DUMMYFUNCTION("""COMPUTED_VALUE"""),1853.99)</f>
        <v>1853.99</v>
      </c>
      <c r="E501" s="1">
        <f>IFERROR(__xludf.DUMMYFUNCTION("""COMPUTED_VALUE"""),1858.68)</f>
        <v>1858.68</v>
      </c>
      <c r="F501" s="1">
        <f>IFERROR(__xludf.DUMMYFUNCTION("""COMPUTED_VALUE"""),32745.0)</f>
        <v>32745</v>
      </c>
    </row>
    <row r="502">
      <c r="A502" s="2">
        <f>IFERROR(__xludf.DUMMYFUNCTION("""COMPUTED_VALUE"""),42718.64583333333)</f>
        <v>42718.64583</v>
      </c>
      <c r="B502" s="1">
        <f>IFERROR(__xludf.DUMMYFUNCTION("""COMPUTED_VALUE"""),1858.68)</f>
        <v>1858.68</v>
      </c>
      <c r="C502" s="1">
        <f>IFERROR(__xludf.DUMMYFUNCTION("""COMPUTED_VALUE"""),1858.68)</f>
        <v>1858.68</v>
      </c>
      <c r="D502" s="1">
        <f>IFERROR(__xludf.DUMMYFUNCTION("""COMPUTED_VALUE"""),1858.68)</f>
        <v>1858.68</v>
      </c>
      <c r="E502" s="1">
        <f>IFERROR(__xludf.DUMMYFUNCTION("""COMPUTED_VALUE"""),1858.68)</f>
        <v>1858.68</v>
      </c>
      <c r="F502" s="1">
        <f>IFERROR(__xludf.DUMMYFUNCTION("""COMPUTED_VALUE"""),999.0)</f>
        <v>999</v>
      </c>
    </row>
    <row r="503">
      <c r="A503" s="2">
        <f>IFERROR(__xludf.DUMMYFUNCTION("""COMPUTED_VALUE"""),42719.64583333333)</f>
        <v>42719.64583</v>
      </c>
      <c r="B503" s="1">
        <f>IFERROR(__xludf.DUMMYFUNCTION("""COMPUTED_VALUE"""),1900.81)</f>
        <v>1900.81</v>
      </c>
      <c r="C503" s="1">
        <f>IFERROR(__xludf.DUMMYFUNCTION("""COMPUTED_VALUE"""),1900.81)</f>
        <v>1900.81</v>
      </c>
      <c r="D503" s="1">
        <f>IFERROR(__xludf.DUMMYFUNCTION("""COMPUTED_VALUE"""),1858.68)</f>
        <v>1858.68</v>
      </c>
      <c r="E503" s="1">
        <f>IFERROR(__xludf.DUMMYFUNCTION("""COMPUTED_VALUE"""),1872.72)</f>
        <v>1872.72</v>
      </c>
      <c r="F503" s="1">
        <f>IFERROR(__xludf.DUMMYFUNCTION("""COMPUTED_VALUE"""),4176.0)</f>
        <v>4176</v>
      </c>
    </row>
    <row r="504">
      <c r="A504" s="2">
        <f>IFERROR(__xludf.DUMMYFUNCTION("""COMPUTED_VALUE"""),42720.64583333333)</f>
        <v>42720.64583</v>
      </c>
      <c r="B504" s="1">
        <f>IFERROR(__xludf.DUMMYFUNCTION("""COMPUTED_VALUE"""),1872.72)</f>
        <v>1872.72</v>
      </c>
      <c r="C504" s="1">
        <f>IFERROR(__xludf.DUMMYFUNCTION("""COMPUTED_VALUE"""),1882.09)</f>
        <v>1882.09</v>
      </c>
      <c r="D504" s="1">
        <f>IFERROR(__xludf.DUMMYFUNCTION("""COMPUTED_VALUE"""),1872.72)</f>
        <v>1872.72</v>
      </c>
      <c r="E504" s="1">
        <f>IFERROR(__xludf.DUMMYFUNCTION("""COMPUTED_VALUE"""),1882.09)</f>
        <v>1882.09</v>
      </c>
      <c r="F504" s="1">
        <f>IFERROR(__xludf.DUMMYFUNCTION("""COMPUTED_VALUE"""),2828.0)</f>
        <v>2828</v>
      </c>
    </row>
    <row r="505">
      <c r="A505" s="2">
        <f>IFERROR(__xludf.DUMMYFUNCTION("""COMPUTED_VALUE"""),42723.64583333333)</f>
        <v>42723.64583</v>
      </c>
      <c r="B505" s="1">
        <f>IFERROR(__xludf.DUMMYFUNCTION("""COMPUTED_VALUE"""),1882.09)</f>
        <v>1882.09</v>
      </c>
      <c r="C505" s="1">
        <f>IFERROR(__xludf.DUMMYFUNCTION("""COMPUTED_VALUE"""),1900.81)</f>
        <v>1900.81</v>
      </c>
      <c r="D505" s="1">
        <f>IFERROR(__xludf.DUMMYFUNCTION("""COMPUTED_VALUE"""),1882.09)</f>
        <v>1882.09</v>
      </c>
      <c r="E505" s="1">
        <f>IFERROR(__xludf.DUMMYFUNCTION("""COMPUTED_VALUE"""),1900.81)</f>
        <v>1900.81</v>
      </c>
      <c r="F505" s="1">
        <f>IFERROR(__xludf.DUMMYFUNCTION("""COMPUTED_VALUE"""),10347.0)</f>
        <v>10347</v>
      </c>
    </row>
    <row r="506">
      <c r="A506" s="2">
        <f>IFERROR(__xludf.DUMMYFUNCTION("""COMPUTED_VALUE"""),42724.64583333333)</f>
        <v>42724.64583</v>
      </c>
      <c r="B506" s="1">
        <f>IFERROR(__xludf.DUMMYFUNCTION("""COMPUTED_VALUE"""),1910.18)</f>
        <v>1910.18</v>
      </c>
      <c r="C506" s="1">
        <f>IFERROR(__xludf.DUMMYFUNCTION("""COMPUTED_VALUE"""),1919.54)</f>
        <v>1919.54</v>
      </c>
      <c r="D506" s="1">
        <f>IFERROR(__xludf.DUMMYFUNCTION("""COMPUTED_VALUE"""),1877.4)</f>
        <v>1877.4</v>
      </c>
      <c r="E506" s="1">
        <f>IFERROR(__xludf.DUMMYFUNCTION("""COMPUTED_VALUE"""),1882.09)</f>
        <v>1882.09</v>
      </c>
      <c r="F506" s="1">
        <f>IFERROR(__xludf.DUMMYFUNCTION("""COMPUTED_VALUE"""),17961.0)</f>
        <v>17961</v>
      </c>
    </row>
    <row r="507">
      <c r="A507" s="2">
        <f>IFERROR(__xludf.DUMMYFUNCTION("""COMPUTED_VALUE"""),42725.64583333333)</f>
        <v>42725.64583</v>
      </c>
      <c r="B507" s="1">
        <f>IFERROR(__xludf.DUMMYFUNCTION("""COMPUTED_VALUE"""),1882.09)</f>
        <v>1882.09</v>
      </c>
      <c r="C507" s="1">
        <f>IFERROR(__xludf.DUMMYFUNCTION("""COMPUTED_VALUE"""),1919.54)</f>
        <v>1919.54</v>
      </c>
      <c r="D507" s="1">
        <f>IFERROR(__xludf.DUMMYFUNCTION("""COMPUTED_VALUE"""),1872.72)</f>
        <v>1872.72</v>
      </c>
      <c r="E507" s="1">
        <f>IFERROR(__xludf.DUMMYFUNCTION("""COMPUTED_VALUE"""),1891.45)</f>
        <v>1891.45</v>
      </c>
      <c r="F507" s="1">
        <f>IFERROR(__xludf.DUMMYFUNCTION("""COMPUTED_VALUE"""),8092.0)</f>
        <v>8092</v>
      </c>
    </row>
    <row r="508">
      <c r="A508" s="2">
        <f>IFERROR(__xludf.DUMMYFUNCTION("""COMPUTED_VALUE"""),42726.64583333333)</f>
        <v>42726.64583</v>
      </c>
      <c r="B508" s="1">
        <f>IFERROR(__xludf.DUMMYFUNCTION("""COMPUTED_VALUE"""),1900.81)</f>
        <v>1900.81</v>
      </c>
      <c r="C508" s="1">
        <f>IFERROR(__xludf.DUMMYFUNCTION("""COMPUTED_VALUE"""),1900.81)</f>
        <v>1900.81</v>
      </c>
      <c r="D508" s="1">
        <f>IFERROR(__xludf.DUMMYFUNCTION("""COMPUTED_VALUE"""),1872.72)</f>
        <v>1872.72</v>
      </c>
      <c r="E508" s="1">
        <f>IFERROR(__xludf.DUMMYFUNCTION("""COMPUTED_VALUE"""),1891.45)</f>
        <v>1891.45</v>
      </c>
      <c r="F508" s="1">
        <f>IFERROR(__xludf.DUMMYFUNCTION("""COMPUTED_VALUE"""),11710.0)</f>
        <v>11710</v>
      </c>
    </row>
    <row r="509">
      <c r="A509" s="2">
        <f>IFERROR(__xludf.DUMMYFUNCTION("""COMPUTED_VALUE"""),42727.64583333333)</f>
        <v>42727.64583</v>
      </c>
      <c r="B509" s="1">
        <f>IFERROR(__xludf.DUMMYFUNCTION("""COMPUTED_VALUE"""),1872.72)</f>
        <v>1872.72</v>
      </c>
      <c r="C509" s="1">
        <f>IFERROR(__xludf.DUMMYFUNCTION("""COMPUTED_VALUE"""),1900.81)</f>
        <v>1900.81</v>
      </c>
      <c r="D509" s="1">
        <f>IFERROR(__xludf.DUMMYFUNCTION("""COMPUTED_VALUE"""),1868.04)</f>
        <v>1868.04</v>
      </c>
      <c r="E509" s="1">
        <f>IFERROR(__xludf.DUMMYFUNCTION("""COMPUTED_VALUE"""),1896.13)</f>
        <v>1896.13</v>
      </c>
      <c r="F509" s="1">
        <f>IFERROR(__xludf.DUMMYFUNCTION("""COMPUTED_VALUE"""),3891.0)</f>
        <v>3891</v>
      </c>
    </row>
    <row r="510">
      <c r="A510" s="2">
        <f>IFERROR(__xludf.DUMMYFUNCTION("""COMPUTED_VALUE"""),42730.64583333333)</f>
        <v>42730.64583</v>
      </c>
      <c r="B510" s="1">
        <f>IFERROR(__xludf.DUMMYFUNCTION("""COMPUTED_VALUE"""),1872.72)</f>
        <v>1872.72</v>
      </c>
      <c r="C510" s="1">
        <f>IFERROR(__xludf.DUMMYFUNCTION("""COMPUTED_VALUE"""),1910.18)</f>
        <v>1910.18</v>
      </c>
      <c r="D510" s="1">
        <f>IFERROR(__xludf.DUMMYFUNCTION("""COMPUTED_VALUE"""),1868.04)</f>
        <v>1868.04</v>
      </c>
      <c r="E510" s="1">
        <f>IFERROR(__xludf.DUMMYFUNCTION("""COMPUTED_VALUE"""),1910.18)</f>
        <v>1910.18</v>
      </c>
      <c r="F510" s="1">
        <f>IFERROR(__xludf.DUMMYFUNCTION("""COMPUTED_VALUE"""),12127.0)</f>
        <v>12127</v>
      </c>
    </row>
    <row r="511">
      <c r="A511" s="2">
        <f>IFERROR(__xludf.DUMMYFUNCTION("""COMPUTED_VALUE"""),42731.64583333333)</f>
        <v>42731.64583</v>
      </c>
      <c r="B511" s="1">
        <f>IFERROR(__xludf.DUMMYFUNCTION("""COMPUTED_VALUE"""),1910.18)</f>
        <v>1910.18</v>
      </c>
      <c r="C511" s="1">
        <f>IFERROR(__xludf.DUMMYFUNCTION("""COMPUTED_VALUE"""),1910.18)</f>
        <v>1910.18</v>
      </c>
      <c r="D511" s="1">
        <f>IFERROR(__xludf.DUMMYFUNCTION("""COMPUTED_VALUE"""),1900.81)</f>
        <v>1900.81</v>
      </c>
      <c r="E511" s="1">
        <f>IFERROR(__xludf.DUMMYFUNCTION("""COMPUTED_VALUE"""),1910.18)</f>
        <v>1910.18</v>
      </c>
      <c r="F511" s="1">
        <f>IFERROR(__xludf.DUMMYFUNCTION("""COMPUTED_VALUE"""),209.0)</f>
        <v>209</v>
      </c>
    </row>
    <row r="512">
      <c r="A512" s="2">
        <f>IFERROR(__xludf.DUMMYFUNCTION("""COMPUTED_VALUE"""),42732.64583333333)</f>
        <v>42732.64583</v>
      </c>
      <c r="B512" s="1">
        <f>IFERROR(__xludf.DUMMYFUNCTION("""COMPUTED_VALUE"""),1919.54)</f>
        <v>1919.54</v>
      </c>
      <c r="C512" s="1">
        <f>IFERROR(__xludf.DUMMYFUNCTION("""COMPUTED_VALUE"""),1919.54)</f>
        <v>1919.54</v>
      </c>
      <c r="D512" s="1">
        <f>IFERROR(__xludf.DUMMYFUNCTION("""COMPUTED_VALUE"""),1872.72)</f>
        <v>1872.72</v>
      </c>
      <c r="E512" s="1">
        <f>IFERROR(__xludf.DUMMYFUNCTION("""COMPUTED_VALUE"""),1882.09)</f>
        <v>1882.09</v>
      </c>
      <c r="F512" s="1">
        <f>IFERROR(__xludf.DUMMYFUNCTION("""COMPUTED_VALUE"""),4846.0)</f>
        <v>4846</v>
      </c>
    </row>
    <row r="513">
      <c r="A513" s="2">
        <f>IFERROR(__xludf.DUMMYFUNCTION("""COMPUTED_VALUE"""),42733.64583333333)</f>
        <v>42733.64583</v>
      </c>
      <c r="B513" s="1">
        <f>IFERROR(__xludf.DUMMYFUNCTION("""COMPUTED_VALUE"""),1919.54)</f>
        <v>1919.54</v>
      </c>
      <c r="C513" s="1">
        <f>IFERROR(__xludf.DUMMYFUNCTION("""COMPUTED_VALUE"""),1919.54)</f>
        <v>1919.54</v>
      </c>
      <c r="D513" s="1">
        <f>IFERROR(__xludf.DUMMYFUNCTION("""COMPUTED_VALUE"""),1882.09)</f>
        <v>1882.09</v>
      </c>
      <c r="E513" s="1">
        <f>IFERROR(__xludf.DUMMYFUNCTION("""COMPUTED_VALUE"""),1910.18)</f>
        <v>1910.18</v>
      </c>
      <c r="F513" s="1">
        <f>IFERROR(__xludf.DUMMYFUNCTION("""COMPUTED_VALUE"""),2061.0)</f>
        <v>2061</v>
      </c>
    </row>
    <row r="514">
      <c r="A514" s="2">
        <f>IFERROR(__xludf.DUMMYFUNCTION("""COMPUTED_VALUE"""),42737.64583333333)</f>
        <v>42737.64583</v>
      </c>
      <c r="B514" s="1">
        <f>IFERROR(__xludf.DUMMYFUNCTION("""COMPUTED_VALUE"""),1882.09)</f>
        <v>1882.09</v>
      </c>
      <c r="C514" s="1">
        <f>IFERROR(__xludf.DUMMYFUNCTION("""COMPUTED_VALUE"""),1914.86)</f>
        <v>1914.86</v>
      </c>
      <c r="D514" s="1">
        <f>IFERROR(__xludf.DUMMYFUNCTION("""COMPUTED_VALUE"""),1882.09)</f>
        <v>1882.09</v>
      </c>
      <c r="E514" s="1">
        <f>IFERROR(__xludf.DUMMYFUNCTION("""COMPUTED_VALUE"""),1910.18)</f>
        <v>1910.18</v>
      </c>
      <c r="F514" s="1">
        <f>IFERROR(__xludf.DUMMYFUNCTION("""COMPUTED_VALUE"""),2967.0)</f>
        <v>2967</v>
      </c>
    </row>
    <row r="515">
      <c r="A515" s="2">
        <f>IFERROR(__xludf.DUMMYFUNCTION("""COMPUTED_VALUE"""),42738.64583333333)</f>
        <v>42738.64583</v>
      </c>
      <c r="B515" s="1">
        <f>IFERROR(__xludf.DUMMYFUNCTION("""COMPUTED_VALUE"""),1882.09)</f>
        <v>1882.09</v>
      </c>
      <c r="C515" s="1">
        <f>IFERROR(__xludf.DUMMYFUNCTION("""COMPUTED_VALUE"""),1910.18)</f>
        <v>1910.18</v>
      </c>
      <c r="D515" s="1">
        <f>IFERROR(__xludf.DUMMYFUNCTION("""COMPUTED_VALUE"""),1882.09)</f>
        <v>1882.09</v>
      </c>
      <c r="E515" s="1">
        <f>IFERROR(__xludf.DUMMYFUNCTION("""COMPUTED_VALUE"""),1910.18)</f>
        <v>1910.18</v>
      </c>
      <c r="F515" s="1">
        <f>IFERROR(__xludf.DUMMYFUNCTION("""COMPUTED_VALUE"""),1621.0)</f>
        <v>1621</v>
      </c>
    </row>
    <row r="516">
      <c r="A516" s="2">
        <f>IFERROR(__xludf.DUMMYFUNCTION("""COMPUTED_VALUE"""),42739.64583333333)</f>
        <v>42739.64583</v>
      </c>
      <c r="B516" s="1">
        <f>IFERROR(__xludf.DUMMYFUNCTION("""COMPUTED_VALUE"""),1905.49)</f>
        <v>1905.49</v>
      </c>
      <c r="C516" s="1">
        <f>IFERROR(__xludf.DUMMYFUNCTION("""COMPUTED_VALUE"""),1905.49)</f>
        <v>1905.49</v>
      </c>
      <c r="D516" s="1">
        <f>IFERROR(__xludf.DUMMYFUNCTION("""COMPUTED_VALUE"""),1905.49)</f>
        <v>1905.49</v>
      </c>
      <c r="E516" s="1">
        <f>IFERROR(__xludf.DUMMYFUNCTION("""COMPUTED_VALUE"""),1905.49)</f>
        <v>1905.49</v>
      </c>
      <c r="F516" s="1">
        <f>IFERROR(__xludf.DUMMYFUNCTION("""COMPUTED_VALUE"""),110.0)</f>
        <v>110</v>
      </c>
    </row>
    <row r="517">
      <c r="A517" s="2">
        <f>IFERROR(__xludf.DUMMYFUNCTION("""COMPUTED_VALUE"""),42740.64583333333)</f>
        <v>42740.64583</v>
      </c>
      <c r="B517" s="1">
        <f>IFERROR(__xludf.DUMMYFUNCTION("""COMPUTED_VALUE"""),1914.86)</f>
        <v>1914.86</v>
      </c>
      <c r="C517" s="1">
        <f>IFERROR(__xludf.DUMMYFUNCTION("""COMPUTED_VALUE"""),1914.86)</f>
        <v>1914.86</v>
      </c>
      <c r="D517" s="1">
        <f>IFERROR(__xludf.DUMMYFUNCTION("""COMPUTED_VALUE"""),1905.49)</f>
        <v>1905.49</v>
      </c>
      <c r="E517" s="1">
        <f>IFERROR(__xludf.DUMMYFUNCTION("""COMPUTED_VALUE"""),1905.49)</f>
        <v>1905.49</v>
      </c>
      <c r="F517" s="1">
        <f>IFERROR(__xludf.DUMMYFUNCTION("""COMPUTED_VALUE"""),21.0)</f>
        <v>21</v>
      </c>
    </row>
    <row r="518">
      <c r="A518" s="2">
        <f>IFERROR(__xludf.DUMMYFUNCTION("""COMPUTED_VALUE"""),42741.64583333333)</f>
        <v>42741.64583</v>
      </c>
      <c r="B518" s="1">
        <f>IFERROR(__xludf.DUMMYFUNCTION("""COMPUTED_VALUE"""),1905.49)</f>
        <v>1905.49</v>
      </c>
      <c r="C518" s="1">
        <f>IFERROR(__xludf.DUMMYFUNCTION("""COMPUTED_VALUE"""),1905.49)</f>
        <v>1905.49</v>
      </c>
      <c r="D518" s="1">
        <f>IFERROR(__xludf.DUMMYFUNCTION("""COMPUTED_VALUE"""),1891.45)</f>
        <v>1891.45</v>
      </c>
      <c r="E518" s="1">
        <f>IFERROR(__xludf.DUMMYFUNCTION("""COMPUTED_VALUE"""),1905.49)</f>
        <v>1905.49</v>
      </c>
      <c r="F518" s="1">
        <f>IFERROR(__xludf.DUMMYFUNCTION("""COMPUTED_VALUE"""),9201.0)</f>
        <v>9201</v>
      </c>
    </row>
    <row r="519">
      <c r="A519" s="2">
        <f>IFERROR(__xludf.DUMMYFUNCTION("""COMPUTED_VALUE"""),42744.64583333333)</f>
        <v>42744.64583</v>
      </c>
      <c r="B519" s="1">
        <f>IFERROR(__xludf.DUMMYFUNCTION("""COMPUTED_VALUE"""),1914.86)</f>
        <v>1914.86</v>
      </c>
      <c r="C519" s="1">
        <f>IFERROR(__xludf.DUMMYFUNCTION("""COMPUTED_VALUE"""),1914.86)</f>
        <v>1914.86</v>
      </c>
      <c r="D519" s="1">
        <f>IFERROR(__xludf.DUMMYFUNCTION("""COMPUTED_VALUE"""),1905.49)</f>
        <v>1905.49</v>
      </c>
      <c r="E519" s="1">
        <f>IFERROR(__xludf.DUMMYFUNCTION("""COMPUTED_VALUE"""),1910.18)</f>
        <v>1910.18</v>
      </c>
      <c r="F519" s="1">
        <f>IFERROR(__xludf.DUMMYFUNCTION("""COMPUTED_VALUE"""),2318.0)</f>
        <v>2318</v>
      </c>
    </row>
    <row r="520">
      <c r="A520" s="2">
        <f>IFERROR(__xludf.DUMMYFUNCTION("""COMPUTED_VALUE"""),42745.64583333333)</f>
        <v>42745.64583</v>
      </c>
      <c r="B520" s="1">
        <f>IFERROR(__xludf.DUMMYFUNCTION("""COMPUTED_VALUE"""),1910.18)</f>
        <v>1910.18</v>
      </c>
      <c r="C520" s="1">
        <f>IFERROR(__xludf.DUMMYFUNCTION("""COMPUTED_VALUE"""),1910.18)</f>
        <v>1910.18</v>
      </c>
      <c r="D520" s="1">
        <f>IFERROR(__xludf.DUMMYFUNCTION("""COMPUTED_VALUE"""),1905.49)</f>
        <v>1905.49</v>
      </c>
      <c r="E520" s="1">
        <f>IFERROR(__xludf.DUMMYFUNCTION("""COMPUTED_VALUE"""),1910.18)</f>
        <v>1910.18</v>
      </c>
      <c r="F520" s="1">
        <f>IFERROR(__xludf.DUMMYFUNCTION("""COMPUTED_VALUE"""),8226.0)</f>
        <v>8226</v>
      </c>
    </row>
    <row r="521">
      <c r="A521" s="2">
        <f>IFERROR(__xludf.DUMMYFUNCTION("""COMPUTED_VALUE"""),42746.64583333333)</f>
        <v>42746.64583</v>
      </c>
      <c r="B521" s="1">
        <f>IFERROR(__xludf.DUMMYFUNCTION("""COMPUTED_VALUE"""),1910.18)</f>
        <v>1910.18</v>
      </c>
      <c r="C521" s="1">
        <f>IFERROR(__xludf.DUMMYFUNCTION("""COMPUTED_VALUE"""),1910.18)</f>
        <v>1910.18</v>
      </c>
      <c r="D521" s="1">
        <f>IFERROR(__xludf.DUMMYFUNCTION("""COMPUTED_VALUE"""),1905.49)</f>
        <v>1905.49</v>
      </c>
      <c r="E521" s="1">
        <f>IFERROR(__xludf.DUMMYFUNCTION("""COMPUTED_VALUE"""),1910.18)</f>
        <v>1910.18</v>
      </c>
      <c r="F521" s="1">
        <f>IFERROR(__xludf.DUMMYFUNCTION("""COMPUTED_VALUE"""),508.0)</f>
        <v>508</v>
      </c>
    </row>
    <row r="522">
      <c r="A522" s="2">
        <f>IFERROR(__xludf.DUMMYFUNCTION("""COMPUTED_VALUE"""),42747.64583333333)</f>
        <v>42747.64583</v>
      </c>
      <c r="B522" s="1">
        <f>IFERROR(__xludf.DUMMYFUNCTION("""COMPUTED_VALUE"""),1910.18)</f>
        <v>1910.18</v>
      </c>
      <c r="C522" s="1">
        <f>IFERROR(__xludf.DUMMYFUNCTION("""COMPUTED_VALUE"""),1910.18)</f>
        <v>1910.18</v>
      </c>
      <c r="D522" s="1">
        <f>IFERROR(__xludf.DUMMYFUNCTION("""COMPUTED_VALUE"""),1872.72)</f>
        <v>1872.72</v>
      </c>
      <c r="E522" s="1">
        <f>IFERROR(__xludf.DUMMYFUNCTION("""COMPUTED_VALUE"""),1910.18)</f>
        <v>1910.18</v>
      </c>
      <c r="F522" s="1">
        <f>IFERROR(__xludf.DUMMYFUNCTION("""COMPUTED_VALUE"""),3917.0)</f>
        <v>3917</v>
      </c>
    </row>
    <row r="523">
      <c r="A523" s="2">
        <f>IFERROR(__xludf.DUMMYFUNCTION("""COMPUTED_VALUE"""),42748.64583333333)</f>
        <v>42748.64583</v>
      </c>
      <c r="B523" s="1">
        <f>IFERROR(__xludf.DUMMYFUNCTION("""COMPUTED_VALUE"""),1910.18)</f>
        <v>1910.18</v>
      </c>
      <c r="C523" s="1">
        <f>IFERROR(__xludf.DUMMYFUNCTION("""COMPUTED_VALUE"""),1910.18)</f>
        <v>1910.18</v>
      </c>
      <c r="D523" s="1">
        <f>IFERROR(__xludf.DUMMYFUNCTION("""COMPUTED_VALUE"""),1891.45)</f>
        <v>1891.45</v>
      </c>
      <c r="E523" s="1">
        <f>IFERROR(__xludf.DUMMYFUNCTION("""COMPUTED_VALUE"""),1910.18)</f>
        <v>1910.18</v>
      </c>
      <c r="F523" s="1">
        <f>IFERROR(__xludf.DUMMYFUNCTION("""COMPUTED_VALUE"""),1359.0)</f>
        <v>1359</v>
      </c>
    </row>
    <row r="524">
      <c r="A524" s="2">
        <f>IFERROR(__xludf.DUMMYFUNCTION("""COMPUTED_VALUE"""),42751.64583333333)</f>
        <v>42751.64583</v>
      </c>
      <c r="B524" s="1">
        <f>IFERROR(__xludf.DUMMYFUNCTION("""COMPUTED_VALUE"""),1905.49)</f>
        <v>1905.49</v>
      </c>
      <c r="C524" s="1">
        <f>IFERROR(__xludf.DUMMYFUNCTION("""COMPUTED_VALUE"""),1905.49)</f>
        <v>1905.49</v>
      </c>
      <c r="D524" s="1">
        <f>IFERROR(__xludf.DUMMYFUNCTION("""COMPUTED_VALUE"""),1891.45)</f>
        <v>1891.45</v>
      </c>
      <c r="E524" s="1">
        <f>IFERROR(__xludf.DUMMYFUNCTION("""COMPUTED_VALUE"""),1905.49)</f>
        <v>1905.49</v>
      </c>
      <c r="F524" s="1">
        <f>IFERROR(__xludf.DUMMYFUNCTION("""COMPUTED_VALUE"""),152.0)</f>
        <v>152</v>
      </c>
    </row>
    <row r="525">
      <c r="A525" s="2">
        <f>IFERROR(__xludf.DUMMYFUNCTION("""COMPUTED_VALUE"""),42752.64583333333)</f>
        <v>42752.64583</v>
      </c>
      <c r="B525" s="1">
        <f>IFERROR(__xludf.DUMMYFUNCTION("""COMPUTED_VALUE"""),1942.95)</f>
        <v>1942.95</v>
      </c>
      <c r="C525" s="1">
        <f>IFERROR(__xludf.DUMMYFUNCTION("""COMPUTED_VALUE"""),1942.95)</f>
        <v>1942.95</v>
      </c>
      <c r="D525" s="1">
        <f>IFERROR(__xludf.DUMMYFUNCTION("""COMPUTED_VALUE"""),1900.81)</f>
        <v>1900.81</v>
      </c>
      <c r="E525" s="1">
        <f>IFERROR(__xludf.DUMMYFUNCTION("""COMPUTED_VALUE"""),1910.18)</f>
        <v>1910.18</v>
      </c>
      <c r="F525" s="1">
        <f>IFERROR(__xludf.DUMMYFUNCTION("""COMPUTED_VALUE"""),6310.0)</f>
        <v>6310</v>
      </c>
    </row>
    <row r="526">
      <c r="A526" s="2">
        <f>IFERROR(__xludf.DUMMYFUNCTION("""COMPUTED_VALUE"""),42753.64583333333)</f>
        <v>42753.64583</v>
      </c>
      <c r="B526" s="1">
        <f>IFERROR(__xludf.DUMMYFUNCTION("""COMPUTED_VALUE"""),1914.86)</f>
        <v>1914.86</v>
      </c>
      <c r="C526" s="1">
        <f>IFERROR(__xludf.DUMMYFUNCTION("""COMPUTED_VALUE"""),1914.86)</f>
        <v>1914.86</v>
      </c>
      <c r="D526" s="1">
        <f>IFERROR(__xludf.DUMMYFUNCTION("""COMPUTED_VALUE"""),1900.81)</f>
        <v>1900.81</v>
      </c>
      <c r="E526" s="1">
        <f>IFERROR(__xludf.DUMMYFUNCTION("""COMPUTED_VALUE"""),1910.18)</f>
        <v>1910.18</v>
      </c>
      <c r="F526" s="1">
        <f>IFERROR(__xludf.DUMMYFUNCTION("""COMPUTED_VALUE"""),4351.0)</f>
        <v>4351</v>
      </c>
    </row>
    <row r="527">
      <c r="A527" s="2">
        <f>IFERROR(__xludf.DUMMYFUNCTION("""COMPUTED_VALUE"""),42754.64583333333)</f>
        <v>42754.64583</v>
      </c>
      <c r="B527" s="1">
        <f>IFERROR(__xludf.DUMMYFUNCTION("""COMPUTED_VALUE"""),1905.49)</f>
        <v>1905.49</v>
      </c>
      <c r="C527" s="1">
        <f>IFERROR(__xludf.DUMMYFUNCTION("""COMPUTED_VALUE"""),1914.86)</f>
        <v>1914.86</v>
      </c>
      <c r="D527" s="1">
        <f>IFERROR(__xludf.DUMMYFUNCTION("""COMPUTED_VALUE"""),1905.49)</f>
        <v>1905.49</v>
      </c>
      <c r="E527" s="1">
        <f>IFERROR(__xludf.DUMMYFUNCTION("""COMPUTED_VALUE"""),1914.86)</f>
        <v>1914.86</v>
      </c>
      <c r="F527" s="1">
        <f>IFERROR(__xludf.DUMMYFUNCTION("""COMPUTED_VALUE"""),8004.0)</f>
        <v>8004</v>
      </c>
    </row>
    <row r="528">
      <c r="A528" s="2">
        <f>IFERROR(__xludf.DUMMYFUNCTION("""COMPUTED_VALUE"""),42755.64583333333)</f>
        <v>42755.64583</v>
      </c>
      <c r="B528" s="1">
        <f>IFERROR(__xludf.DUMMYFUNCTION("""COMPUTED_VALUE"""),1779.09)</f>
        <v>1779.09</v>
      </c>
      <c r="C528" s="1">
        <f>IFERROR(__xludf.DUMMYFUNCTION("""COMPUTED_VALUE"""),1835.27)</f>
        <v>1835.27</v>
      </c>
      <c r="D528" s="1">
        <f>IFERROR(__xludf.DUMMYFUNCTION("""COMPUTED_VALUE"""),1671.4)</f>
        <v>1671.4</v>
      </c>
      <c r="E528" s="1">
        <f>IFERROR(__xludf.DUMMYFUNCTION("""COMPUTED_VALUE"""),1671.4)</f>
        <v>1671.4</v>
      </c>
      <c r="F528" s="1">
        <f>IFERROR(__xludf.DUMMYFUNCTION("""COMPUTED_VALUE"""),873517.0)</f>
        <v>873517</v>
      </c>
    </row>
    <row r="529">
      <c r="A529" s="2">
        <f>IFERROR(__xludf.DUMMYFUNCTION("""COMPUTED_VALUE"""),42758.64583333333)</f>
        <v>42758.64583</v>
      </c>
      <c r="B529" s="1">
        <f>IFERROR(__xludf.DUMMYFUNCTION("""COMPUTED_VALUE"""),1685.45)</f>
        <v>1685.45</v>
      </c>
      <c r="C529" s="1">
        <f>IFERROR(__xludf.DUMMYFUNCTION("""COMPUTED_VALUE"""),1685.45)</f>
        <v>1685.45</v>
      </c>
      <c r="D529" s="1">
        <f>IFERROR(__xludf.DUMMYFUNCTION("""COMPUTED_VALUE"""),1521.59)</f>
        <v>1521.59</v>
      </c>
      <c r="E529" s="1">
        <f>IFERROR(__xludf.DUMMYFUNCTION("""COMPUTED_VALUE"""),1591.81)</f>
        <v>1591.81</v>
      </c>
      <c r="F529" s="1">
        <f>IFERROR(__xludf.DUMMYFUNCTION("""COMPUTED_VALUE"""),947274.0)</f>
        <v>947274</v>
      </c>
    </row>
    <row r="530">
      <c r="A530" s="2">
        <f>IFERROR(__xludf.DUMMYFUNCTION("""COMPUTED_VALUE"""),42759.64583333333)</f>
        <v>42759.64583</v>
      </c>
      <c r="B530" s="1">
        <f>IFERROR(__xludf.DUMMYFUNCTION("""COMPUTED_VALUE"""),1629.27)</f>
        <v>1629.27</v>
      </c>
      <c r="C530" s="1">
        <f>IFERROR(__xludf.DUMMYFUNCTION("""COMPUTED_VALUE"""),1825.9)</f>
        <v>1825.9</v>
      </c>
      <c r="D530" s="1">
        <f>IFERROR(__xludf.DUMMYFUNCTION("""COMPUTED_VALUE"""),1488.81)</f>
        <v>1488.81</v>
      </c>
      <c r="E530" s="1">
        <f>IFERROR(__xludf.DUMMYFUNCTION("""COMPUTED_VALUE"""),1502.86)</f>
        <v>1502.86</v>
      </c>
      <c r="F530" s="1">
        <f>IFERROR(__xludf.DUMMYFUNCTION("""COMPUTED_VALUE"""),5564834.0)</f>
        <v>5564834</v>
      </c>
    </row>
    <row r="531">
      <c r="A531" s="2">
        <f>IFERROR(__xludf.DUMMYFUNCTION("""COMPUTED_VALUE"""),42760.64583333333)</f>
        <v>42760.64583</v>
      </c>
      <c r="B531" s="1">
        <f>IFERROR(__xludf.DUMMYFUNCTION("""COMPUTED_VALUE"""),1484.13)</f>
        <v>1484.13</v>
      </c>
      <c r="C531" s="1">
        <f>IFERROR(__xludf.DUMMYFUNCTION("""COMPUTED_VALUE"""),1512.22)</f>
        <v>1512.22</v>
      </c>
      <c r="D531" s="1">
        <f>IFERROR(__xludf.DUMMYFUNCTION("""COMPUTED_VALUE"""),1418.59)</f>
        <v>1418.59</v>
      </c>
      <c r="E531" s="1">
        <f>IFERROR(__xludf.DUMMYFUNCTION("""COMPUTED_VALUE"""),1456.04)</f>
        <v>1456.04</v>
      </c>
      <c r="F531" s="1">
        <f>IFERROR(__xludf.DUMMYFUNCTION("""COMPUTED_VALUE"""),735346.0)</f>
        <v>735346</v>
      </c>
    </row>
    <row r="532">
      <c r="A532" s="2">
        <f>IFERROR(__xludf.DUMMYFUNCTION("""COMPUTED_VALUE"""),42761.64583333333)</f>
        <v>42761.64583</v>
      </c>
      <c r="B532" s="1">
        <f>IFERROR(__xludf.DUMMYFUNCTION("""COMPUTED_VALUE"""),1460.72)</f>
        <v>1460.72</v>
      </c>
      <c r="C532" s="1">
        <f>IFERROR(__xludf.DUMMYFUNCTION("""COMPUTED_VALUE"""),1605.86)</f>
        <v>1605.86</v>
      </c>
      <c r="D532" s="1">
        <f>IFERROR(__xludf.DUMMYFUNCTION("""COMPUTED_VALUE"""),1432.63)</f>
        <v>1432.63</v>
      </c>
      <c r="E532" s="1">
        <f>IFERROR(__xludf.DUMMYFUNCTION("""COMPUTED_VALUE"""),1479.45)</f>
        <v>1479.45</v>
      </c>
      <c r="F532" s="1">
        <f>IFERROR(__xludf.DUMMYFUNCTION("""COMPUTED_VALUE"""),1845299.0)</f>
        <v>1845299</v>
      </c>
    </row>
    <row r="533">
      <c r="A533" s="2">
        <f>IFERROR(__xludf.DUMMYFUNCTION("""COMPUTED_VALUE"""),42766.64583333333)</f>
        <v>42766.64583</v>
      </c>
      <c r="B533" s="1">
        <f>IFERROR(__xludf.DUMMYFUNCTION("""COMPUTED_VALUE"""),1470.09)</f>
        <v>1470.09</v>
      </c>
      <c r="C533" s="1">
        <f>IFERROR(__xludf.DUMMYFUNCTION("""COMPUTED_VALUE"""),1512.22)</f>
        <v>1512.22</v>
      </c>
      <c r="D533" s="1">
        <f>IFERROR(__xludf.DUMMYFUNCTION("""COMPUTED_VALUE"""),1451.36)</f>
        <v>1451.36</v>
      </c>
      <c r="E533" s="1">
        <f>IFERROR(__xludf.DUMMYFUNCTION("""COMPUTED_VALUE"""),1456.04)</f>
        <v>1456.04</v>
      </c>
      <c r="F533" s="1">
        <f>IFERROR(__xludf.DUMMYFUNCTION("""COMPUTED_VALUE"""),331540.0)</f>
        <v>331540</v>
      </c>
    </row>
    <row r="534">
      <c r="A534" s="2">
        <f>IFERROR(__xludf.DUMMYFUNCTION("""COMPUTED_VALUE"""),42767.64583333333)</f>
        <v>42767.64583</v>
      </c>
      <c r="B534" s="1">
        <f>IFERROR(__xludf.DUMMYFUNCTION("""COMPUTED_VALUE"""),1535.63)</f>
        <v>1535.63</v>
      </c>
      <c r="C534" s="1">
        <f>IFERROR(__xludf.DUMMYFUNCTION("""COMPUTED_VALUE"""),1591.81)</f>
        <v>1591.81</v>
      </c>
      <c r="D534" s="1">
        <f>IFERROR(__xludf.DUMMYFUNCTION("""COMPUTED_VALUE"""),1465.4)</f>
        <v>1465.4</v>
      </c>
      <c r="E534" s="1">
        <f>IFERROR(__xludf.DUMMYFUNCTION("""COMPUTED_VALUE"""),1488.81)</f>
        <v>1488.81</v>
      </c>
      <c r="F534" s="1">
        <f>IFERROR(__xludf.DUMMYFUNCTION("""COMPUTED_VALUE"""),812316.0)</f>
        <v>812316</v>
      </c>
    </row>
    <row r="535">
      <c r="A535" s="2">
        <f>IFERROR(__xludf.DUMMYFUNCTION("""COMPUTED_VALUE"""),42768.64583333333)</f>
        <v>42768.64583</v>
      </c>
      <c r="B535" s="1">
        <f>IFERROR(__xludf.DUMMYFUNCTION("""COMPUTED_VALUE"""),1470.09)</f>
        <v>1470.09</v>
      </c>
      <c r="C535" s="1">
        <f>IFERROR(__xludf.DUMMYFUNCTION("""COMPUTED_VALUE"""),1488.81)</f>
        <v>1488.81</v>
      </c>
      <c r="D535" s="1">
        <f>IFERROR(__xludf.DUMMYFUNCTION("""COMPUTED_VALUE"""),1446.68)</f>
        <v>1446.68</v>
      </c>
      <c r="E535" s="1">
        <f>IFERROR(__xludf.DUMMYFUNCTION("""COMPUTED_VALUE"""),1456.04)</f>
        <v>1456.04</v>
      </c>
      <c r="F535" s="1">
        <f>IFERROR(__xludf.DUMMYFUNCTION("""COMPUTED_VALUE"""),264265.0)</f>
        <v>264265</v>
      </c>
    </row>
    <row r="536">
      <c r="A536" s="2">
        <f>IFERROR(__xludf.DUMMYFUNCTION("""COMPUTED_VALUE"""),42769.64583333333)</f>
        <v>42769.64583</v>
      </c>
      <c r="B536" s="1">
        <f>IFERROR(__xludf.DUMMYFUNCTION("""COMPUTED_VALUE"""),1451.36)</f>
        <v>1451.36</v>
      </c>
      <c r="C536" s="1">
        <f>IFERROR(__xludf.DUMMYFUNCTION("""COMPUTED_VALUE"""),1488.81)</f>
        <v>1488.81</v>
      </c>
      <c r="D536" s="1">
        <f>IFERROR(__xludf.DUMMYFUNCTION("""COMPUTED_VALUE"""),1446.68)</f>
        <v>1446.68</v>
      </c>
      <c r="E536" s="1">
        <f>IFERROR(__xludf.DUMMYFUNCTION("""COMPUTED_VALUE"""),1460.72)</f>
        <v>1460.72</v>
      </c>
      <c r="F536" s="1">
        <f>IFERROR(__xludf.DUMMYFUNCTION("""COMPUTED_VALUE"""),252485.0)</f>
        <v>252485</v>
      </c>
    </row>
    <row r="537">
      <c r="A537" s="2">
        <f>IFERROR(__xludf.DUMMYFUNCTION("""COMPUTED_VALUE"""),42772.64583333333)</f>
        <v>42772.64583</v>
      </c>
      <c r="B537" s="1">
        <f>IFERROR(__xludf.DUMMYFUNCTION("""COMPUTED_VALUE"""),1474.77)</f>
        <v>1474.77</v>
      </c>
      <c r="C537" s="1">
        <f>IFERROR(__xludf.DUMMYFUNCTION("""COMPUTED_VALUE"""),1474.77)</f>
        <v>1474.77</v>
      </c>
      <c r="D537" s="1">
        <f>IFERROR(__xludf.DUMMYFUNCTION("""COMPUTED_VALUE"""),1418.59)</f>
        <v>1418.59</v>
      </c>
      <c r="E537" s="1">
        <f>IFERROR(__xludf.DUMMYFUNCTION("""COMPUTED_VALUE"""),1437.31)</f>
        <v>1437.31</v>
      </c>
      <c r="F537" s="1">
        <f>IFERROR(__xludf.DUMMYFUNCTION("""COMPUTED_VALUE"""),236092.0)</f>
        <v>236092</v>
      </c>
    </row>
    <row r="538">
      <c r="A538" s="2">
        <f>IFERROR(__xludf.DUMMYFUNCTION("""COMPUTED_VALUE"""),42773.64583333333)</f>
        <v>42773.64583</v>
      </c>
      <c r="B538" s="1">
        <f>IFERROR(__xludf.DUMMYFUNCTION("""COMPUTED_VALUE"""),1437.31)</f>
        <v>1437.31</v>
      </c>
      <c r="C538" s="1">
        <f>IFERROR(__xludf.DUMMYFUNCTION("""COMPUTED_VALUE"""),1437.31)</f>
        <v>1437.31</v>
      </c>
      <c r="D538" s="1">
        <f>IFERROR(__xludf.DUMMYFUNCTION("""COMPUTED_VALUE"""),1371.77)</f>
        <v>1371.77</v>
      </c>
      <c r="E538" s="1">
        <f>IFERROR(__xludf.DUMMYFUNCTION("""COMPUTED_VALUE"""),1399.86)</f>
        <v>1399.86</v>
      </c>
      <c r="F538" s="1">
        <f>IFERROR(__xludf.DUMMYFUNCTION("""COMPUTED_VALUE"""),584256.0)</f>
        <v>584256</v>
      </c>
    </row>
    <row r="539">
      <c r="A539" s="2">
        <f>IFERROR(__xludf.DUMMYFUNCTION("""COMPUTED_VALUE"""),42774.64583333333)</f>
        <v>42774.64583</v>
      </c>
      <c r="B539" s="1">
        <f>IFERROR(__xludf.DUMMYFUNCTION("""COMPUTED_VALUE"""),1409.22)</f>
        <v>1409.22</v>
      </c>
      <c r="C539" s="1">
        <f>IFERROR(__xludf.DUMMYFUNCTION("""COMPUTED_VALUE"""),1563.72)</f>
        <v>1563.72</v>
      </c>
      <c r="D539" s="1">
        <f>IFERROR(__xludf.DUMMYFUNCTION("""COMPUTED_VALUE"""),1404.54)</f>
        <v>1404.54</v>
      </c>
      <c r="E539" s="1">
        <f>IFERROR(__xludf.DUMMYFUNCTION("""COMPUTED_VALUE"""),1460.72)</f>
        <v>1460.72</v>
      </c>
      <c r="F539" s="1">
        <f>IFERROR(__xludf.DUMMYFUNCTION("""COMPUTED_VALUE"""),1417856.0)</f>
        <v>1417856</v>
      </c>
    </row>
    <row r="540">
      <c r="A540" s="2">
        <f>IFERROR(__xludf.DUMMYFUNCTION("""COMPUTED_VALUE"""),42775.64583333333)</f>
        <v>42775.64583</v>
      </c>
      <c r="B540" s="1">
        <f>IFERROR(__xludf.DUMMYFUNCTION("""COMPUTED_VALUE"""),1451.36)</f>
        <v>1451.36</v>
      </c>
      <c r="C540" s="1">
        <f>IFERROR(__xludf.DUMMYFUNCTION("""COMPUTED_VALUE"""),1498.18)</f>
        <v>1498.18</v>
      </c>
      <c r="D540" s="1">
        <f>IFERROR(__xludf.DUMMYFUNCTION("""COMPUTED_VALUE"""),1437.31)</f>
        <v>1437.31</v>
      </c>
      <c r="E540" s="1">
        <f>IFERROR(__xludf.DUMMYFUNCTION("""COMPUTED_VALUE"""),1488.81)</f>
        <v>1488.81</v>
      </c>
      <c r="F540" s="1">
        <f>IFERROR(__xludf.DUMMYFUNCTION("""COMPUTED_VALUE"""),514147.0)</f>
        <v>514147</v>
      </c>
    </row>
    <row r="541">
      <c r="A541" s="2">
        <f>IFERROR(__xludf.DUMMYFUNCTION("""COMPUTED_VALUE"""),42776.64583333333)</f>
        <v>42776.64583</v>
      </c>
      <c r="B541" s="1">
        <f>IFERROR(__xludf.DUMMYFUNCTION("""COMPUTED_VALUE"""),1474.77)</f>
        <v>1474.77</v>
      </c>
      <c r="C541" s="1">
        <f>IFERROR(__xludf.DUMMYFUNCTION("""COMPUTED_VALUE"""),1526.27)</f>
        <v>1526.27</v>
      </c>
      <c r="D541" s="1">
        <f>IFERROR(__xludf.DUMMYFUNCTION("""COMPUTED_VALUE"""),1470.09)</f>
        <v>1470.09</v>
      </c>
      <c r="E541" s="1">
        <f>IFERROR(__xludf.DUMMYFUNCTION("""COMPUTED_VALUE"""),1470.09)</f>
        <v>1470.09</v>
      </c>
      <c r="F541" s="1">
        <f>IFERROR(__xludf.DUMMYFUNCTION("""COMPUTED_VALUE"""),506330.0)</f>
        <v>506330</v>
      </c>
    </row>
    <row r="542">
      <c r="A542" s="2">
        <f>IFERROR(__xludf.DUMMYFUNCTION("""COMPUTED_VALUE"""),42779.64583333333)</f>
        <v>42779.64583</v>
      </c>
      <c r="B542" s="1">
        <f>IFERROR(__xludf.DUMMYFUNCTION("""COMPUTED_VALUE"""),1451.36)</f>
        <v>1451.36</v>
      </c>
      <c r="C542" s="1">
        <f>IFERROR(__xludf.DUMMYFUNCTION("""COMPUTED_VALUE"""),1479.45)</f>
        <v>1479.45</v>
      </c>
      <c r="D542" s="1">
        <f>IFERROR(__xludf.DUMMYFUNCTION("""COMPUTED_VALUE"""),1442.0)</f>
        <v>1442</v>
      </c>
      <c r="E542" s="1">
        <f>IFERROR(__xludf.DUMMYFUNCTION("""COMPUTED_VALUE"""),1446.68)</f>
        <v>1446.68</v>
      </c>
      <c r="F542" s="1">
        <f>IFERROR(__xludf.DUMMYFUNCTION("""COMPUTED_VALUE"""),215235.0)</f>
        <v>215235</v>
      </c>
    </row>
    <row r="543">
      <c r="A543" s="2">
        <f>IFERROR(__xludf.DUMMYFUNCTION("""COMPUTED_VALUE"""),42780.64583333333)</f>
        <v>42780.64583</v>
      </c>
      <c r="B543" s="1">
        <f>IFERROR(__xludf.DUMMYFUNCTION("""COMPUTED_VALUE"""),1460.72)</f>
        <v>1460.72</v>
      </c>
      <c r="C543" s="1">
        <f>IFERROR(__xludf.DUMMYFUNCTION("""COMPUTED_VALUE"""),1465.4)</f>
        <v>1465.4</v>
      </c>
      <c r="D543" s="1">
        <f>IFERROR(__xludf.DUMMYFUNCTION("""COMPUTED_VALUE"""),1427.95)</f>
        <v>1427.95</v>
      </c>
      <c r="E543" s="1">
        <f>IFERROR(__xludf.DUMMYFUNCTION("""COMPUTED_VALUE"""),1437.31)</f>
        <v>1437.31</v>
      </c>
      <c r="F543" s="1">
        <f>IFERROR(__xludf.DUMMYFUNCTION("""COMPUTED_VALUE"""),229560.0)</f>
        <v>229560</v>
      </c>
    </row>
    <row r="544">
      <c r="A544" s="2">
        <f>IFERROR(__xludf.DUMMYFUNCTION("""COMPUTED_VALUE"""),42781.64583333333)</f>
        <v>42781.64583</v>
      </c>
      <c r="B544" s="1">
        <f>IFERROR(__xludf.DUMMYFUNCTION("""COMPUTED_VALUE"""),1451.36)</f>
        <v>1451.36</v>
      </c>
      <c r="C544" s="1">
        <f>IFERROR(__xludf.DUMMYFUNCTION("""COMPUTED_VALUE"""),1493.5)</f>
        <v>1493.5</v>
      </c>
      <c r="D544" s="1">
        <f>IFERROR(__xludf.DUMMYFUNCTION("""COMPUTED_VALUE"""),1446.68)</f>
        <v>1446.68</v>
      </c>
      <c r="E544" s="1">
        <f>IFERROR(__xludf.DUMMYFUNCTION("""COMPUTED_VALUE"""),1465.4)</f>
        <v>1465.4</v>
      </c>
      <c r="F544" s="1">
        <f>IFERROR(__xludf.DUMMYFUNCTION("""COMPUTED_VALUE"""),246114.0)</f>
        <v>246114</v>
      </c>
    </row>
    <row r="545">
      <c r="A545" s="2">
        <f>IFERROR(__xludf.DUMMYFUNCTION("""COMPUTED_VALUE"""),42782.64583333333)</f>
        <v>42782.64583</v>
      </c>
      <c r="B545" s="1">
        <f>IFERROR(__xludf.DUMMYFUNCTION("""COMPUTED_VALUE"""),1465.4)</f>
        <v>1465.4</v>
      </c>
      <c r="C545" s="1">
        <f>IFERROR(__xludf.DUMMYFUNCTION("""COMPUTED_VALUE"""),1488.81)</f>
        <v>1488.81</v>
      </c>
      <c r="D545" s="1">
        <f>IFERROR(__xludf.DUMMYFUNCTION("""COMPUTED_VALUE"""),1451.36)</f>
        <v>1451.36</v>
      </c>
      <c r="E545" s="1">
        <f>IFERROR(__xludf.DUMMYFUNCTION("""COMPUTED_VALUE"""),1465.4)</f>
        <v>1465.4</v>
      </c>
      <c r="F545" s="1">
        <f>IFERROR(__xludf.DUMMYFUNCTION("""COMPUTED_VALUE"""),223477.0)</f>
        <v>223477</v>
      </c>
    </row>
    <row r="546">
      <c r="A546" s="2">
        <f>IFERROR(__xludf.DUMMYFUNCTION("""COMPUTED_VALUE"""),42783.64583333333)</f>
        <v>42783.64583</v>
      </c>
      <c r="B546" s="1">
        <f>IFERROR(__xludf.DUMMYFUNCTION("""COMPUTED_VALUE"""),1465.4)</f>
        <v>1465.4</v>
      </c>
      <c r="C546" s="1">
        <f>IFERROR(__xludf.DUMMYFUNCTION("""COMPUTED_VALUE"""),1484.13)</f>
        <v>1484.13</v>
      </c>
      <c r="D546" s="1">
        <f>IFERROR(__xludf.DUMMYFUNCTION("""COMPUTED_VALUE"""),1446.68)</f>
        <v>1446.68</v>
      </c>
      <c r="E546" s="1">
        <f>IFERROR(__xludf.DUMMYFUNCTION("""COMPUTED_VALUE"""),1460.72)</f>
        <v>1460.72</v>
      </c>
      <c r="F546" s="1">
        <f>IFERROR(__xludf.DUMMYFUNCTION("""COMPUTED_VALUE"""),131932.0)</f>
        <v>131932</v>
      </c>
    </row>
    <row r="547">
      <c r="A547" s="2">
        <f>IFERROR(__xludf.DUMMYFUNCTION("""COMPUTED_VALUE"""),42786.64583333333)</f>
        <v>42786.64583</v>
      </c>
      <c r="B547" s="1">
        <f>IFERROR(__xludf.DUMMYFUNCTION("""COMPUTED_VALUE"""),1451.36)</f>
        <v>1451.36</v>
      </c>
      <c r="C547" s="1">
        <f>IFERROR(__xludf.DUMMYFUNCTION("""COMPUTED_VALUE"""),1474.77)</f>
        <v>1474.77</v>
      </c>
      <c r="D547" s="1">
        <f>IFERROR(__xludf.DUMMYFUNCTION("""COMPUTED_VALUE"""),1423.27)</f>
        <v>1423.27</v>
      </c>
      <c r="E547" s="1">
        <f>IFERROR(__xludf.DUMMYFUNCTION("""COMPUTED_VALUE"""),1442.0)</f>
        <v>1442</v>
      </c>
      <c r="F547" s="1">
        <f>IFERROR(__xludf.DUMMYFUNCTION("""COMPUTED_VALUE"""),135084.0)</f>
        <v>135084</v>
      </c>
    </row>
    <row r="548">
      <c r="A548" s="2">
        <f>IFERROR(__xludf.DUMMYFUNCTION("""COMPUTED_VALUE"""),42787.64583333333)</f>
        <v>42787.64583</v>
      </c>
      <c r="B548" s="1">
        <f>IFERROR(__xludf.DUMMYFUNCTION("""COMPUTED_VALUE"""),1437.31)</f>
        <v>1437.31</v>
      </c>
      <c r="C548" s="1">
        <f>IFERROR(__xludf.DUMMYFUNCTION("""COMPUTED_VALUE"""),1465.4)</f>
        <v>1465.4</v>
      </c>
      <c r="D548" s="1">
        <f>IFERROR(__xludf.DUMMYFUNCTION("""COMPUTED_VALUE"""),1427.95)</f>
        <v>1427.95</v>
      </c>
      <c r="E548" s="1">
        <f>IFERROR(__xludf.DUMMYFUNCTION("""COMPUTED_VALUE"""),1442.0)</f>
        <v>1442</v>
      </c>
      <c r="F548" s="1">
        <f>IFERROR(__xludf.DUMMYFUNCTION("""COMPUTED_VALUE"""),116174.0)</f>
        <v>116174</v>
      </c>
    </row>
    <row r="549">
      <c r="A549" s="2">
        <f>IFERROR(__xludf.DUMMYFUNCTION("""COMPUTED_VALUE"""),42788.64583333333)</f>
        <v>42788.64583</v>
      </c>
      <c r="B549" s="1">
        <f>IFERROR(__xludf.DUMMYFUNCTION("""COMPUTED_VALUE"""),1442.0)</f>
        <v>1442</v>
      </c>
      <c r="C549" s="1">
        <f>IFERROR(__xludf.DUMMYFUNCTION("""COMPUTED_VALUE"""),1465.4)</f>
        <v>1465.4</v>
      </c>
      <c r="D549" s="1">
        <f>IFERROR(__xludf.DUMMYFUNCTION("""COMPUTED_VALUE"""),1357.72)</f>
        <v>1357.72</v>
      </c>
      <c r="E549" s="1">
        <f>IFERROR(__xludf.DUMMYFUNCTION("""COMPUTED_VALUE"""),1418.59)</f>
        <v>1418.59</v>
      </c>
      <c r="F549" s="1">
        <f>IFERROR(__xludf.DUMMYFUNCTION("""COMPUTED_VALUE"""),280291.0)</f>
        <v>280291</v>
      </c>
    </row>
    <row r="550">
      <c r="A550" s="2">
        <f>IFERROR(__xludf.DUMMYFUNCTION("""COMPUTED_VALUE"""),42789.64583333333)</f>
        <v>42789.64583</v>
      </c>
      <c r="B550" s="1">
        <f>IFERROR(__xludf.DUMMYFUNCTION("""COMPUTED_VALUE"""),1432.63)</f>
        <v>1432.63</v>
      </c>
      <c r="C550" s="1">
        <f>IFERROR(__xludf.DUMMYFUNCTION("""COMPUTED_VALUE"""),1470.09)</f>
        <v>1470.09</v>
      </c>
      <c r="D550" s="1">
        <f>IFERROR(__xludf.DUMMYFUNCTION("""COMPUTED_VALUE"""),1432.63)</f>
        <v>1432.63</v>
      </c>
      <c r="E550" s="1">
        <f>IFERROR(__xludf.DUMMYFUNCTION("""COMPUTED_VALUE"""),1451.36)</f>
        <v>1451.36</v>
      </c>
      <c r="F550" s="1">
        <f>IFERROR(__xludf.DUMMYFUNCTION("""COMPUTED_VALUE"""),269660.0)</f>
        <v>269660</v>
      </c>
    </row>
    <row r="551">
      <c r="A551" s="2">
        <f>IFERROR(__xludf.DUMMYFUNCTION("""COMPUTED_VALUE"""),42790.64583333333)</f>
        <v>42790.64583</v>
      </c>
      <c r="B551" s="1">
        <f>IFERROR(__xludf.DUMMYFUNCTION("""COMPUTED_VALUE"""),1456.04)</f>
        <v>1456.04</v>
      </c>
      <c r="C551" s="1">
        <f>IFERROR(__xludf.DUMMYFUNCTION("""COMPUTED_VALUE"""),1460.72)</f>
        <v>1460.72</v>
      </c>
      <c r="D551" s="1">
        <f>IFERROR(__xludf.DUMMYFUNCTION("""COMPUTED_VALUE"""),1409.22)</f>
        <v>1409.22</v>
      </c>
      <c r="E551" s="1">
        <f>IFERROR(__xludf.DUMMYFUNCTION("""COMPUTED_VALUE"""),1409.22)</f>
        <v>1409.22</v>
      </c>
      <c r="F551" s="1">
        <f>IFERROR(__xludf.DUMMYFUNCTION("""COMPUTED_VALUE"""),354885.0)</f>
        <v>354885</v>
      </c>
    </row>
    <row r="552">
      <c r="A552" s="2">
        <f>IFERROR(__xludf.DUMMYFUNCTION("""COMPUTED_VALUE"""),42793.64583333333)</f>
        <v>42793.64583</v>
      </c>
      <c r="B552" s="1">
        <f>IFERROR(__xludf.DUMMYFUNCTION("""COMPUTED_VALUE"""),1418.59)</f>
        <v>1418.59</v>
      </c>
      <c r="C552" s="1">
        <f>IFERROR(__xludf.DUMMYFUNCTION("""COMPUTED_VALUE"""),1427.95)</f>
        <v>1427.95</v>
      </c>
      <c r="D552" s="1">
        <f>IFERROR(__xludf.DUMMYFUNCTION("""COMPUTED_VALUE"""),1395.18)</f>
        <v>1395.18</v>
      </c>
      <c r="E552" s="1">
        <f>IFERROR(__xludf.DUMMYFUNCTION("""COMPUTED_VALUE"""),1418.59)</f>
        <v>1418.59</v>
      </c>
      <c r="F552" s="1">
        <f>IFERROR(__xludf.DUMMYFUNCTION("""COMPUTED_VALUE"""),182002.0)</f>
        <v>182002</v>
      </c>
    </row>
    <row r="553">
      <c r="A553" s="2">
        <f>IFERROR(__xludf.DUMMYFUNCTION("""COMPUTED_VALUE"""),42794.64583333333)</f>
        <v>42794.64583</v>
      </c>
      <c r="B553" s="1">
        <f>IFERROR(__xludf.DUMMYFUNCTION("""COMPUTED_VALUE"""),1446.68)</f>
        <v>1446.68</v>
      </c>
      <c r="C553" s="1">
        <f>IFERROR(__xludf.DUMMYFUNCTION("""COMPUTED_VALUE"""),1446.68)</f>
        <v>1446.68</v>
      </c>
      <c r="D553" s="1">
        <f>IFERROR(__xludf.DUMMYFUNCTION("""COMPUTED_VALUE"""),1376.45)</f>
        <v>1376.45</v>
      </c>
      <c r="E553" s="1">
        <f>IFERROR(__xludf.DUMMYFUNCTION("""COMPUTED_VALUE"""),1381.13)</f>
        <v>1381.13</v>
      </c>
      <c r="F553" s="1">
        <f>IFERROR(__xludf.DUMMYFUNCTION("""COMPUTED_VALUE"""),276607.0)</f>
        <v>276607</v>
      </c>
    </row>
    <row r="554">
      <c r="A554" s="2">
        <f>IFERROR(__xludf.DUMMYFUNCTION("""COMPUTED_VALUE"""),42796.64583333333)</f>
        <v>42796.64583</v>
      </c>
      <c r="B554" s="1">
        <f>IFERROR(__xludf.DUMMYFUNCTION("""COMPUTED_VALUE"""),1385.81)</f>
        <v>1385.81</v>
      </c>
      <c r="C554" s="1">
        <f>IFERROR(__xludf.DUMMYFUNCTION("""COMPUTED_VALUE"""),1409.22)</f>
        <v>1409.22</v>
      </c>
      <c r="D554" s="1">
        <f>IFERROR(__xludf.DUMMYFUNCTION("""COMPUTED_VALUE"""),1357.72)</f>
        <v>1357.72</v>
      </c>
      <c r="E554" s="1">
        <f>IFERROR(__xludf.DUMMYFUNCTION("""COMPUTED_VALUE"""),1404.54)</f>
        <v>1404.54</v>
      </c>
      <c r="F554" s="1">
        <f>IFERROR(__xludf.DUMMYFUNCTION("""COMPUTED_VALUE"""),286823.0)</f>
        <v>286823</v>
      </c>
    </row>
    <row r="555">
      <c r="A555" s="2">
        <f>IFERROR(__xludf.DUMMYFUNCTION("""COMPUTED_VALUE"""),42797.64583333333)</f>
        <v>42797.64583</v>
      </c>
      <c r="B555" s="1">
        <f>IFERROR(__xludf.DUMMYFUNCTION("""COMPUTED_VALUE"""),1404.54)</f>
        <v>1404.54</v>
      </c>
      <c r="C555" s="1">
        <f>IFERROR(__xludf.DUMMYFUNCTION("""COMPUTED_VALUE"""),1413.9)</f>
        <v>1413.9</v>
      </c>
      <c r="D555" s="1">
        <f>IFERROR(__xludf.DUMMYFUNCTION("""COMPUTED_VALUE"""),1348.36)</f>
        <v>1348.36</v>
      </c>
      <c r="E555" s="1">
        <f>IFERROR(__xludf.DUMMYFUNCTION("""COMPUTED_VALUE"""),1381.13)</f>
        <v>1381.13</v>
      </c>
      <c r="F555" s="1">
        <f>IFERROR(__xludf.DUMMYFUNCTION("""COMPUTED_VALUE"""),223027.0)</f>
        <v>223027</v>
      </c>
    </row>
    <row r="556">
      <c r="A556" s="2">
        <f>IFERROR(__xludf.DUMMYFUNCTION("""COMPUTED_VALUE"""),42800.64583333333)</f>
        <v>42800.64583</v>
      </c>
      <c r="B556" s="1">
        <f>IFERROR(__xludf.DUMMYFUNCTION("""COMPUTED_VALUE"""),1357.72)</f>
        <v>1357.72</v>
      </c>
      <c r="C556" s="1">
        <f>IFERROR(__xludf.DUMMYFUNCTION("""COMPUTED_VALUE"""),1381.13)</f>
        <v>1381.13</v>
      </c>
      <c r="D556" s="1">
        <f>IFERROR(__xludf.DUMMYFUNCTION("""COMPUTED_VALUE"""),1268.77)</f>
        <v>1268.77</v>
      </c>
      <c r="E556" s="1">
        <f>IFERROR(__xludf.DUMMYFUNCTION("""COMPUTED_VALUE"""),1287.5)</f>
        <v>1287.5</v>
      </c>
      <c r="F556" s="1">
        <f>IFERROR(__xludf.DUMMYFUNCTION("""COMPUTED_VALUE"""),402626.0)</f>
        <v>402626</v>
      </c>
    </row>
    <row r="557">
      <c r="A557" s="2">
        <f>IFERROR(__xludf.DUMMYFUNCTION("""COMPUTED_VALUE"""),42801.64583333333)</f>
        <v>42801.64583</v>
      </c>
      <c r="B557" s="1">
        <f>IFERROR(__xludf.DUMMYFUNCTION("""COMPUTED_VALUE"""),1287.5)</f>
        <v>1287.5</v>
      </c>
      <c r="C557" s="1">
        <f>IFERROR(__xludf.DUMMYFUNCTION("""COMPUTED_VALUE"""),1470.09)</f>
        <v>1470.09</v>
      </c>
      <c r="D557" s="1">
        <f>IFERROR(__xludf.DUMMYFUNCTION("""COMPUTED_VALUE"""),1287.5)</f>
        <v>1287.5</v>
      </c>
      <c r="E557" s="1">
        <f>IFERROR(__xludf.DUMMYFUNCTION("""COMPUTED_VALUE"""),1367.09)</f>
        <v>1367.09</v>
      </c>
      <c r="F557" s="1">
        <f>IFERROR(__xludf.DUMMYFUNCTION("""COMPUTED_VALUE"""),980815.0)</f>
        <v>980815</v>
      </c>
    </row>
    <row r="558">
      <c r="A558" s="2">
        <f>IFERROR(__xludf.DUMMYFUNCTION("""COMPUTED_VALUE"""),42802.64583333333)</f>
        <v>42802.64583</v>
      </c>
      <c r="B558" s="1">
        <f>IFERROR(__xludf.DUMMYFUNCTION("""COMPUTED_VALUE"""),1348.36)</f>
        <v>1348.36</v>
      </c>
      <c r="C558" s="1">
        <f>IFERROR(__xludf.DUMMYFUNCTION("""COMPUTED_VALUE"""),1390.5)</f>
        <v>1390.5</v>
      </c>
      <c r="D558" s="1">
        <f>IFERROR(__xludf.DUMMYFUNCTION("""COMPUTED_VALUE"""),1334.31)</f>
        <v>1334.31</v>
      </c>
      <c r="E558" s="1">
        <f>IFERROR(__xludf.DUMMYFUNCTION("""COMPUTED_VALUE"""),1367.09)</f>
        <v>1367.09</v>
      </c>
      <c r="F558" s="1">
        <f>IFERROR(__xludf.DUMMYFUNCTION("""COMPUTED_VALUE"""),176588.0)</f>
        <v>176588</v>
      </c>
    </row>
    <row r="559">
      <c r="A559" s="2">
        <f>IFERROR(__xludf.DUMMYFUNCTION("""COMPUTED_VALUE"""),42803.64583333333)</f>
        <v>42803.64583</v>
      </c>
      <c r="B559" s="1">
        <f>IFERROR(__xludf.DUMMYFUNCTION("""COMPUTED_VALUE"""),1371.77)</f>
        <v>1371.77</v>
      </c>
      <c r="C559" s="1">
        <f>IFERROR(__xludf.DUMMYFUNCTION("""COMPUTED_VALUE"""),1460.72)</f>
        <v>1460.72</v>
      </c>
      <c r="D559" s="1">
        <f>IFERROR(__xludf.DUMMYFUNCTION("""COMPUTED_VALUE"""),1367.09)</f>
        <v>1367.09</v>
      </c>
      <c r="E559" s="1">
        <f>IFERROR(__xludf.DUMMYFUNCTION("""COMPUTED_VALUE"""),1385.81)</f>
        <v>1385.81</v>
      </c>
      <c r="F559" s="1">
        <f>IFERROR(__xludf.DUMMYFUNCTION("""COMPUTED_VALUE"""),906721.0)</f>
        <v>906721</v>
      </c>
    </row>
    <row r="560">
      <c r="A560" s="2">
        <f>IFERROR(__xludf.DUMMYFUNCTION("""COMPUTED_VALUE"""),42804.64583333333)</f>
        <v>42804.64583</v>
      </c>
      <c r="B560" s="1">
        <f>IFERROR(__xludf.DUMMYFUNCTION("""COMPUTED_VALUE"""),1413.9)</f>
        <v>1413.9</v>
      </c>
      <c r="C560" s="1">
        <f>IFERROR(__xludf.DUMMYFUNCTION("""COMPUTED_VALUE"""),1427.95)</f>
        <v>1427.95</v>
      </c>
      <c r="D560" s="1">
        <f>IFERROR(__xludf.DUMMYFUNCTION("""COMPUTED_VALUE"""),1357.72)</f>
        <v>1357.72</v>
      </c>
      <c r="E560" s="1">
        <f>IFERROR(__xludf.DUMMYFUNCTION("""COMPUTED_VALUE"""),1404.54)</f>
        <v>1404.54</v>
      </c>
      <c r="F560" s="1">
        <f>IFERROR(__xludf.DUMMYFUNCTION("""COMPUTED_VALUE"""),223722.0)</f>
        <v>223722</v>
      </c>
    </row>
    <row r="561">
      <c r="A561" s="2">
        <f>IFERROR(__xludf.DUMMYFUNCTION("""COMPUTED_VALUE"""),42807.64583333333)</f>
        <v>42807.64583</v>
      </c>
      <c r="B561" s="1">
        <f>IFERROR(__xludf.DUMMYFUNCTION("""COMPUTED_VALUE"""),1399.86)</f>
        <v>1399.86</v>
      </c>
      <c r="C561" s="1">
        <f>IFERROR(__xludf.DUMMYFUNCTION("""COMPUTED_VALUE"""),1413.9)</f>
        <v>1413.9</v>
      </c>
      <c r="D561" s="1">
        <f>IFERROR(__xludf.DUMMYFUNCTION("""COMPUTED_VALUE"""),1381.13)</f>
        <v>1381.13</v>
      </c>
      <c r="E561" s="1">
        <f>IFERROR(__xludf.DUMMYFUNCTION("""COMPUTED_VALUE"""),1381.13)</f>
        <v>1381.13</v>
      </c>
      <c r="F561" s="1">
        <f>IFERROR(__xludf.DUMMYFUNCTION("""COMPUTED_VALUE"""),186392.0)</f>
        <v>186392</v>
      </c>
    </row>
    <row r="562">
      <c r="A562" s="2">
        <f>IFERROR(__xludf.DUMMYFUNCTION("""COMPUTED_VALUE"""),42808.64583333333)</f>
        <v>42808.64583</v>
      </c>
      <c r="B562" s="1">
        <f>IFERROR(__xludf.DUMMYFUNCTION("""COMPUTED_VALUE"""),1367.09)</f>
        <v>1367.09</v>
      </c>
      <c r="C562" s="1">
        <f>IFERROR(__xludf.DUMMYFUNCTION("""COMPUTED_VALUE"""),1385.81)</f>
        <v>1385.81</v>
      </c>
      <c r="D562" s="1">
        <f>IFERROR(__xludf.DUMMYFUNCTION("""COMPUTED_VALUE"""),1348.36)</f>
        <v>1348.36</v>
      </c>
      <c r="E562" s="1">
        <f>IFERROR(__xludf.DUMMYFUNCTION("""COMPUTED_VALUE"""),1385.81)</f>
        <v>1385.81</v>
      </c>
      <c r="F562" s="1">
        <f>IFERROR(__xludf.DUMMYFUNCTION("""COMPUTED_VALUE"""),128823.0)</f>
        <v>128823</v>
      </c>
    </row>
    <row r="563">
      <c r="A563" s="2">
        <f>IFERROR(__xludf.DUMMYFUNCTION("""COMPUTED_VALUE"""),42809.64583333333)</f>
        <v>42809.64583</v>
      </c>
      <c r="B563" s="1">
        <f>IFERROR(__xludf.DUMMYFUNCTION("""COMPUTED_VALUE"""),1404.54)</f>
        <v>1404.54</v>
      </c>
      <c r="C563" s="1">
        <f>IFERROR(__xludf.DUMMYFUNCTION("""COMPUTED_VALUE"""),1409.22)</f>
        <v>1409.22</v>
      </c>
      <c r="D563" s="1">
        <f>IFERROR(__xludf.DUMMYFUNCTION("""COMPUTED_VALUE"""),1353.04)</f>
        <v>1353.04</v>
      </c>
      <c r="E563" s="1">
        <f>IFERROR(__xludf.DUMMYFUNCTION("""COMPUTED_VALUE"""),1390.5)</f>
        <v>1390.5</v>
      </c>
      <c r="F563" s="1">
        <f>IFERROR(__xludf.DUMMYFUNCTION("""COMPUTED_VALUE"""),138269.0)</f>
        <v>138269</v>
      </c>
    </row>
    <row r="564">
      <c r="A564" s="2">
        <f>IFERROR(__xludf.DUMMYFUNCTION("""COMPUTED_VALUE"""),42810.64583333333)</f>
        <v>42810.64583</v>
      </c>
      <c r="B564" s="1">
        <f>IFERROR(__xludf.DUMMYFUNCTION("""COMPUTED_VALUE"""),1395.18)</f>
        <v>1395.18</v>
      </c>
      <c r="C564" s="1">
        <f>IFERROR(__xludf.DUMMYFUNCTION("""COMPUTED_VALUE"""),1413.9)</f>
        <v>1413.9</v>
      </c>
      <c r="D564" s="1">
        <f>IFERROR(__xludf.DUMMYFUNCTION("""COMPUTED_VALUE"""),1367.09)</f>
        <v>1367.09</v>
      </c>
      <c r="E564" s="1">
        <f>IFERROR(__xludf.DUMMYFUNCTION("""COMPUTED_VALUE"""),1390.5)</f>
        <v>1390.5</v>
      </c>
      <c r="F564" s="1">
        <f>IFERROR(__xludf.DUMMYFUNCTION("""COMPUTED_VALUE"""),196342.0)</f>
        <v>196342</v>
      </c>
    </row>
    <row r="565">
      <c r="A565" s="2">
        <f>IFERROR(__xludf.DUMMYFUNCTION("""COMPUTED_VALUE"""),42811.64583333333)</f>
        <v>42811.64583</v>
      </c>
      <c r="B565" s="1">
        <f>IFERROR(__xludf.DUMMYFUNCTION("""COMPUTED_VALUE"""),1404.54)</f>
        <v>1404.54</v>
      </c>
      <c r="C565" s="1">
        <f>IFERROR(__xludf.DUMMYFUNCTION("""COMPUTED_VALUE"""),1451.36)</f>
        <v>1451.36</v>
      </c>
      <c r="D565" s="1">
        <f>IFERROR(__xludf.DUMMYFUNCTION("""COMPUTED_VALUE"""),1376.45)</f>
        <v>1376.45</v>
      </c>
      <c r="E565" s="1">
        <f>IFERROR(__xludf.DUMMYFUNCTION("""COMPUTED_VALUE"""),1437.31)</f>
        <v>1437.31</v>
      </c>
      <c r="F565" s="1">
        <f>IFERROR(__xludf.DUMMYFUNCTION("""COMPUTED_VALUE"""),361493.0)</f>
        <v>361493</v>
      </c>
    </row>
    <row r="566">
      <c r="A566" s="2">
        <f>IFERROR(__xludf.DUMMYFUNCTION("""COMPUTED_VALUE"""),42814.64583333333)</f>
        <v>42814.64583</v>
      </c>
      <c r="B566" s="1">
        <f>IFERROR(__xludf.DUMMYFUNCTION("""COMPUTED_VALUE"""),1465.4)</f>
        <v>1465.4</v>
      </c>
      <c r="C566" s="1">
        <f>IFERROR(__xludf.DUMMYFUNCTION("""COMPUTED_VALUE"""),1465.4)</f>
        <v>1465.4</v>
      </c>
      <c r="D566" s="1">
        <f>IFERROR(__xludf.DUMMYFUNCTION("""COMPUTED_VALUE"""),1395.18)</f>
        <v>1395.18</v>
      </c>
      <c r="E566" s="1">
        <f>IFERROR(__xludf.DUMMYFUNCTION("""COMPUTED_VALUE"""),1427.95)</f>
        <v>1427.95</v>
      </c>
      <c r="F566" s="1">
        <f>IFERROR(__xludf.DUMMYFUNCTION("""COMPUTED_VALUE"""),197409.0)</f>
        <v>197409</v>
      </c>
    </row>
    <row r="567">
      <c r="A567" s="2">
        <f>IFERROR(__xludf.DUMMYFUNCTION("""COMPUTED_VALUE"""),42815.64583333333)</f>
        <v>42815.64583</v>
      </c>
      <c r="B567" s="1">
        <f>IFERROR(__xludf.DUMMYFUNCTION("""COMPUTED_VALUE"""),1451.36)</f>
        <v>1451.36</v>
      </c>
      <c r="C567" s="1">
        <f>IFERROR(__xludf.DUMMYFUNCTION("""COMPUTED_VALUE"""),1484.13)</f>
        <v>1484.13</v>
      </c>
      <c r="D567" s="1">
        <f>IFERROR(__xludf.DUMMYFUNCTION("""COMPUTED_VALUE"""),1399.86)</f>
        <v>1399.86</v>
      </c>
      <c r="E567" s="1">
        <f>IFERROR(__xludf.DUMMYFUNCTION("""COMPUTED_VALUE"""),1427.95)</f>
        <v>1427.95</v>
      </c>
      <c r="F567" s="1">
        <f>IFERROR(__xludf.DUMMYFUNCTION("""COMPUTED_VALUE"""),416645.0)</f>
        <v>416645</v>
      </c>
    </row>
    <row r="568">
      <c r="A568" s="2">
        <f>IFERROR(__xludf.DUMMYFUNCTION("""COMPUTED_VALUE"""),42816.64583333333)</f>
        <v>42816.64583</v>
      </c>
      <c r="B568" s="1">
        <f>IFERROR(__xludf.DUMMYFUNCTION("""COMPUTED_VALUE"""),1427.95)</f>
        <v>1427.95</v>
      </c>
      <c r="C568" s="1">
        <f>IFERROR(__xludf.DUMMYFUNCTION("""COMPUTED_VALUE"""),1470.09)</f>
        <v>1470.09</v>
      </c>
      <c r="D568" s="1">
        <f>IFERROR(__xludf.DUMMYFUNCTION("""COMPUTED_VALUE"""),1418.59)</f>
        <v>1418.59</v>
      </c>
      <c r="E568" s="1">
        <f>IFERROR(__xludf.DUMMYFUNCTION("""COMPUTED_VALUE"""),1418.59)</f>
        <v>1418.59</v>
      </c>
      <c r="F568" s="1">
        <f>IFERROR(__xludf.DUMMYFUNCTION("""COMPUTED_VALUE"""),219888.0)</f>
        <v>219888</v>
      </c>
    </row>
    <row r="569">
      <c r="A569" s="2">
        <f>IFERROR(__xludf.DUMMYFUNCTION("""COMPUTED_VALUE"""),42817.64583333333)</f>
        <v>42817.64583</v>
      </c>
      <c r="B569" s="1">
        <f>IFERROR(__xludf.DUMMYFUNCTION("""COMPUTED_VALUE"""),1413.9)</f>
        <v>1413.9</v>
      </c>
      <c r="C569" s="1">
        <f>IFERROR(__xludf.DUMMYFUNCTION("""COMPUTED_VALUE"""),1554.36)</f>
        <v>1554.36</v>
      </c>
      <c r="D569" s="1">
        <f>IFERROR(__xludf.DUMMYFUNCTION("""COMPUTED_VALUE"""),1413.9)</f>
        <v>1413.9</v>
      </c>
      <c r="E569" s="1">
        <f>IFERROR(__xludf.DUMMYFUNCTION("""COMPUTED_VALUE"""),1413.9)</f>
        <v>1413.9</v>
      </c>
      <c r="F569" s="1">
        <f>IFERROR(__xludf.DUMMYFUNCTION("""COMPUTED_VALUE"""),1296972.0)</f>
        <v>1296972</v>
      </c>
    </row>
    <row r="570">
      <c r="A570" s="2">
        <f>IFERROR(__xludf.DUMMYFUNCTION("""COMPUTED_VALUE"""),42818.64583333333)</f>
        <v>42818.64583</v>
      </c>
      <c r="B570" s="1">
        <f>IFERROR(__xludf.DUMMYFUNCTION("""COMPUTED_VALUE"""),1413.9)</f>
        <v>1413.9</v>
      </c>
      <c r="C570" s="1">
        <f>IFERROR(__xludf.DUMMYFUNCTION("""COMPUTED_VALUE"""),1446.68)</f>
        <v>1446.68</v>
      </c>
      <c r="D570" s="1">
        <f>IFERROR(__xludf.DUMMYFUNCTION("""COMPUTED_VALUE"""),1395.18)</f>
        <v>1395.18</v>
      </c>
      <c r="E570" s="1">
        <f>IFERROR(__xludf.DUMMYFUNCTION("""COMPUTED_VALUE"""),1423.27)</f>
        <v>1423.27</v>
      </c>
      <c r="F570" s="1">
        <f>IFERROR(__xludf.DUMMYFUNCTION("""COMPUTED_VALUE"""),265968.0)</f>
        <v>265968</v>
      </c>
    </row>
    <row r="571">
      <c r="A571" s="2">
        <f>IFERROR(__xludf.DUMMYFUNCTION("""COMPUTED_VALUE"""),42821.64583333333)</f>
        <v>42821.64583</v>
      </c>
      <c r="B571" s="1">
        <f>IFERROR(__xludf.DUMMYFUNCTION("""COMPUTED_VALUE"""),1427.95)</f>
        <v>1427.95</v>
      </c>
      <c r="C571" s="1">
        <f>IFERROR(__xludf.DUMMYFUNCTION("""COMPUTED_VALUE"""),1849.31)</f>
        <v>1849.31</v>
      </c>
      <c r="D571" s="1">
        <f>IFERROR(__xludf.DUMMYFUNCTION("""COMPUTED_VALUE"""),1423.27)</f>
        <v>1423.27</v>
      </c>
      <c r="E571" s="1">
        <f>IFERROR(__xludf.DUMMYFUNCTION("""COMPUTED_VALUE"""),1619.9)</f>
        <v>1619.9</v>
      </c>
      <c r="F571" s="1">
        <f>IFERROR(__xludf.DUMMYFUNCTION("""COMPUTED_VALUE"""),1.63906E7)</f>
        <v>16390600</v>
      </c>
    </row>
    <row r="572">
      <c r="A572" s="2">
        <f>IFERROR(__xludf.DUMMYFUNCTION("""COMPUTED_VALUE"""),42822.64583333333)</f>
        <v>42822.64583</v>
      </c>
      <c r="B572" s="1">
        <f>IFERROR(__xludf.DUMMYFUNCTION("""COMPUTED_VALUE"""),1596.5)</f>
        <v>1596.5</v>
      </c>
      <c r="C572" s="1">
        <f>IFERROR(__xludf.DUMMYFUNCTION("""COMPUTED_VALUE"""),1619.9)</f>
        <v>1619.9</v>
      </c>
      <c r="D572" s="1">
        <f>IFERROR(__xludf.DUMMYFUNCTION("""COMPUTED_VALUE"""),1535.63)</f>
        <v>1535.63</v>
      </c>
      <c r="E572" s="1">
        <f>IFERROR(__xludf.DUMMYFUNCTION("""COMPUTED_VALUE"""),1619.9)</f>
        <v>1619.9</v>
      </c>
      <c r="F572" s="1">
        <f>IFERROR(__xludf.DUMMYFUNCTION("""COMPUTED_VALUE"""),2456069.0)</f>
        <v>2456069</v>
      </c>
    </row>
    <row r="573">
      <c r="A573" s="2">
        <f>IFERROR(__xludf.DUMMYFUNCTION("""COMPUTED_VALUE"""),42823.64583333333)</f>
        <v>42823.64583</v>
      </c>
      <c r="B573" s="1">
        <f>IFERROR(__xludf.DUMMYFUNCTION("""COMPUTED_VALUE"""),1601.18)</f>
        <v>1601.18</v>
      </c>
      <c r="C573" s="1">
        <f>IFERROR(__xludf.DUMMYFUNCTION("""COMPUTED_VALUE"""),1676.09)</f>
        <v>1676.09</v>
      </c>
      <c r="D573" s="1">
        <f>IFERROR(__xludf.DUMMYFUNCTION("""COMPUTED_VALUE"""),1577.77)</f>
        <v>1577.77</v>
      </c>
      <c r="E573" s="1">
        <f>IFERROR(__xludf.DUMMYFUNCTION("""COMPUTED_VALUE"""),1582.45)</f>
        <v>1582.45</v>
      </c>
      <c r="F573" s="1">
        <f>IFERROR(__xludf.DUMMYFUNCTION("""COMPUTED_VALUE"""),1665232.0)</f>
        <v>1665232</v>
      </c>
    </row>
    <row r="574">
      <c r="A574" s="2">
        <f>IFERROR(__xludf.DUMMYFUNCTION("""COMPUTED_VALUE"""),42824.64583333333)</f>
        <v>42824.64583</v>
      </c>
      <c r="B574" s="1">
        <f>IFERROR(__xludf.DUMMYFUNCTION("""COMPUTED_VALUE"""),1530.95)</f>
        <v>1530.95</v>
      </c>
      <c r="C574" s="1">
        <f>IFERROR(__xludf.DUMMYFUNCTION("""COMPUTED_VALUE"""),1577.77)</f>
        <v>1577.77</v>
      </c>
      <c r="D574" s="1">
        <f>IFERROR(__xludf.DUMMYFUNCTION("""COMPUTED_VALUE"""),1502.86)</f>
        <v>1502.86</v>
      </c>
      <c r="E574" s="1">
        <f>IFERROR(__xludf.DUMMYFUNCTION("""COMPUTED_VALUE"""),1554.36)</f>
        <v>1554.36</v>
      </c>
      <c r="F574" s="1">
        <f>IFERROR(__xludf.DUMMYFUNCTION("""COMPUTED_VALUE"""),863160.0)</f>
        <v>863160</v>
      </c>
    </row>
    <row r="575">
      <c r="A575" s="2">
        <f>IFERROR(__xludf.DUMMYFUNCTION("""COMPUTED_VALUE"""),42825.64583333333)</f>
        <v>42825.64583</v>
      </c>
      <c r="B575" s="1">
        <f>IFERROR(__xludf.DUMMYFUNCTION("""COMPUTED_VALUE"""),1540.31)</f>
        <v>1540.31</v>
      </c>
      <c r="C575" s="1">
        <f>IFERROR(__xludf.DUMMYFUNCTION("""COMPUTED_VALUE"""),1750.99)</f>
        <v>1750.99</v>
      </c>
      <c r="D575" s="1">
        <f>IFERROR(__xludf.DUMMYFUNCTION("""COMPUTED_VALUE"""),1521.59)</f>
        <v>1521.59</v>
      </c>
      <c r="E575" s="1">
        <f>IFERROR(__xludf.DUMMYFUNCTION("""COMPUTED_VALUE"""),1633.95)</f>
        <v>1633.95</v>
      </c>
      <c r="F575" s="1">
        <f>IFERROR(__xludf.DUMMYFUNCTION("""COMPUTED_VALUE"""),2316050.0)</f>
        <v>2316050</v>
      </c>
    </row>
    <row r="576">
      <c r="A576" s="2">
        <f>IFERROR(__xludf.DUMMYFUNCTION("""COMPUTED_VALUE"""),42828.64583333333)</f>
        <v>42828.64583</v>
      </c>
      <c r="B576" s="1">
        <f>IFERROR(__xludf.DUMMYFUNCTION("""COMPUTED_VALUE"""),1652.68)</f>
        <v>1652.68</v>
      </c>
      <c r="C576" s="1">
        <f>IFERROR(__xludf.DUMMYFUNCTION("""COMPUTED_VALUE"""),1793.13)</f>
        <v>1793.13</v>
      </c>
      <c r="D576" s="1">
        <f>IFERROR(__xludf.DUMMYFUNCTION("""COMPUTED_VALUE"""),1638.63)</f>
        <v>1638.63</v>
      </c>
      <c r="E576" s="1">
        <f>IFERROR(__xludf.DUMMYFUNCTION("""COMPUTED_VALUE"""),1699.49)</f>
        <v>1699.49</v>
      </c>
      <c r="F576" s="1">
        <f>IFERROR(__xludf.DUMMYFUNCTION("""COMPUTED_VALUE"""),1633040.0)</f>
        <v>1633040</v>
      </c>
    </row>
    <row r="577">
      <c r="A577" s="2">
        <f>IFERROR(__xludf.DUMMYFUNCTION("""COMPUTED_VALUE"""),42829.64583333333)</f>
        <v>42829.64583</v>
      </c>
      <c r="B577" s="1">
        <f>IFERROR(__xludf.DUMMYFUNCTION("""COMPUTED_VALUE"""),1680.77)</f>
        <v>1680.77</v>
      </c>
      <c r="C577" s="1">
        <f>IFERROR(__xludf.DUMMYFUNCTION("""COMPUTED_VALUE"""),1746.31)</f>
        <v>1746.31</v>
      </c>
      <c r="D577" s="1">
        <f>IFERROR(__xludf.DUMMYFUNCTION("""COMPUTED_VALUE"""),1591.81)</f>
        <v>1591.81</v>
      </c>
      <c r="E577" s="1">
        <f>IFERROR(__xludf.DUMMYFUNCTION("""COMPUTED_VALUE"""),1662.04)</f>
        <v>1662.04</v>
      </c>
      <c r="F577" s="1">
        <f>IFERROR(__xludf.DUMMYFUNCTION("""COMPUTED_VALUE"""),904364.0)</f>
        <v>904364</v>
      </c>
    </row>
    <row r="578">
      <c r="A578" s="2">
        <f>IFERROR(__xludf.DUMMYFUNCTION("""COMPUTED_VALUE"""),42830.64583333333)</f>
        <v>42830.64583</v>
      </c>
      <c r="B578" s="1">
        <f>IFERROR(__xludf.DUMMYFUNCTION("""COMPUTED_VALUE"""),1685.45)</f>
        <v>1685.45</v>
      </c>
      <c r="C578" s="1">
        <f>IFERROR(__xludf.DUMMYFUNCTION("""COMPUTED_VALUE"""),1919.54)</f>
        <v>1919.54</v>
      </c>
      <c r="D578" s="1">
        <f>IFERROR(__xludf.DUMMYFUNCTION("""COMPUTED_VALUE"""),1666.72)</f>
        <v>1666.72</v>
      </c>
      <c r="E578" s="1">
        <f>IFERROR(__xludf.DUMMYFUNCTION("""COMPUTED_VALUE"""),1722.9)</f>
        <v>1722.9</v>
      </c>
      <c r="F578" s="1">
        <f>IFERROR(__xludf.DUMMYFUNCTION("""COMPUTED_VALUE"""),3871763.0)</f>
        <v>3871763</v>
      </c>
    </row>
    <row r="579">
      <c r="A579" s="2">
        <f>IFERROR(__xludf.DUMMYFUNCTION("""COMPUTED_VALUE"""),42831.64583333333)</f>
        <v>42831.64583</v>
      </c>
      <c r="B579" s="1">
        <f>IFERROR(__xludf.DUMMYFUNCTION("""COMPUTED_VALUE"""),1732.27)</f>
        <v>1732.27</v>
      </c>
      <c r="C579" s="1">
        <f>IFERROR(__xludf.DUMMYFUNCTION("""COMPUTED_VALUE"""),1746.31)</f>
        <v>1746.31</v>
      </c>
      <c r="D579" s="1">
        <f>IFERROR(__xludf.DUMMYFUNCTION("""COMPUTED_VALUE"""),1662.04)</f>
        <v>1662.04</v>
      </c>
      <c r="E579" s="1">
        <f>IFERROR(__xludf.DUMMYFUNCTION("""COMPUTED_VALUE"""),1662.04)</f>
        <v>1662.04</v>
      </c>
      <c r="F579" s="1">
        <f>IFERROR(__xludf.DUMMYFUNCTION("""COMPUTED_VALUE"""),768832.0)</f>
        <v>768832</v>
      </c>
    </row>
    <row r="580">
      <c r="A580" s="2">
        <f>IFERROR(__xludf.DUMMYFUNCTION("""COMPUTED_VALUE"""),42832.64583333333)</f>
        <v>42832.64583</v>
      </c>
      <c r="B580" s="1">
        <f>IFERROR(__xludf.DUMMYFUNCTION("""COMPUTED_VALUE"""),1671.4)</f>
        <v>1671.4</v>
      </c>
      <c r="C580" s="1">
        <f>IFERROR(__xludf.DUMMYFUNCTION("""COMPUTED_VALUE"""),1671.4)</f>
        <v>1671.4</v>
      </c>
      <c r="D580" s="1">
        <f>IFERROR(__xludf.DUMMYFUNCTION("""COMPUTED_VALUE"""),1619.9)</f>
        <v>1619.9</v>
      </c>
      <c r="E580" s="1">
        <f>IFERROR(__xludf.DUMMYFUNCTION("""COMPUTED_VALUE"""),1648.0)</f>
        <v>1648</v>
      </c>
      <c r="F580" s="1">
        <f>IFERROR(__xludf.DUMMYFUNCTION("""COMPUTED_VALUE"""),382977.0)</f>
        <v>382977</v>
      </c>
    </row>
    <row r="581">
      <c r="A581" s="2">
        <f>IFERROR(__xludf.DUMMYFUNCTION("""COMPUTED_VALUE"""),42835.64583333333)</f>
        <v>42835.64583</v>
      </c>
      <c r="B581" s="1">
        <f>IFERROR(__xludf.DUMMYFUNCTION("""COMPUTED_VALUE"""),1633.95)</f>
        <v>1633.95</v>
      </c>
      <c r="C581" s="1">
        <f>IFERROR(__xludf.DUMMYFUNCTION("""COMPUTED_VALUE"""),1638.63)</f>
        <v>1638.63</v>
      </c>
      <c r="D581" s="1">
        <f>IFERROR(__xludf.DUMMYFUNCTION("""COMPUTED_VALUE"""),1479.45)</f>
        <v>1479.45</v>
      </c>
      <c r="E581" s="1">
        <f>IFERROR(__xludf.DUMMYFUNCTION("""COMPUTED_VALUE"""),1545.0)</f>
        <v>1545</v>
      </c>
      <c r="F581" s="1">
        <f>IFERROR(__xludf.DUMMYFUNCTION("""COMPUTED_VALUE"""),523879.0)</f>
        <v>523879</v>
      </c>
    </row>
    <row r="582">
      <c r="A582" s="2">
        <f>IFERROR(__xludf.DUMMYFUNCTION("""COMPUTED_VALUE"""),42836.64583333333)</f>
        <v>42836.64583</v>
      </c>
      <c r="B582" s="1">
        <f>IFERROR(__xludf.DUMMYFUNCTION("""COMPUTED_VALUE"""),1535.63)</f>
        <v>1535.63</v>
      </c>
      <c r="C582" s="1">
        <f>IFERROR(__xludf.DUMMYFUNCTION("""COMPUTED_VALUE"""),1619.9)</f>
        <v>1619.9</v>
      </c>
      <c r="D582" s="1">
        <f>IFERROR(__xludf.DUMMYFUNCTION("""COMPUTED_VALUE"""),1493.5)</f>
        <v>1493.5</v>
      </c>
      <c r="E582" s="1">
        <f>IFERROR(__xludf.DUMMYFUNCTION("""COMPUTED_VALUE"""),1563.72)</f>
        <v>1563.72</v>
      </c>
      <c r="F582" s="1">
        <f>IFERROR(__xludf.DUMMYFUNCTION("""COMPUTED_VALUE"""),398341.0)</f>
        <v>398341</v>
      </c>
    </row>
    <row r="583">
      <c r="A583" s="2">
        <f>IFERROR(__xludf.DUMMYFUNCTION("""COMPUTED_VALUE"""),42837.64583333333)</f>
        <v>42837.64583</v>
      </c>
      <c r="B583" s="1">
        <f>IFERROR(__xludf.DUMMYFUNCTION("""COMPUTED_VALUE"""),1573.09)</f>
        <v>1573.09</v>
      </c>
      <c r="C583" s="1">
        <f>IFERROR(__xludf.DUMMYFUNCTION("""COMPUTED_VALUE"""),1704.18)</f>
        <v>1704.18</v>
      </c>
      <c r="D583" s="1">
        <f>IFERROR(__xludf.DUMMYFUNCTION("""COMPUTED_VALUE"""),1563.72)</f>
        <v>1563.72</v>
      </c>
      <c r="E583" s="1">
        <f>IFERROR(__xludf.DUMMYFUNCTION("""COMPUTED_VALUE"""),1643.31)</f>
        <v>1643.31</v>
      </c>
      <c r="F583" s="1">
        <f>IFERROR(__xludf.DUMMYFUNCTION("""COMPUTED_VALUE"""),772960.0)</f>
        <v>772960</v>
      </c>
    </row>
    <row r="584">
      <c r="A584" s="2">
        <f>IFERROR(__xludf.DUMMYFUNCTION("""COMPUTED_VALUE"""),42838.64583333333)</f>
        <v>42838.64583</v>
      </c>
      <c r="B584" s="1">
        <f>IFERROR(__xludf.DUMMYFUNCTION("""COMPUTED_VALUE"""),1652.68)</f>
        <v>1652.68</v>
      </c>
      <c r="C584" s="1">
        <f>IFERROR(__xludf.DUMMYFUNCTION("""COMPUTED_VALUE"""),1699.49)</f>
        <v>1699.49</v>
      </c>
      <c r="D584" s="1">
        <f>IFERROR(__xludf.DUMMYFUNCTION("""COMPUTED_VALUE"""),1610.54)</f>
        <v>1610.54</v>
      </c>
      <c r="E584" s="1">
        <f>IFERROR(__xludf.DUMMYFUNCTION("""COMPUTED_VALUE"""),1638.63)</f>
        <v>1638.63</v>
      </c>
      <c r="F584" s="1">
        <f>IFERROR(__xludf.DUMMYFUNCTION("""COMPUTED_VALUE"""),268551.0)</f>
        <v>268551</v>
      </c>
    </row>
    <row r="585">
      <c r="A585" s="2">
        <f>IFERROR(__xludf.DUMMYFUNCTION("""COMPUTED_VALUE"""),42839.64583333333)</f>
        <v>42839.64583</v>
      </c>
      <c r="B585" s="1">
        <f>IFERROR(__xludf.DUMMYFUNCTION("""COMPUTED_VALUE"""),1643.31)</f>
        <v>1643.31</v>
      </c>
      <c r="C585" s="1">
        <f>IFERROR(__xludf.DUMMYFUNCTION("""COMPUTED_VALUE"""),1643.31)</f>
        <v>1643.31</v>
      </c>
      <c r="D585" s="1">
        <f>IFERROR(__xludf.DUMMYFUNCTION("""COMPUTED_VALUE"""),1521.59)</f>
        <v>1521.59</v>
      </c>
      <c r="E585" s="1">
        <f>IFERROR(__xludf.DUMMYFUNCTION("""COMPUTED_VALUE"""),1549.68)</f>
        <v>1549.68</v>
      </c>
      <c r="F585" s="1">
        <f>IFERROR(__xludf.DUMMYFUNCTION("""COMPUTED_VALUE"""),351351.0)</f>
        <v>351351</v>
      </c>
    </row>
    <row r="586">
      <c r="A586" s="2">
        <f>IFERROR(__xludf.DUMMYFUNCTION("""COMPUTED_VALUE"""),42842.64583333333)</f>
        <v>42842.64583</v>
      </c>
      <c r="B586" s="1">
        <f>IFERROR(__xludf.DUMMYFUNCTION("""COMPUTED_VALUE"""),1549.68)</f>
        <v>1549.68</v>
      </c>
      <c r="C586" s="1">
        <f>IFERROR(__xludf.DUMMYFUNCTION("""COMPUTED_VALUE"""),1601.18)</f>
        <v>1601.18</v>
      </c>
      <c r="D586" s="1">
        <f>IFERROR(__xludf.DUMMYFUNCTION("""COMPUTED_VALUE"""),1549.68)</f>
        <v>1549.68</v>
      </c>
      <c r="E586" s="1">
        <f>IFERROR(__xludf.DUMMYFUNCTION("""COMPUTED_VALUE"""),1582.45)</f>
        <v>1582.45</v>
      </c>
      <c r="F586" s="1">
        <f>IFERROR(__xludf.DUMMYFUNCTION("""COMPUTED_VALUE"""),207428.0)</f>
        <v>207428</v>
      </c>
    </row>
    <row r="587">
      <c r="A587" s="2">
        <f>IFERROR(__xludf.DUMMYFUNCTION("""COMPUTED_VALUE"""),42843.64583333333)</f>
        <v>42843.64583</v>
      </c>
      <c r="B587" s="1">
        <f>IFERROR(__xludf.DUMMYFUNCTION("""COMPUTED_VALUE"""),1601.18)</f>
        <v>1601.18</v>
      </c>
      <c r="C587" s="1">
        <f>IFERROR(__xludf.DUMMYFUNCTION("""COMPUTED_VALUE"""),1638.63)</f>
        <v>1638.63</v>
      </c>
      <c r="D587" s="1">
        <f>IFERROR(__xludf.DUMMYFUNCTION("""COMPUTED_VALUE"""),1563.72)</f>
        <v>1563.72</v>
      </c>
      <c r="E587" s="1">
        <f>IFERROR(__xludf.DUMMYFUNCTION("""COMPUTED_VALUE"""),1591.81)</f>
        <v>1591.81</v>
      </c>
      <c r="F587" s="1">
        <f>IFERROR(__xludf.DUMMYFUNCTION("""COMPUTED_VALUE"""),132678.0)</f>
        <v>132678</v>
      </c>
    </row>
    <row r="588">
      <c r="A588" s="2">
        <f>IFERROR(__xludf.DUMMYFUNCTION("""COMPUTED_VALUE"""),42844.64583333333)</f>
        <v>42844.64583</v>
      </c>
      <c r="B588" s="1">
        <f>IFERROR(__xludf.DUMMYFUNCTION("""COMPUTED_VALUE"""),1591.81)</f>
        <v>1591.81</v>
      </c>
      <c r="C588" s="1">
        <f>IFERROR(__xludf.DUMMYFUNCTION("""COMPUTED_VALUE"""),2069.36)</f>
        <v>2069.36</v>
      </c>
      <c r="D588" s="1">
        <f>IFERROR(__xludf.DUMMYFUNCTION("""COMPUTED_VALUE"""),1591.81)</f>
        <v>1591.81</v>
      </c>
      <c r="E588" s="1">
        <f>IFERROR(__xludf.DUMMYFUNCTION("""COMPUTED_VALUE"""),2069.36)</f>
        <v>2069.36</v>
      </c>
      <c r="F588" s="1">
        <f>IFERROR(__xludf.DUMMYFUNCTION("""COMPUTED_VALUE"""),5469744.0)</f>
        <v>5469744</v>
      </c>
    </row>
    <row r="589">
      <c r="A589" s="2">
        <f>IFERROR(__xludf.DUMMYFUNCTION("""COMPUTED_VALUE"""),42845.64583333333)</f>
        <v>42845.64583</v>
      </c>
      <c r="B589" s="1">
        <f>IFERROR(__xludf.DUMMYFUNCTION("""COMPUTED_VALUE"""),2364.31)</f>
        <v>2364.31</v>
      </c>
      <c r="C589" s="1">
        <f>IFERROR(__xludf.DUMMYFUNCTION("""COMPUTED_VALUE"""),2397.08)</f>
        <v>2397.08</v>
      </c>
      <c r="D589" s="1">
        <f>IFERROR(__xludf.DUMMYFUNCTION("""COMPUTED_VALUE"""),1980.4)</f>
        <v>1980.4</v>
      </c>
      <c r="E589" s="1">
        <f>IFERROR(__xludf.DUMMYFUNCTION("""COMPUTED_VALUE"""),2022.54)</f>
        <v>2022.54</v>
      </c>
      <c r="F589" s="1">
        <f>IFERROR(__xludf.DUMMYFUNCTION("""COMPUTED_VALUE"""),1.4066007E7)</f>
        <v>14066007</v>
      </c>
    </row>
    <row r="590">
      <c r="A590" s="2">
        <f>IFERROR(__xludf.DUMMYFUNCTION("""COMPUTED_VALUE"""),42846.64583333333)</f>
        <v>42846.64583</v>
      </c>
      <c r="B590" s="1">
        <f>IFERROR(__xludf.DUMMYFUNCTION("""COMPUTED_VALUE"""),2003.81)</f>
        <v>2003.81</v>
      </c>
      <c r="C590" s="1">
        <f>IFERROR(__xludf.DUMMYFUNCTION("""COMPUTED_VALUE"""),2528.17)</f>
        <v>2528.17</v>
      </c>
      <c r="D590" s="1">
        <f>IFERROR(__xludf.DUMMYFUNCTION("""COMPUTED_VALUE"""),1980.4)</f>
        <v>1980.4</v>
      </c>
      <c r="E590" s="1">
        <f>IFERROR(__xludf.DUMMYFUNCTION("""COMPUTED_VALUE"""),2368.99)</f>
        <v>2368.99</v>
      </c>
      <c r="F590" s="1">
        <f>IFERROR(__xludf.DUMMYFUNCTION("""COMPUTED_VALUE"""),3.5766436E7)</f>
        <v>35766436</v>
      </c>
    </row>
    <row r="591">
      <c r="A591" s="2">
        <f>IFERROR(__xludf.DUMMYFUNCTION("""COMPUTED_VALUE"""),42849.64583333333)</f>
        <v>42849.64583</v>
      </c>
      <c r="B591" s="1">
        <f>IFERROR(__xludf.DUMMYFUNCTION("""COMPUTED_VALUE"""),2322.17)</f>
        <v>2322.17</v>
      </c>
      <c r="C591" s="1">
        <f>IFERROR(__xludf.DUMMYFUNCTION("""COMPUTED_VALUE"""),2401.77)</f>
        <v>2401.77</v>
      </c>
      <c r="D591" s="1">
        <f>IFERROR(__xludf.DUMMYFUNCTION("""COMPUTED_VALUE"""),2261.31)</f>
        <v>2261.31</v>
      </c>
      <c r="E591" s="1">
        <f>IFERROR(__xludf.DUMMYFUNCTION("""COMPUTED_VALUE"""),2364.31)</f>
        <v>2364.31</v>
      </c>
      <c r="F591" s="1">
        <f>IFERROR(__xludf.DUMMYFUNCTION("""COMPUTED_VALUE"""),4936418.0)</f>
        <v>4936418</v>
      </c>
    </row>
    <row r="592">
      <c r="A592" s="2">
        <f>IFERROR(__xludf.DUMMYFUNCTION("""COMPUTED_VALUE"""),42850.64583333333)</f>
        <v>42850.64583</v>
      </c>
      <c r="B592" s="1">
        <f>IFERROR(__xludf.DUMMYFUNCTION("""COMPUTED_VALUE"""),2340.9)</f>
        <v>2340.9</v>
      </c>
      <c r="C592" s="1">
        <f>IFERROR(__xludf.DUMMYFUNCTION("""COMPUTED_VALUE"""),2518.81)</f>
        <v>2518.81</v>
      </c>
      <c r="D592" s="1">
        <f>IFERROR(__xludf.DUMMYFUNCTION("""COMPUTED_VALUE"""),2284.72)</f>
        <v>2284.72</v>
      </c>
      <c r="E592" s="1">
        <f>IFERROR(__xludf.DUMMYFUNCTION("""COMPUTED_VALUE"""),2453.27)</f>
        <v>2453.27</v>
      </c>
      <c r="F592" s="1">
        <f>IFERROR(__xludf.DUMMYFUNCTION("""COMPUTED_VALUE"""),6526513.0)</f>
        <v>6526513</v>
      </c>
    </row>
    <row r="593">
      <c r="A593" s="2">
        <f>IFERROR(__xludf.DUMMYFUNCTION("""COMPUTED_VALUE"""),42851.64583333333)</f>
        <v>42851.64583</v>
      </c>
      <c r="B593" s="1">
        <f>IFERROR(__xludf.DUMMYFUNCTION("""COMPUTED_VALUE"""),2331.54)</f>
        <v>2331.54</v>
      </c>
      <c r="C593" s="1">
        <f>IFERROR(__xludf.DUMMYFUNCTION("""COMPUTED_VALUE"""),2340.9)</f>
        <v>2340.9</v>
      </c>
      <c r="D593" s="1">
        <f>IFERROR(__xludf.DUMMYFUNCTION("""COMPUTED_VALUE"""),2158.31)</f>
        <v>2158.31</v>
      </c>
      <c r="E593" s="1">
        <f>IFERROR(__xludf.DUMMYFUNCTION("""COMPUTED_VALUE"""),2186.4)</f>
        <v>2186.4</v>
      </c>
      <c r="F593" s="1">
        <f>IFERROR(__xludf.DUMMYFUNCTION("""COMPUTED_VALUE"""),3068990.0)</f>
        <v>3068990</v>
      </c>
    </row>
    <row r="594">
      <c r="A594" s="2">
        <f>IFERROR(__xludf.DUMMYFUNCTION("""COMPUTED_VALUE"""),42852.64583333333)</f>
        <v>42852.64583</v>
      </c>
      <c r="B594" s="1">
        <f>IFERROR(__xludf.DUMMYFUNCTION("""COMPUTED_VALUE"""),2214.49)</f>
        <v>2214.49</v>
      </c>
      <c r="C594" s="1">
        <f>IFERROR(__xludf.DUMMYFUNCTION("""COMPUTED_VALUE"""),2256.63)</f>
        <v>2256.63</v>
      </c>
      <c r="D594" s="1">
        <f>IFERROR(__xludf.DUMMYFUNCTION("""COMPUTED_VALUE"""),2092.77)</f>
        <v>2092.77</v>
      </c>
      <c r="E594" s="1">
        <f>IFERROR(__xludf.DUMMYFUNCTION("""COMPUTED_VALUE"""),2158.31)</f>
        <v>2158.31</v>
      </c>
      <c r="F594" s="1">
        <f>IFERROR(__xludf.DUMMYFUNCTION("""COMPUTED_VALUE"""),2652048.0)</f>
        <v>2652048</v>
      </c>
    </row>
    <row r="595">
      <c r="A595" s="2">
        <f>IFERROR(__xludf.DUMMYFUNCTION("""COMPUTED_VALUE"""),42853.64583333333)</f>
        <v>42853.64583</v>
      </c>
      <c r="B595" s="1">
        <f>IFERROR(__xludf.DUMMYFUNCTION("""COMPUTED_VALUE"""),2158.31)</f>
        <v>2158.31</v>
      </c>
      <c r="C595" s="1">
        <f>IFERROR(__xludf.DUMMYFUNCTION("""COMPUTED_VALUE"""),2186.4)</f>
        <v>2186.4</v>
      </c>
      <c r="D595" s="1">
        <f>IFERROR(__xludf.DUMMYFUNCTION("""COMPUTED_VALUE"""),2106.81)</f>
        <v>2106.81</v>
      </c>
      <c r="E595" s="1">
        <f>IFERROR(__xludf.DUMMYFUNCTION("""COMPUTED_VALUE"""),2186.4)</f>
        <v>2186.4</v>
      </c>
      <c r="F595" s="1">
        <f>IFERROR(__xludf.DUMMYFUNCTION("""COMPUTED_VALUE"""),1224754.0)</f>
        <v>1224754</v>
      </c>
    </row>
    <row r="596">
      <c r="A596" s="2">
        <f>IFERROR(__xludf.DUMMYFUNCTION("""COMPUTED_VALUE"""),42857.64583333333)</f>
        <v>42857.64583</v>
      </c>
      <c r="B596" s="1">
        <f>IFERROR(__xludf.DUMMYFUNCTION("""COMPUTED_VALUE"""),2162.99)</f>
        <v>2162.99</v>
      </c>
      <c r="C596" s="1">
        <f>IFERROR(__xludf.DUMMYFUNCTION("""COMPUTED_VALUE"""),2186.4)</f>
        <v>2186.4</v>
      </c>
      <c r="D596" s="1">
        <f>IFERROR(__xludf.DUMMYFUNCTION("""COMPUTED_VALUE"""),2064.68)</f>
        <v>2064.68</v>
      </c>
      <c r="E596" s="1">
        <f>IFERROR(__xludf.DUMMYFUNCTION("""COMPUTED_VALUE"""),2102.13)</f>
        <v>2102.13</v>
      </c>
      <c r="F596" s="1">
        <f>IFERROR(__xludf.DUMMYFUNCTION("""COMPUTED_VALUE"""),912459.0)</f>
        <v>912459</v>
      </c>
    </row>
    <row r="597">
      <c r="A597" s="2">
        <f>IFERROR(__xludf.DUMMYFUNCTION("""COMPUTED_VALUE"""),42859.64583333333)</f>
        <v>42859.64583</v>
      </c>
      <c r="B597" s="1">
        <f>IFERROR(__xludf.DUMMYFUNCTION("""COMPUTED_VALUE"""),2130.22)</f>
        <v>2130.22</v>
      </c>
      <c r="C597" s="1">
        <f>IFERROR(__xludf.DUMMYFUNCTION("""COMPUTED_VALUE"""),2130.22)</f>
        <v>2130.22</v>
      </c>
      <c r="D597" s="1">
        <f>IFERROR(__xludf.DUMMYFUNCTION("""COMPUTED_VALUE"""),2059.99)</f>
        <v>2059.99</v>
      </c>
      <c r="E597" s="1">
        <f>IFERROR(__xludf.DUMMYFUNCTION("""COMPUTED_VALUE"""),2106.81)</f>
        <v>2106.81</v>
      </c>
      <c r="F597" s="1">
        <f>IFERROR(__xludf.DUMMYFUNCTION("""COMPUTED_VALUE"""),404118.0)</f>
        <v>404118</v>
      </c>
    </row>
    <row r="598">
      <c r="A598" s="2">
        <f>IFERROR(__xludf.DUMMYFUNCTION("""COMPUTED_VALUE"""),42863.64583333333)</f>
        <v>42863.64583</v>
      </c>
      <c r="B598" s="1">
        <f>IFERROR(__xludf.DUMMYFUNCTION("""COMPUTED_VALUE"""),2125.54)</f>
        <v>2125.54</v>
      </c>
      <c r="C598" s="1">
        <f>IFERROR(__xludf.DUMMYFUNCTION("""COMPUTED_VALUE"""),2247.27)</f>
        <v>2247.27</v>
      </c>
      <c r="D598" s="1">
        <f>IFERROR(__xludf.DUMMYFUNCTION("""COMPUTED_VALUE"""),2116.18)</f>
        <v>2116.18</v>
      </c>
      <c r="E598" s="1">
        <f>IFERROR(__xludf.DUMMYFUNCTION("""COMPUTED_VALUE"""),2162.99)</f>
        <v>2162.99</v>
      </c>
      <c r="F598" s="1">
        <f>IFERROR(__xludf.DUMMYFUNCTION("""COMPUTED_VALUE"""),1583253.0)</f>
        <v>1583253</v>
      </c>
    </row>
    <row r="599">
      <c r="A599" s="2">
        <f>IFERROR(__xludf.DUMMYFUNCTION("""COMPUTED_VALUE"""),42865.64583333333)</f>
        <v>42865.64583</v>
      </c>
      <c r="B599" s="1">
        <f>IFERROR(__xludf.DUMMYFUNCTION("""COMPUTED_VALUE"""),2134.9)</f>
        <v>2134.9</v>
      </c>
      <c r="C599" s="1">
        <f>IFERROR(__xludf.DUMMYFUNCTION("""COMPUTED_VALUE"""),2223.86)</f>
        <v>2223.86</v>
      </c>
      <c r="D599" s="1">
        <f>IFERROR(__xludf.DUMMYFUNCTION("""COMPUTED_VALUE"""),2106.81)</f>
        <v>2106.81</v>
      </c>
      <c r="E599" s="1">
        <f>IFERROR(__xludf.DUMMYFUNCTION("""COMPUTED_VALUE"""),2223.86)</f>
        <v>2223.86</v>
      </c>
      <c r="F599" s="1">
        <f>IFERROR(__xludf.DUMMYFUNCTION("""COMPUTED_VALUE"""),955285.0)</f>
        <v>955285</v>
      </c>
    </row>
    <row r="600">
      <c r="A600" s="2">
        <f>IFERROR(__xludf.DUMMYFUNCTION("""COMPUTED_VALUE"""),42866.64583333333)</f>
        <v>42866.64583</v>
      </c>
      <c r="B600" s="1">
        <f>IFERROR(__xludf.DUMMYFUNCTION("""COMPUTED_VALUE"""),2219.18)</f>
        <v>2219.18</v>
      </c>
      <c r="C600" s="1">
        <f>IFERROR(__xludf.DUMMYFUNCTION("""COMPUTED_VALUE"""),2242.58)</f>
        <v>2242.58</v>
      </c>
      <c r="D600" s="1">
        <f>IFERROR(__xludf.DUMMYFUNCTION("""COMPUTED_VALUE"""),2167.68)</f>
        <v>2167.68</v>
      </c>
      <c r="E600" s="1">
        <f>IFERROR(__xludf.DUMMYFUNCTION("""COMPUTED_VALUE"""),2242.58)</f>
        <v>2242.58</v>
      </c>
      <c r="F600" s="1">
        <f>IFERROR(__xludf.DUMMYFUNCTION("""COMPUTED_VALUE"""),542946.0)</f>
        <v>542946</v>
      </c>
    </row>
    <row r="601">
      <c r="A601" s="2">
        <f>IFERROR(__xludf.DUMMYFUNCTION("""COMPUTED_VALUE"""),42867.64583333333)</f>
        <v>42867.64583</v>
      </c>
      <c r="B601" s="1">
        <f>IFERROR(__xludf.DUMMYFUNCTION("""COMPUTED_VALUE"""),2237.9)</f>
        <v>2237.9</v>
      </c>
      <c r="C601" s="1">
        <f>IFERROR(__xludf.DUMMYFUNCTION("""COMPUTED_VALUE"""),2317.49)</f>
        <v>2317.49</v>
      </c>
      <c r="D601" s="1">
        <f>IFERROR(__xludf.DUMMYFUNCTION("""COMPUTED_VALUE"""),2181.72)</f>
        <v>2181.72</v>
      </c>
      <c r="E601" s="1">
        <f>IFERROR(__xludf.DUMMYFUNCTION("""COMPUTED_VALUE"""),2298.77)</f>
        <v>2298.77</v>
      </c>
      <c r="F601" s="1">
        <f>IFERROR(__xludf.DUMMYFUNCTION("""COMPUTED_VALUE"""),1229573.0)</f>
        <v>1229573</v>
      </c>
    </row>
    <row r="602">
      <c r="A602" s="2">
        <f>IFERROR(__xludf.DUMMYFUNCTION("""COMPUTED_VALUE"""),42870.64583333333)</f>
        <v>42870.64583</v>
      </c>
      <c r="B602" s="1">
        <f>IFERROR(__xludf.DUMMYFUNCTION("""COMPUTED_VALUE"""),2406.45)</f>
        <v>2406.45</v>
      </c>
      <c r="C602" s="1">
        <f>IFERROR(__xludf.DUMMYFUNCTION("""COMPUTED_VALUE"""),2425.17)</f>
        <v>2425.17</v>
      </c>
      <c r="D602" s="1">
        <f>IFERROR(__xludf.DUMMYFUNCTION("""COMPUTED_VALUE"""),2200.45)</f>
        <v>2200.45</v>
      </c>
      <c r="E602" s="1">
        <f>IFERROR(__xludf.DUMMYFUNCTION("""COMPUTED_VALUE"""),2308.13)</f>
        <v>2308.13</v>
      </c>
      <c r="F602" s="1">
        <f>IFERROR(__xludf.DUMMYFUNCTION("""COMPUTED_VALUE"""),1308044.0)</f>
        <v>1308044</v>
      </c>
    </row>
    <row r="603">
      <c r="A603" s="2">
        <f>IFERROR(__xludf.DUMMYFUNCTION("""COMPUTED_VALUE"""),42871.64583333333)</f>
        <v>42871.64583</v>
      </c>
      <c r="B603" s="1">
        <f>IFERROR(__xludf.DUMMYFUNCTION("""COMPUTED_VALUE"""),2251.95)</f>
        <v>2251.95</v>
      </c>
      <c r="C603" s="1">
        <f>IFERROR(__xludf.DUMMYFUNCTION("""COMPUTED_VALUE"""),2270.68)</f>
        <v>2270.68</v>
      </c>
      <c r="D603" s="1">
        <f>IFERROR(__xludf.DUMMYFUNCTION("""COMPUTED_VALUE"""),2195.77)</f>
        <v>2195.77</v>
      </c>
      <c r="E603" s="1">
        <f>IFERROR(__xludf.DUMMYFUNCTION("""COMPUTED_VALUE"""),2228.54)</f>
        <v>2228.54</v>
      </c>
      <c r="F603" s="1">
        <f>IFERROR(__xludf.DUMMYFUNCTION("""COMPUTED_VALUE"""),857573.0)</f>
        <v>857573</v>
      </c>
    </row>
    <row r="604">
      <c r="A604" s="2">
        <f>IFERROR(__xludf.DUMMYFUNCTION("""COMPUTED_VALUE"""),42872.64583333333)</f>
        <v>42872.64583</v>
      </c>
      <c r="B604" s="1">
        <f>IFERROR(__xludf.DUMMYFUNCTION("""COMPUTED_VALUE"""),2228.54)</f>
        <v>2228.54</v>
      </c>
      <c r="C604" s="1">
        <f>IFERROR(__xludf.DUMMYFUNCTION("""COMPUTED_VALUE"""),2237.9)</f>
        <v>2237.9</v>
      </c>
      <c r="D604" s="1">
        <f>IFERROR(__xludf.DUMMYFUNCTION("""COMPUTED_VALUE"""),2153.63)</f>
        <v>2153.63</v>
      </c>
      <c r="E604" s="1">
        <f>IFERROR(__xludf.DUMMYFUNCTION("""COMPUTED_VALUE"""),2195.77)</f>
        <v>2195.77</v>
      </c>
      <c r="F604" s="1">
        <f>IFERROR(__xludf.DUMMYFUNCTION("""COMPUTED_VALUE"""),475271.0)</f>
        <v>475271</v>
      </c>
    </row>
    <row r="605">
      <c r="A605" s="2">
        <f>IFERROR(__xludf.DUMMYFUNCTION("""COMPUTED_VALUE"""),42873.64583333333)</f>
        <v>42873.64583</v>
      </c>
      <c r="B605" s="1">
        <f>IFERROR(__xludf.DUMMYFUNCTION("""COMPUTED_VALUE"""),2148.95)</f>
        <v>2148.95</v>
      </c>
      <c r="C605" s="1">
        <f>IFERROR(__xludf.DUMMYFUNCTION("""COMPUTED_VALUE"""),2158.31)</f>
        <v>2158.31</v>
      </c>
      <c r="D605" s="1">
        <f>IFERROR(__xludf.DUMMYFUNCTION("""COMPUTED_VALUE"""),2074.04)</f>
        <v>2074.04</v>
      </c>
      <c r="E605" s="1">
        <f>IFERROR(__xludf.DUMMYFUNCTION("""COMPUTED_VALUE"""),2111.49)</f>
        <v>2111.49</v>
      </c>
      <c r="F605" s="1">
        <f>IFERROR(__xludf.DUMMYFUNCTION("""COMPUTED_VALUE"""),785092.0)</f>
        <v>785092</v>
      </c>
    </row>
    <row r="606">
      <c r="A606" s="2">
        <f>IFERROR(__xludf.DUMMYFUNCTION("""COMPUTED_VALUE"""),42874.64583333333)</f>
        <v>42874.64583</v>
      </c>
      <c r="B606" s="1">
        <f>IFERROR(__xludf.DUMMYFUNCTION("""COMPUTED_VALUE"""),2125.54)</f>
        <v>2125.54</v>
      </c>
      <c r="C606" s="1">
        <f>IFERROR(__xludf.DUMMYFUNCTION("""COMPUTED_VALUE"""),2134.9)</f>
        <v>2134.9</v>
      </c>
      <c r="D606" s="1">
        <f>IFERROR(__xludf.DUMMYFUNCTION("""COMPUTED_VALUE"""),2022.54)</f>
        <v>2022.54</v>
      </c>
      <c r="E606" s="1">
        <f>IFERROR(__xludf.DUMMYFUNCTION("""COMPUTED_VALUE"""),2069.36)</f>
        <v>2069.36</v>
      </c>
      <c r="F606" s="1">
        <f>IFERROR(__xludf.DUMMYFUNCTION("""COMPUTED_VALUE"""),560607.0)</f>
        <v>560607</v>
      </c>
    </row>
    <row r="607">
      <c r="A607" s="2">
        <f>IFERROR(__xludf.DUMMYFUNCTION("""COMPUTED_VALUE"""),42877.64583333333)</f>
        <v>42877.64583</v>
      </c>
      <c r="B607" s="1">
        <f>IFERROR(__xludf.DUMMYFUNCTION("""COMPUTED_VALUE"""),2069.36)</f>
        <v>2069.36</v>
      </c>
      <c r="C607" s="1">
        <f>IFERROR(__xludf.DUMMYFUNCTION("""COMPUTED_VALUE"""),2228.54)</f>
        <v>2228.54</v>
      </c>
      <c r="D607" s="1">
        <f>IFERROR(__xludf.DUMMYFUNCTION("""COMPUTED_VALUE"""),2055.31)</f>
        <v>2055.31</v>
      </c>
      <c r="E607" s="1">
        <f>IFERROR(__xludf.DUMMYFUNCTION("""COMPUTED_VALUE"""),2102.13)</f>
        <v>2102.13</v>
      </c>
      <c r="F607" s="1">
        <f>IFERROR(__xludf.DUMMYFUNCTION("""COMPUTED_VALUE"""),1126049.0)</f>
        <v>1126049</v>
      </c>
    </row>
    <row r="608">
      <c r="A608" s="2">
        <f>IFERROR(__xludf.DUMMYFUNCTION("""COMPUTED_VALUE"""),42878.64583333333)</f>
        <v>42878.64583</v>
      </c>
      <c r="B608" s="1">
        <f>IFERROR(__xludf.DUMMYFUNCTION("""COMPUTED_VALUE"""),2102.13)</f>
        <v>2102.13</v>
      </c>
      <c r="C608" s="1">
        <f>IFERROR(__xludf.DUMMYFUNCTION("""COMPUTED_VALUE"""),2144.27)</f>
        <v>2144.27</v>
      </c>
      <c r="D608" s="1">
        <f>IFERROR(__xludf.DUMMYFUNCTION("""COMPUTED_VALUE"""),2069.36)</f>
        <v>2069.36</v>
      </c>
      <c r="E608" s="1">
        <f>IFERROR(__xludf.DUMMYFUNCTION("""COMPUTED_VALUE"""),2125.54)</f>
        <v>2125.54</v>
      </c>
      <c r="F608" s="1">
        <f>IFERROR(__xludf.DUMMYFUNCTION("""COMPUTED_VALUE"""),268040.0)</f>
        <v>268040</v>
      </c>
    </row>
    <row r="609">
      <c r="A609" s="2">
        <f>IFERROR(__xludf.DUMMYFUNCTION("""COMPUTED_VALUE"""),42879.64583333333)</f>
        <v>42879.64583</v>
      </c>
      <c r="B609" s="1">
        <f>IFERROR(__xludf.DUMMYFUNCTION("""COMPUTED_VALUE"""),2144.27)</f>
        <v>2144.27</v>
      </c>
      <c r="C609" s="1">
        <f>IFERROR(__xludf.DUMMYFUNCTION("""COMPUTED_VALUE"""),2144.27)</f>
        <v>2144.27</v>
      </c>
      <c r="D609" s="1">
        <f>IFERROR(__xludf.DUMMYFUNCTION("""COMPUTED_VALUE"""),1975.72)</f>
        <v>1975.72</v>
      </c>
      <c r="E609" s="1">
        <f>IFERROR(__xludf.DUMMYFUNCTION("""COMPUTED_VALUE"""),2036.58)</f>
        <v>2036.58</v>
      </c>
      <c r="F609" s="1">
        <f>IFERROR(__xludf.DUMMYFUNCTION("""COMPUTED_VALUE"""),532878.0)</f>
        <v>532878</v>
      </c>
    </row>
    <row r="610">
      <c r="A610" s="2">
        <f>IFERROR(__xludf.DUMMYFUNCTION("""COMPUTED_VALUE"""),42880.64583333333)</f>
        <v>42880.64583</v>
      </c>
      <c r="B610" s="1">
        <f>IFERROR(__xludf.DUMMYFUNCTION("""COMPUTED_VALUE"""),2055.31)</f>
        <v>2055.31</v>
      </c>
      <c r="C610" s="1">
        <f>IFERROR(__xludf.DUMMYFUNCTION("""COMPUTED_VALUE"""),2088.08)</f>
        <v>2088.08</v>
      </c>
      <c r="D610" s="1">
        <f>IFERROR(__xludf.DUMMYFUNCTION("""COMPUTED_VALUE"""),2022.54)</f>
        <v>2022.54</v>
      </c>
      <c r="E610" s="1">
        <f>IFERROR(__xludf.DUMMYFUNCTION("""COMPUTED_VALUE"""),2050.63)</f>
        <v>2050.63</v>
      </c>
      <c r="F610" s="1">
        <f>IFERROR(__xludf.DUMMYFUNCTION("""COMPUTED_VALUE"""),266341.0)</f>
        <v>266341</v>
      </c>
    </row>
    <row r="611">
      <c r="A611" s="2">
        <f>IFERROR(__xludf.DUMMYFUNCTION("""COMPUTED_VALUE"""),42881.64583333333)</f>
        <v>42881.64583</v>
      </c>
      <c r="B611" s="1">
        <f>IFERROR(__xludf.DUMMYFUNCTION("""COMPUTED_VALUE"""),2031.9)</f>
        <v>2031.9</v>
      </c>
      <c r="C611" s="1">
        <f>IFERROR(__xludf.DUMMYFUNCTION("""COMPUTED_VALUE"""),2116.18)</f>
        <v>2116.18</v>
      </c>
      <c r="D611" s="1">
        <f>IFERROR(__xludf.DUMMYFUNCTION("""COMPUTED_VALUE"""),2031.9)</f>
        <v>2031.9</v>
      </c>
      <c r="E611" s="1">
        <f>IFERROR(__xludf.DUMMYFUNCTION("""COMPUTED_VALUE"""),2111.49)</f>
        <v>2111.49</v>
      </c>
      <c r="F611" s="1">
        <f>IFERROR(__xludf.DUMMYFUNCTION("""COMPUTED_VALUE"""),219187.0)</f>
        <v>219187</v>
      </c>
    </row>
    <row r="612">
      <c r="A612" s="2">
        <f>IFERROR(__xludf.DUMMYFUNCTION("""COMPUTED_VALUE"""),42884.64583333333)</f>
        <v>42884.64583</v>
      </c>
      <c r="B612" s="1">
        <f>IFERROR(__xludf.DUMMYFUNCTION("""COMPUTED_VALUE"""),2111.49)</f>
        <v>2111.49</v>
      </c>
      <c r="C612" s="1">
        <f>IFERROR(__xludf.DUMMYFUNCTION("""COMPUTED_VALUE"""),2172.36)</f>
        <v>2172.36</v>
      </c>
      <c r="D612" s="1">
        <f>IFERROR(__xludf.DUMMYFUNCTION("""COMPUTED_VALUE"""),2041.27)</f>
        <v>2041.27</v>
      </c>
      <c r="E612" s="1">
        <f>IFERROR(__xludf.DUMMYFUNCTION("""COMPUTED_VALUE"""),2148.95)</f>
        <v>2148.95</v>
      </c>
      <c r="F612" s="1">
        <f>IFERROR(__xludf.DUMMYFUNCTION("""COMPUTED_VALUE"""),292430.0)</f>
        <v>292430</v>
      </c>
    </row>
    <row r="613">
      <c r="A613" s="2">
        <f>IFERROR(__xludf.DUMMYFUNCTION("""COMPUTED_VALUE"""),42885.64583333333)</f>
        <v>42885.64583</v>
      </c>
      <c r="B613" s="1">
        <f>IFERROR(__xludf.DUMMYFUNCTION("""COMPUTED_VALUE"""),2125.54)</f>
        <v>2125.54</v>
      </c>
      <c r="C613" s="1">
        <f>IFERROR(__xludf.DUMMYFUNCTION("""COMPUTED_VALUE"""),2177.04)</f>
        <v>2177.04</v>
      </c>
      <c r="D613" s="1">
        <f>IFERROR(__xludf.DUMMYFUNCTION("""COMPUTED_VALUE"""),2102.13)</f>
        <v>2102.13</v>
      </c>
      <c r="E613" s="1">
        <f>IFERROR(__xludf.DUMMYFUNCTION("""COMPUTED_VALUE"""),2130.22)</f>
        <v>2130.22</v>
      </c>
      <c r="F613" s="1">
        <f>IFERROR(__xludf.DUMMYFUNCTION("""COMPUTED_VALUE"""),313826.0)</f>
        <v>313826</v>
      </c>
    </row>
    <row r="614">
      <c r="A614" s="2">
        <f>IFERROR(__xludf.DUMMYFUNCTION("""COMPUTED_VALUE"""),42886.64583333333)</f>
        <v>42886.64583</v>
      </c>
      <c r="B614" s="1">
        <f>IFERROR(__xludf.DUMMYFUNCTION("""COMPUTED_VALUE"""),2139.58)</f>
        <v>2139.58</v>
      </c>
      <c r="C614" s="1">
        <f>IFERROR(__xludf.DUMMYFUNCTION("""COMPUTED_VALUE"""),2139.58)</f>
        <v>2139.58</v>
      </c>
      <c r="D614" s="1">
        <f>IFERROR(__xludf.DUMMYFUNCTION("""COMPUTED_VALUE"""),2078.72)</f>
        <v>2078.72</v>
      </c>
      <c r="E614" s="1">
        <f>IFERROR(__xludf.DUMMYFUNCTION("""COMPUTED_VALUE"""),2078.72)</f>
        <v>2078.72</v>
      </c>
      <c r="F614" s="1">
        <f>IFERROR(__xludf.DUMMYFUNCTION("""COMPUTED_VALUE"""),224188.0)</f>
        <v>224188</v>
      </c>
    </row>
    <row r="615">
      <c r="A615" s="2">
        <f>IFERROR(__xludf.DUMMYFUNCTION("""COMPUTED_VALUE"""),42887.64583333333)</f>
        <v>42887.64583</v>
      </c>
      <c r="B615" s="1">
        <f>IFERROR(__xludf.DUMMYFUNCTION("""COMPUTED_VALUE"""),2074.04)</f>
        <v>2074.04</v>
      </c>
      <c r="C615" s="1">
        <f>IFERROR(__xludf.DUMMYFUNCTION("""COMPUTED_VALUE"""),2106.81)</f>
        <v>2106.81</v>
      </c>
      <c r="D615" s="1">
        <f>IFERROR(__xludf.DUMMYFUNCTION("""COMPUTED_VALUE"""),2003.81)</f>
        <v>2003.81</v>
      </c>
      <c r="E615" s="1">
        <f>IFERROR(__xludf.DUMMYFUNCTION("""COMPUTED_VALUE"""),2041.27)</f>
        <v>2041.27</v>
      </c>
      <c r="F615" s="1">
        <f>IFERROR(__xludf.DUMMYFUNCTION("""COMPUTED_VALUE"""),226267.0)</f>
        <v>226267</v>
      </c>
    </row>
    <row r="616">
      <c r="A616" s="2">
        <f>IFERROR(__xludf.DUMMYFUNCTION("""COMPUTED_VALUE"""),42888.64583333333)</f>
        <v>42888.64583</v>
      </c>
      <c r="B616" s="1">
        <f>IFERROR(__xludf.DUMMYFUNCTION("""COMPUTED_VALUE"""),2055.31)</f>
        <v>2055.31</v>
      </c>
      <c r="C616" s="1">
        <f>IFERROR(__xludf.DUMMYFUNCTION("""COMPUTED_VALUE"""),2097.45)</f>
        <v>2097.45</v>
      </c>
      <c r="D616" s="1">
        <f>IFERROR(__xludf.DUMMYFUNCTION("""COMPUTED_VALUE"""),1975.72)</f>
        <v>1975.72</v>
      </c>
      <c r="E616" s="1">
        <f>IFERROR(__xludf.DUMMYFUNCTION("""COMPUTED_VALUE"""),2088.08)</f>
        <v>2088.08</v>
      </c>
      <c r="F616" s="1">
        <f>IFERROR(__xludf.DUMMYFUNCTION("""COMPUTED_VALUE"""),270727.0)</f>
        <v>270727</v>
      </c>
    </row>
    <row r="617">
      <c r="A617" s="2">
        <f>IFERROR(__xludf.DUMMYFUNCTION("""COMPUTED_VALUE"""),42891.64583333333)</f>
        <v>42891.64583</v>
      </c>
      <c r="B617" s="1">
        <f>IFERROR(__xludf.DUMMYFUNCTION("""COMPUTED_VALUE"""),2097.45)</f>
        <v>2097.45</v>
      </c>
      <c r="C617" s="1">
        <f>IFERROR(__xludf.DUMMYFUNCTION("""COMPUTED_VALUE"""),2097.45)</f>
        <v>2097.45</v>
      </c>
      <c r="D617" s="1">
        <f>IFERROR(__xludf.DUMMYFUNCTION("""COMPUTED_VALUE"""),2050.63)</f>
        <v>2050.63</v>
      </c>
      <c r="E617" s="1">
        <f>IFERROR(__xludf.DUMMYFUNCTION("""COMPUTED_VALUE"""),2050.63)</f>
        <v>2050.63</v>
      </c>
      <c r="F617" s="1">
        <f>IFERROR(__xludf.DUMMYFUNCTION("""COMPUTED_VALUE"""),111934.0)</f>
        <v>111934</v>
      </c>
    </row>
    <row r="618">
      <c r="A618" s="2">
        <f>IFERROR(__xludf.DUMMYFUNCTION("""COMPUTED_VALUE"""),42893.64583333333)</f>
        <v>42893.64583</v>
      </c>
      <c r="B618" s="1">
        <f>IFERROR(__xludf.DUMMYFUNCTION("""COMPUTED_VALUE"""),2074.04)</f>
        <v>2074.04</v>
      </c>
      <c r="C618" s="1">
        <f>IFERROR(__xludf.DUMMYFUNCTION("""COMPUTED_VALUE"""),2074.04)</f>
        <v>2074.04</v>
      </c>
      <c r="D618" s="1">
        <f>IFERROR(__xludf.DUMMYFUNCTION("""COMPUTED_VALUE"""),2031.9)</f>
        <v>2031.9</v>
      </c>
      <c r="E618" s="1">
        <f>IFERROR(__xludf.DUMMYFUNCTION("""COMPUTED_VALUE"""),2041.27)</f>
        <v>2041.27</v>
      </c>
      <c r="F618" s="1">
        <f>IFERROR(__xludf.DUMMYFUNCTION("""COMPUTED_VALUE"""),138457.0)</f>
        <v>138457</v>
      </c>
    </row>
    <row r="619">
      <c r="A619" s="2">
        <f>IFERROR(__xludf.DUMMYFUNCTION("""COMPUTED_VALUE"""),42894.64583333333)</f>
        <v>42894.64583</v>
      </c>
      <c r="B619" s="1">
        <f>IFERROR(__xludf.DUMMYFUNCTION("""COMPUTED_VALUE"""),2064.68)</f>
        <v>2064.68</v>
      </c>
      <c r="C619" s="1">
        <f>IFERROR(__xludf.DUMMYFUNCTION("""COMPUTED_VALUE"""),2083.4)</f>
        <v>2083.4</v>
      </c>
      <c r="D619" s="1">
        <f>IFERROR(__xludf.DUMMYFUNCTION("""COMPUTED_VALUE"""),2013.18)</f>
        <v>2013.18</v>
      </c>
      <c r="E619" s="1">
        <f>IFERROR(__xludf.DUMMYFUNCTION("""COMPUTED_VALUE"""),2041.27)</f>
        <v>2041.27</v>
      </c>
      <c r="F619" s="1">
        <f>IFERROR(__xludf.DUMMYFUNCTION("""COMPUTED_VALUE"""),168357.0)</f>
        <v>168357</v>
      </c>
    </row>
    <row r="620">
      <c r="A620" s="2">
        <f>IFERROR(__xludf.DUMMYFUNCTION("""COMPUTED_VALUE"""),42895.64583333333)</f>
        <v>42895.64583</v>
      </c>
      <c r="B620" s="1">
        <f>IFERROR(__xludf.DUMMYFUNCTION("""COMPUTED_VALUE"""),2041.27)</f>
        <v>2041.27</v>
      </c>
      <c r="C620" s="1">
        <f>IFERROR(__xludf.DUMMYFUNCTION("""COMPUTED_VALUE"""),2069.36)</f>
        <v>2069.36</v>
      </c>
      <c r="D620" s="1">
        <f>IFERROR(__xludf.DUMMYFUNCTION("""COMPUTED_VALUE"""),1971.04)</f>
        <v>1971.04</v>
      </c>
      <c r="E620" s="1">
        <f>IFERROR(__xludf.DUMMYFUNCTION("""COMPUTED_VALUE"""),2008.49)</f>
        <v>2008.49</v>
      </c>
      <c r="F620" s="1">
        <f>IFERROR(__xludf.DUMMYFUNCTION("""COMPUTED_VALUE"""),267124.0)</f>
        <v>267124</v>
      </c>
    </row>
    <row r="621">
      <c r="A621" s="2">
        <f>IFERROR(__xludf.DUMMYFUNCTION("""COMPUTED_VALUE"""),42898.64583333333)</f>
        <v>42898.64583</v>
      </c>
      <c r="B621" s="1">
        <f>IFERROR(__xludf.DUMMYFUNCTION("""COMPUTED_VALUE"""),2008.49)</f>
        <v>2008.49</v>
      </c>
      <c r="C621" s="1">
        <f>IFERROR(__xludf.DUMMYFUNCTION("""COMPUTED_VALUE"""),2031.9)</f>
        <v>2031.9</v>
      </c>
      <c r="D621" s="1">
        <f>IFERROR(__xludf.DUMMYFUNCTION("""COMPUTED_VALUE"""),1985.09)</f>
        <v>1985.09</v>
      </c>
      <c r="E621" s="1">
        <f>IFERROR(__xludf.DUMMYFUNCTION("""COMPUTED_VALUE"""),1999.13)</f>
        <v>1999.13</v>
      </c>
      <c r="F621" s="1">
        <f>IFERROR(__xludf.DUMMYFUNCTION("""COMPUTED_VALUE"""),106436.0)</f>
        <v>106436</v>
      </c>
    </row>
    <row r="622">
      <c r="A622" s="2">
        <f>IFERROR(__xludf.DUMMYFUNCTION("""COMPUTED_VALUE"""),42899.64583333333)</f>
        <v>42899.64583</v>
      </c>
      <c r="B622" s="1">
        <f>IFERROR(__xludf.DUMMYFUNCTION("""COMPUTED_VALUE"""),1989.77)</f>
        <v>1989.77</v>
      </c>
      <c r="C622" s="1">
        <f>IFERROR(__xludf.DUMMYFUNCTION("""COMPUTED_VALUE"""),2017.86)</f>
        <v>2017.86</v>
      </c>
      <c r="D622" s="1">
        <f>IFERROR(__xludf.DUMMYFUNCTION("""COMPUTED_VALUE"""),1942.95)</f>
        <v>1942.95</v>
      </c>
      <c r="E622" s="1">
        <f>IFERROR(__xludf.DUMMYFUNCTION("""COMPUTED_VALUE"""),1947.63)</f>
        <v>1947.63</v>
      </c>
      <c r="F622" s="1">
        <f>IFERROR(__xludf.DUMMYFUNCTION("""COMPUTED_VALUE"""),278778.0)</f>
        <v>278778</v>
      </c>
    </row>
    <row r="623">
      <c r="A623" s="2">
        <f>IFERROR(__xludf.DUMMYFUNCTION("""COMPUTED_VALUE"""),42900.64583333333)</f>
        <v>42900.64583</v>
      </c>
      <c r="B623" s="1">
        <f>IFERROR(__xludf.DUMMYFUNCTION("""COMPUTED_VALUE"""),1952.31)</f>
        <v>1952.31</v>
      </c>
      <c r="C623" s="1">
        <f>IFERROR(__xludf.DUMMYFUNCTION("""COMPUTED_VALUE"""),2031.9)</f>
        <v>2031.9</v>
      </c>
      <c r="D623" s="1">
        <f>IFERROR(__xludf.DUMMYFUNCTION("""COMPUTED_VALUE"""),1947.63)</f>
        <v>1947.63</v>
      </c>
      <c r="E623" s="1">
        <f>IFERROR(__xludf.DUMMYFUNCTION("""COMPUTED_VALUE"""),2013.18)</f>
        <v>2013.18</v>
      </c>
      <c r="F623" s="1">
        <f>IFERROR(__xludf.DUMMYFUNCTION("""COMPUTED_VALUE"""),219516.0)</f>
        <v>219516</v>
      </c>
    </row>
    <row r="624">
      <c r="A624" s="2">
        <f>IFERROR(__xludf.DUMMYFUNCTION("""COMPUTED_VALUE"""),42901.64583333333)</f>
        <v>42901.64583</v>
      </c>
      <c r="B624" s="1">
        <f>IFERROR(__xludf.DUMMYFUNCTION("""COMPUTED_VALUE"""),2200.45)</f>
        <v>2200.45</v>
      </c>
      <c r="C624" s="1">
        <f>IFERROR(__xludf.DUMMYFUNCTION("""COMPUTED_VALUE"""),2331.54)</f>
        <v>2331.54</v>
      </c>
      <c r="D624" s="1">
        <f>IFERROR(__xludf.DUMMYFUNCTION("""COMPUTED_VALUE"""),1947.63)</f>
        <v>1947.63</v>
      </c>
      <c r="E624" s="1">
        <f>IFERROR(__xludf.DUMMYFUNCTION("""COMPUTED_VALUE"""),1947.63)</f>
        <v>1947.63</v>
      </c>
      <c r="F624" s="1">
        <f>IFERROR(__xludf.DUMMYFUNCTION("""COMPUTED_VALUE"""),2816553.0)</f>
        <v>2816553</v>
      </c>
    </row>
    <row r="625">
      <c r="A625" s="2">
        <f>IFERROR(__xludf.DUMMYFUNCTION("""COMPUTED_VALUE"""),42902.64583333333)</f>
        <v>42902.64583</v>
      </c>
      <c r="B625" s="1">
        <f>IFERROR(__xludf.DUMMYFUNCTION("""COMPUTED_VALUE"""),1947.63)</f>
        <v>1947.63</v>
      </c>
      <c r="C625" s="1">
        <f>IFERROR(__xludf.DUMMYFUNCTION("""COMPUTED_VALUE"""),1956.99)</f>
        <v>1956.99</v>
      </c>
      <c r="D625" s="1">
        <f>IFERROR(__xludf.DUMMYFUNCTION("""COMPUTED_VALUE"""),1868.04)</f>
        <v>1868.04</v>
      </c>
      <c r="E625" s="1">
        <f>IFERROR(__xludf.DUMMYFUNCTION("""COMPUTED_VALUE"""),1882.09)</f>
        <v>1882.09</v>
      </c>
      <c r="F625" s="1">
        <f>IFERROR(__xludf.DUMMYFUNCTION("""COMPUTED_VALUE"""),449662.0)</f>
        <v>449662</v>
      </c>
    </row>
    <row r="626">
      <c r="A626" s="2">
        <f>IFERROR(__xludf.DUMMYFUNCTION("""COMPUTED_VALUE"""),42905.64583333333)</f>
        <v>42905.64583</v>
      </c>
      <c r="B626" s="1">
        <f>IFERROR(__xludf.DUMMYFUNCTION("""COMPUTED_VALUE"""),1947.63)</f>
        <v>1947.63</v>
      </c>
      <c r="C626" s="1">
        <f>IFERROR(__xludf.DUMMYFUNCTION("""COMPUTED_VALUE"""),1966.36)</f>
        <v>1966.36</v>
      </c>
      <c r="D626" s="1">
        <f>IFERROR(__xludf.DUMMYFUNCTION("""COMPUTED_VALUE"""),1825.9)</f>
        <v>1825.9</v>
      </c>
      <c r="E626" s="1">
        <f>IFERROR(__xludf.DUMMYFUNCTION("""COMPUTED_VALUE"""),1830.59)</f>
        <v>1830.59</v>
      </c>
      <c r="F626" s="1">
        <f>IFERROR(__xludf.DUMMYFUNCTION("""COMPUTED_VALUE"""),418717.0)</f>
        <v>418717</v>
      </c>
    </row>
    <row r="627">
      <c r="A627" s="2">
        <f>IFERROR(__xludf.DUMMYFUNCTION("""COMPUTED_VALUE"""),42906.64583333333)</f>
        <v>42906.64583</v>
      </c>
      <c r="B627" s="1">
        <f>IFERROR(__xludf.DUMMYFUNCTION("""COMPUTED_VALUE"""),1811.86)</f>
        <v>1811.86</v>
      </c>
      <c r="C627" s="1">
        <f>IFERROR(__xludf.DUMMYFUNCTION("""COMPUTED_VALUE"""),1835.27)</f>
        <v>1835.27</v>
      </c>
      <c r="D627" s="1">
        <f>IFERROR(__xludf.DUMMYFUNCTION("""COMPUTED_VALUE"""),1755.68)</f>
        <v>1755.68</v>
      </c>
      <c r="E627" s="1">
        <f>IFERROR(__xludf.DUMMYFUNCTION("""COMPUTED_VALUE"""),1774.4)</f>
        <v>1774.4</v>
      </c>
      <c r="F627" s="1">
        <f>IFERROR(__xludf.DUMMYFUNCTION("""COMPUTED_VALUE"""),333413.0)</f>
        <v>333413</v>
      </c>
    </row>
    <row r="628">
      <c r="A628" s="2">
        <f>IFERROR(__xludf.DUMMYFUNCTION("""COMPUTED_VALUE"""),42907.64583333333)</f>
        <v>42907.64583</v>
      </c>
      <c r="B628" s="1">
        <f>IFERROR(__xludf.DUMMYFUNCTION("""COMPUTED_VALUE"""),1769.72)</f>
        <v>1769.72</v>
      </c>
      <c r="C628" s="1">
        <f>IFERROR(__xludf.DUMMYFUNCTION("""COMPUTED_VALUE"""),1793.13)</f>
        <v>1793.13</v>
      </c>
      <c r="D628" s="1">
        <f>IFERROR(__xludf.DUMMYFUNCTION("""COMPUTED_VALUE"""),1732.27)</f>
        <v>1732.27</v>
      </c>
      <c r="E628" s="1">
        <f>IFERROR(__xludf.DUMMYFUNCTION("""COMPUTED_VALUE"""),1755.68)</f>
        <v>1755.68</v>
      </c>
      <c r="F628" s="1">
        <f>IFERROR(__xludf.DUMMYFUNCTION("""COMPUTED_VALUE"""),114458.0)</f>
        <v>114458</v>
      </c>
    </row>
    <row r="629">
      <c r="A629" s="2">
        <f>IFERROR(__xludf.DUMMYFUNCTION("""COMPUTED_VALUE"""),42908.64583333333)</f>
        <v>42908.64583</v>
      </c>
      <c r="B629" s="1">
        <f>IFERROR(__xludf.DUMMYFUNCTION("""COMPUTED_VALUE"""),1807.18)</f>
        <v>1807.18</v>
      </c>
      <c r="C629" s="1">
        <f>IFERROR(__xludf.DUMMYFUNCTION("""COMPUTED_VALUE"""),1807.18)</f>
        <v>1807.18</v>
      </c>
      <c r="D629" s="1">
        <f>IFERROR(__xludf.DUMMYFUNCTION("""COMPUTED_VALUE"""),1727.59)</f>
        <v>1727.59</v>
      </c>
      <c r="E629" s="1">
        <f>IFERROR(__xludf.DUMMYFUNCTION("""COMPUTED_VALUE"""),1750.99)</f>
        <v>1750.99</v>
      </c>
      <c r="F629" s="1">
        <f>IFERROR(__xludf.DUMMYFUNCTION("""COMPUTED_VALUE"""),147038.0)</f>
        <v>147038</v>
      </c>
    </row>
    <row r="630">
      <c r="A630" s="2">
        <f>IFERROR(__xludf.DUMMYFUNCTION("""COMPUTED_VALUE"""),42909.64583333333)</f>
        <v>42909.64583</v>
      </c>
      <c r="B630" s="1">
        <f>IFERROR(__xludf.DUMMYFUNCTION("""COMPUTED_VALUE"""),1727.59)</f>
        <v>1727.59</v>
      </c>
      <c r="C630" s="1">
        <f>IFERROR(__xludf.DUMMYFUNCTION("""COMPUTED_VALUE"""),1779.09)</f>
        <v>1779.09</v>
      </c>
      <c r="D630" s="1">
        <f>IFERROR(__xludf.DUMMYFUNCTION("""COMPUTED_VALUE"""),1704.18)</f>
        <v>1704.18</v>
      </c>
      <c r="E630" s="1">
        <f>IFERROR(__xludf.DUMMYFUNCTION("""COMPUTED_VALUE"""),1755.68)</f>
        <v>1755.68</v>
      </c>
      <c r="F630" s="1">
        <f>IFERROR(__xludf.DUMMYFUNCTION("""COMPUTED_VALUE"""),70667.0)</f>
        <v>70667</v>
      </c>
    </row>
    <row r="631">
      <c r="A631" s="2">
        <f>IFERROR(__xludf.DUMMYFUNCTION("""COMPUTED_VALUE"""),42912.64583333333)</f>
        <v>42912.64583</v>
      </c>
      <c r="B631" s="1">
        <f>IFERROR(__xludf.DUMMYFUNCTION("""COMPUTED_VALUE"""),1755.68)</f>
        <v>1755.68</v>
      </c>
      <c r="C631" s="1">
        <f>IFERROR(__xludf.DUMMYFUNCTION("""COMPUTED_VALUE"""),1928.9)</f>
        <v>1928.9</v>
      </c>
      <c r="D631" s="1">
        <f>IFERROR(__xludf.DUMMYFUNCTION("""COMPUTED_VALUE"""),1755.68)</f>
        <v>1755.68</v>
      </c>
      <c r="E631" s="1">
        <f>IFERROR(__xludf.DUMMYFUNCTION("""COMPUTED_VALUE"""),1765.04)</f>
        <v>1765.04</v>
      </c>
      <c r="F631" s="1">
        <f>IFERROR(__xludf.DUMMYFUNCTION("""COMPUTED_VALUE"""),727739.0)</f>
        <v>727739</v>
      </c>
    </row>
    <row r="632">
      <c r="A632" s="2">
        <f>IFERROR(__xludf.DUMMYFUNCTION("""COMPUTED_VALUE"""),42913.64583333333)</f>
        <v>42913.64583</v>
      </c>
      <c r="B632" s="1">
        <f>IFERROR(__xludf.DUMMYFUNCTION("""COMPUTED_VALUE"""),1769.72)</f>
        <v>1769.72</v>
      </c>
      <c r="C632" s="1">
        <f>IFERROR(__xludf.DUMMYFUNCTION("""COMPUTED_VALUE"""),1853.99)</f>
        <v>1853.99</v>
      </c>
      <c r="D632" s="1">
        <f>IFERROR(__xludf.DUMMYFUNCTION("""COMPUTED_VALUE"""),1769.72)</f>
        <v>1769.72</v>
      </c>
      <c r="E632" s="1">
        <f>IFERROR(__xludf.DUMMYFUNCTION("""COMPUTED_VALUE"""),1783.77)</f>
        <v>1783.77</v>
      </c>
      <c r="F632" s="1">
        <f>IFERROR(__xludf.DUMMYFUNCTION("""COMPUTED_VALUE"""),136349.0)</f>
        <v>136349</v>
      </c>
    </row>
    <row r="633">
      <c r="A633" s="2">
        <f>IFERROR(__xludf.DUMMYFUNCTION("""COMPUTED_VALUE"""),42914.64583333333)</f>
        <v>42914.64583</v>
      </c>
      <c r="B633" s="1">
        <f>IFERROR(__xludf.DUMMYFUNCTION("""COMPUTED_VALUE"""),1839.95)</f>
        <v>1839.95</v>
      </c>
      <c r="C633" s="1">
        <f>IFERROR(__xludf.DUMMYFUNCTION("""COMPUTED_VALUE"""),1966.36)</f>
        <v>1966.36</v>
      </c>
      <c r="D633" s="1">
        <f>IFERROR(__xludf.DUMMYFUNCTION("""COMPUTED_VALUE"""),1788.45)</f>
        <v>1788.45</v>
      </c>
      <c r="E633" s="1">
        <f>IFERROR(__xludf.DUMMYFUNCTION("""COMPUTED_VALUE"""),1853.99)</f>
        <v>1853.99</v>
      </c>
      <c r="F633" s="1">
        <f>IFERROR(__xludf.DUMMYFUNCTION("""COMPUTED_VALUE"""),1352002.0)</f>
        <v>1352002</v>
      </c>
    </row>
    <row r="634">
      <c r="A634" s="2">
        <f>IFERROR(__xludf.DUMMYFUNCTION("""COMPUTED_VALUE"""),42915.64583333333)</f>
        <v>42915.64583</v>
      </c>
      <c r="B634" s="1">
        <f>IFERROR(__xludf.DUMMYFUNCTION("""COMPUTED_VALUE"""),1849.31)</f>
        <v>1849.31</v>
      </c>
      <c r="C634" s="1">
        <f>IFERROR(__xludf.DUMMYFUNCTION("""COMPUTED_VALUE"""),1872.72)</f>
        <v>1872.72</v>
      </c>
      <c r="D634" s="1">
        <f>IFERROR(__xludf.DUMMYFUNCTION("""COMPUTED_VALUE"""),1825.9)</f>
        <v>1825.9</v>
      </c>
      <c r="E634" s="1">
        <f>IFERROR(__xludf.DUMMYFUNCTION("""COMPUTED_VALUE"""),1872.72)</f>
        <v>1872.72</v>
      </c>
      <c r="F634" s="1">
        <f>IFERROR(__xludf.DUMMYFUNCTION("""COMPUTED_VALUE"""),144886.0)</f>
        <v>144886</v>
      </c>
    </row>
    <row r="635">
      <c r="A635" s="2">
        <f>IFERROR(__xludf.DUMMYFUNCTION("""COMPUTED_VALUE"""),42916.64583333333)</f>
        <v>42916.64583</v>
      </c>
      <c r="B635" s="1">
        <f>IFERROR(__xludf.DUMMYFUNCTION("""COMPUTED_VALUE"""),1863.36)</f>
        <v>1863.36</v>
      </c>
      <c r="C635" s="1">
        <f>IFERROR(__xludf.DUMMYFUNCTION("""COMPUTED_VALUE"""),1905.49)</f>
        <v>1905.49</v>
      </c>
      <c r="D635" s="1">
        <f>IFERROR(__xludf.DUMMYFUNCTION("""COMPUTED_VALUE"""),1825.9)</f>
        <v>1825.9</v>
      </c>
      <c r="E635" s="1">
        <f>IFERROR(__xludf.DUMMYFUNCTION("""COMPUTED_VALUE"""),1905.49)</f>
        <v>1905.49</v>
      </c>
      <c r="F635" s="1">
        <f>IFERROR(__xludf.DUMMYFUNCTION("""COMPUTED_VALUE"""),119776.0)</f>
        <v>119776</v>
      </c>
    </row>
    <row r="636">
      <c r="A636" s="2">
        <f>IFERROR(__xludf.DUMMYFUNCTION("""COMPUTED_VALUE"""),42919.64583333333)</f>
        <v>42919.64583</v>
      </c>
      <c r="B636" s="1">
        <f>IFERROR(__xludf.DUMMYFUNCTION("""COMPUTED_VALUE"""),1905.49)</f>
        <v>1905.49</v>
      </c>
      <c r="C636" s="1">
        <f>IFERROR(__xludf.DUMMYFUNCTION("""COMPUTED_VALUE"""),1905.49)</f>
        <v>1905.49</v>
      </c>
      <c r="D636" s="1">
        <f>IFERROR(__xludf.DUMMYFUNCTION("""COMPUTED_VALUE"""),1849.31)</f>
        <v>1849.31</v>
      </c>
      <c r="E636" s="1">
        <f>IFERROR(__xludf.DUMMYFUNCTION("""COMPUTED_VALUE"""),1868.04)</f>
        <v>1868.04</v>
      </c>
      <c r="F636" s="1">
        <f>IFERROR(__xludf.DUMMYFUNCTION("""COMPUTED_VALUE"""),55565.0)</f>
        <v>55565</v>
      </c>
    </row>
    <row r="637">
      <c r="A637" s="2">
        <f>IFERROR(__xludf.DUMMYFUNCTION("""COMPUTED_VALUE"""),42920.64583333333)</f>
        <v>42920.64583</v>
      </c>
      <c r="B637" s="1">
        <f>IFERROR(__xludf.DUMMYFUNCTION("""COMPUTED_VALUE"""),1849.31)</f>
        <v>1849.31</v>
      </c>
      <c r="C637" s="1">
        <f>IFERROR(__xludf.DUMMYFUNCTION("""COMPUTED_VALUE"""),1872.72)</f>
        <v>1872.72</v>
      </c>
      <c r="D637" s="1">
        <f>IFERROR(__xludf.DUMMYFUNCTION("""COMPUTED_VALUE"""),1793.13)</f>
        <v>1793.13</v>
      </c>
      <c r="E637" s="1">
        <f>IFERROR(__xludf.DUMMYFUNCTION("""COMPUTED_VALUE"""),1802.49)</f>
        <v>1802.49</v>
      </c>
      <c r="F637" s="1">
        <f>IFERROR(__xludf.DUMMYFUNCTION("""COMPUTED_VALUE"""),100900.0)</f>
        <v>100900</v>
      </c>
    </row>
    <row r="638">
      <c r="A638" s="2">
        <f>IFERROR(__xludf.DUMMYFUNCTION("""COMPUTED_VALUE"""),42921.64583333333)</f>
        <v>42921.64583</v>
      </c>
      <c r="B638" s="1">
        <f>IFERROR(__xludf.DUMMYFUNCTION("""COMPUTED_VALUE"""),1816.54)</f>
        <v>1816.54</v>
      </c>
      <c r="C638" s="1">
        <f>IFERROR(__xludf.DUMMYFUNCTION("""COMPUTED_VALUE"""),1839.95)</f>
        <v>1839.95</v>
      </c>
      <c r="D638" s="1">
        <f>IFERROR(__xludf.DUMMYFUNCTION("""COMPUTED_VALUE"""),1793.13)</f>
        <v>1793.13</v>
      </c>
      <c r="E638" s="1">
        <f>IFERROR(__xludf.DUMMYFUNCTION("""COMPUTED_VALUE"""),1811.86)</f>
        <v>1811.86</v>
      </c>
      <c r="F638" s="1">
        <f>IFERROR(__xludf.DUMMYFUNCTION("""COMPUTED_VALUE"""),60446.0)</f>
        <v>60446</v>
      </c>
    </row>
    <row r="639">
      <c r="A639" s="2">
        <f>IFERROR(__xludf.DUMMYFUNCTION("""COMPUTED_VALUE"""),42922.64583333333)</f>
        <v>42922.64583</v>
      </c>
      <c r="B639" s="1">
        <f>IFERROR(__xludf.DUMMYFUNCTION("""COMPUTED_VALUE"""),1811.86)</f>
        <v>1811.86</v>
      </c>
      <c r="C639" s="1">
        <f>IFERROR(__xludf.DUMMYFUNCTION("""COMPUTED_VALUE"""),1839.95)</f>
        <v>1839.95</v>
      </c>
      <c r="D639" s="1">
        <f>IFERROR(__xludf.DUMMYFUNCTION("""COMPUTED_VALUE"""),1788.45)</f>
        <v>1788.45</v>
      </c>
      <c r="E639" s="1">
        <f>IFERROR(__xludf.DUMMYFUNCTION("""COMPUTED_VALUE"""),1825.9)</f>
        <v>1825.9</v>
      </c>
      <c r="F639" s="1">
        <f>IFERROR(__xludf.DUMMYFUNCTION("""COMPUTED_VALUE"""),47073.0)</f>
        <v>47073</v>
      </c>
    </row>
    <row r="640">
      <c r="A640" s="2">
        <f>IFERROR(__xludf.DUMMYFUNCTION("""COMPUTED_VALUE"""),42923.64583333333)</f>
        <v>42923.64583</v>
      </c>
      <c r="B640" s="1">
        <f>IFERROR(__xludf.DUMMYFUNCTION("""COMPUTED_VALUE"""),1825.9)</f>
        <v>1825.9</v>
      </c>
      <c r="C640" s="1">
        <f>IFERROR(__xludf.DUMMYFUNCTION("""COMPUTED_VALUE"""),1839.95)</f>
        <v>1839.95</v>
      </c>
      <c r="D640" s="1">
        <f>IFERROR(__xludf.DUMMYFUNCTION("""COMPUTED_VALUE"""),1793.13)</f>
        <v>1793.13</v>
      </c>
      <c r="E640" s="1">
        <f>IFERROR(__xludf.DUMMYFUNCTION("""COMPUTED_VALUE"""),1797.81)</f>
        <v>1797.81</v>
      </c>
      <c r="F640" s="1">
        <f>IFERROR(__xludf.DUMMYFUNCTION("""COMPUTED_VALUE"""),32125.0)</f>
        <v>32125</v>
      </c>
    </row>
    <row r="641">
      <c r="A641" s="2">
        <f>IFERROR(__xludf.DUMMYFUNCTION("""COMPUTED_VALUE"""),42926.64583333333)</f>
        <v>42926.64583</v>
      </c>
      <c r="B641" s="1">
        <f>IFERROR(__xludf.DUMMYFUNCTION("""COMPUTED_VALUE"""),1821.22)</f>
        <v>1821.22</v>
      </c>
      <c r="C641" s="1">
        <f>IFERROR(__xludf.DUMMYFUNCTION("""COMPUTED_VALUE"""),1849.31)</f>
        <v>1849.31</v>
      </c>
      <c r="D641" s="1">
        <f>IFERROR(__xludf.DUMMYFUNCTION("""COMPUTED_VALUE"""),1783.77)</f>
        <v>1783.77</v>
      </c>
      <c r="E641" s="1">
        <f>IFERROR(__xludf.DUMMYFUNCTION("""COMPUTED_VALUE"""),1849.31)</f>
        <v>1849.31</v>
      </c>
      <c r="F641" s="1">
        <f>IFERROR(__xludf.DUMMYFUNCTION("""COMPUTED_VALUE"""),90511.0)</f>
        <v>90511</v>
      </c>
    </row>
    <row r="642">
      <c r="A642" s="2">
        <f>IFERROR(__xludf.DUMMYFUNCTION("""COMPUTED_VALUE"""),42927.64583333333)</f>
        <v>42927.64583</v>
      </c>
      <c r="B642" s="1">
        <f>IFERROR(__xludf.DUMMYFUNCTION("""COMPUTED_VALUE"""),1877.4)</f>
        <v>1877.4</v>
      </c>
      <c r="C642" s="1">
        <f>IFERROR(__xludf.DUMMYFUNCTION("""COMPUTED_VALUE"""),1877.4)</f>
        <v>1877.4</v>
      </c>
      <c r="D642" s="1">
        <f>IFERROR(__xludf.DUMMYFUNCTION("""COMPUTED_VALUE"""),1802.49)</f>
        <v>1802.49</v>
      </c>
      <c r="E642" s="1">
        <f>IFERROR(__xludf.DUMMYFUNCTION("""COMPUTED_VALUE"""),1807.18)</f>
        <v>1807.18</v>
      </c>
      <c r="F642" s="1">
        <f>IFERROR(__xludf.DUMMYFUNCTION("""COMPUTED_VALUE"""),84250.0)</f>
        <v>84250</v>
      </c>
    </row>
    <row r="643">
      <c r="A643" s="2">
        <f>IFERROR(__xludf.DUMMYFUNCTION("""COMPUTED_VALUE"""),42928.64583333333)</f>
        <v>42928.64583</v>
      </c>
      <c r="B643" s="1">
        <f>IFERROR(__xludf.DUMMYFUNCTION("""COMPUTED_VALUE"""),1844.63)</f>
        <v>1844.63</v>
      </c>
      <c r="C643" s="1">
        <f>IFERROR(__xludf.DUMMYFUNCTION("""COMPUTED_VALUE"""),1882.09)</f>
        <v>1882.09</v>
      </c>
      <c r="D643" s="1">
        <f>IFERROR(__xludf.DUMMYFUNCTION("""COMPUTED_VALUE"""),1802.49)</f>
        <v>1802.49</v>
      </c>
      <c r="E643" s="1">
        <f>IFERROR(__xludf.DUMMYFUNCTION("""COMPUTED_VALUE"""),1835.27)</f>
        <v>1835.27</v>
      </c>
      <c r="F643" s="1">
        <f>IFERROR(__xludf.DUMMYFUNCTION("""COMPUTED_VALUE"""),105155.0)</f>
        <v>105155</v>
      </c>
    </row>
    <row r="644">
      <c r="A644" s="2">
        <f>IFERROR(__xludf.DUMMYFUNCTION("""COMPUTED_VALUE"""),42929.64583333333)</f>
        <v>42929.64583</v>
      </c>
      <c r="B644" s="1">
        <f>IFERROR(__xludf.DUMMYFUNCTION("""COMPUTED_VALUE"""),1802.49)</f>
        <v>1802.49</v>
      </c>
      <c r="C644" s="1">
        <f>IFERROR(__xludf.DUMMYFUNCTION("""COMPUTED_VALUE"""),1839.95)</f>
        <v>1839.95</v>
      </c>
      <c r="D644" s="1">
        <f>IFERROR(__xludf.DUMMYFUNCTION("""COMPUTED_VALUE"""),1783.77)</f>
        <v>1783.77</v>
      </c>
      <c r="E644" s="1">
        <f>IFERROR(__xludf.DUMMYFUNCTION("""COMPUTED_VALUE"""),1802.49)</f>
        <v>1802.49</v>
      </c>
      <c r="F644" s="1">
        <f>IFERROR(__xludf.DUMMYFUNCTION("""COMPUTED_VALUE"""),100766.0)</f>
        <v>100766</v>
      </c>
    </row>
    <row r="645">
      <c r="A645" s="2">
        <f>IFERROR(__xludf.DUMMYFUNCTION("""COMPUTED_VALUE"""),42930.64583333333)</f>
        <v>42930.64583</v>
      </c>
      <c r="B645" s="1">
        <f>IFERROR(__xludf.DUMMYFUNCTION("""COMPUTED_VALUE"""),1868.04)</f>
        <v>1868.04</v>
      </c>
      <c r="C645" s="1">
        <f>IFERROR(__xludf.DUMMYFUNCTION("""COMPUTED_VALUE"""),1910.18)</f>
        <v>1910.18</v>
      </c>
      <c r="D645" s="1">
        <f>IFERROR(__xludf.DUMMYFUNCTION("""COMPUTED_VALUE"""),1779.09)</f>
        <v>1779.09</v>
      </c>
      <c r="E645" s="1">
        <f>IFERROR(__xludf.DUMMYFUNCTION("""COMPUTED_VALUE"""),1797.81)</f>
        <v>1797.81</v>
      </c>
      <c r="F645" s="1">
        <f>IFERROR(__xludf.DUMMYFUNCTION("""COMPUTED_VALUE"""),168657.0)</f>
        <v>168657</v>
      </c>
    </row>
    <row r="646">
      <c r="A646" s="2">
        <f>IFERROR(__xludf.DUMMYFUNCTION("""COMPUTED_VALUE"""),42933.64583333333)</f>
        <v>42933.64583</v>
      </c>
      <c r="B646" s="1">
        <f>IFERROR(__xludf.DUMMYFUNCTION("""COMPUTED_VALUE"""),1797.81)</f>
        <v>1797.81</v>
      </c>
      <c r="C646" s="1">
        <f>IFERROR(__xludf.DUMMYFUNCTION("""COMPUTED_VALUE"""),1807.18)</f>
        <v>1807.18</v>
      </c>
      <c r="D646" s="1">
        <f>IFERROR(__xludf.DUMMYFUNCTION("""COMPUTED_VALUE"""),1722.9)</f>
        <v>1722.9</v>
      </c>
      <c r="E646" s="1">
        <f>IFERROR(__xludf.DUMMYFUNCTION("""COMPUTED_VALUE"""),1760.36)</f>
        <v>1760.36</v>
      </c>
      <c r="F646" s="1">
        <f>IFERROR(__xludf.DUMMYFUNCTION("""COMPUTED_VALUE"""),159486.0)</f>
        <v>159486</v>
      </c>
    </row>
    <row r="647">
      <c r="A647" s="2">
        <f>IFERROR(__xludf.DUMMYFUNCTION("""COMPUTED_VALUE"""),42934.64583333333)</f>
        <v>42934.64583</v>
      </c>
      <c r="B647" s="1">
        <f>IFERROR(__xludf.DUMMYFUNCTION("""COMPUTED_VALUE"""),1769.72)</f>
        <v>1769.72</v>
      </c>
      <c r="C647" s="1">
        <f>IFERROR(__xludf.DUMMYFUNCTION("""COMPUTED_VALUE"""),1802.49)</f>
        <v>1802.49</v>
      </c>
      <c r="D647" s="1">
        <f>IFERROR(__xludf.DUMMYFUNCTION("""COMPUTED_VALUE"""),1760.36)</f>
        <v>1760.36</v>
      </c>
      <c r="E647" s="1">
        <f>IFERROR(__xludf.DUMMYFUNCTION("""COMPUTED_VALUE"""),1797.81)</f>
        <v>1797.81</v>
      </c>
      <c r="F647" s="1">
        <f>IFERROR(__xludf.DUMMYFUNCTION("""COMPUTED_VALUE"""),57982.0)</f>
        <v>57982</v>
      </c>
    </row>
    <row r="648">
      <c r="A648" s="2">
        <f>IFERROR(__xludf.DUMMYFUNCTION("""COMPUTED_VALUE"""),42935.64583333333)</f>
        <v>42935.64583</v>
      </c>
      <c r="B648" s="1">
        <f>IFERROR(__xludf.DUMMYFUNCTION("""COMPUTED_VALUE"""),1802.49)</f>
        <v>1802.49</v>
      </c>
      <c r="C648" s="1">
        <f>IFERROR(__xludf.DUMMYFUNCTION("""COMPUTED_VALUE"""),1807.18)</f>
        <v>1807.18</v>
      </c>
      <c r="D648" s="1">
        <f>IFERROR(__xludf.DUMMYFUNCTION("""COMPUTED_VALUE"""),1760.36)</f>
        <v>1760.36</v>
      </c>
      <c r="E648" s="1">
        <f>IFERROR(__xludf.DUMMYFUNCTION("""COMPUTED_VALUE"""),1797.81)</f>
        <v>1797.81</v>
      </c>
      <c r="F648" s="1">
        <f>IFERROR(__xludf.DUMMYFUNCTION("""COMPUTED_VALUE"""),41481.0)</f>
        <v>41481</v>
      </c>
    </row>
    <row r="649">
      <c r="A649" s="2">
        <f>IFERROR(__xludf.DUMMYFUNCTION("""COMPUTED_VALUE"""),42936.64583333333)</f>
        <v>42936.64583</v>
      </c>
      <c r="B649" s="1">
        <f>IFERROR(__xludf.DUMMYFUNCTION("""COMPUTED_VALUE"""),1821.22)</f>
        <v>1821.22</v>
      </c>
      <c r="C649" s="1">
        <f>IFERROR(__xludf.DUMMYFUNCTION("""COMPUTED_VALUE"""),1821.22)</f>
        <v>1821.22</v>
      </c>
      <c r="D649" s="1">
        <f>IFERROR(__xludf.DUMMYFUNCTION("""COMPUTED_VALUE"""),1774.4)</f>
        <v>1774.4</v>
      </c>
      <c r="E649" s="1">
        <f>IFERROR(__xludf.DUMMYFUNCTION("""COMPUTED_VALUE"""),1793.13)</f>
        <v>1793.13</v>
      </c>
      <c r="F649" s="1">
        <f>IFERROR(__xludf.DUMMYFUNCTION("""COMPUTED_VALUE"""),49990.0)</f>
        <v>49990</v>
      </c>
    </row>
    <row r="650">
      <c r="A650" s="2">
        <f>IFERROR(__xludf.DUMMYFUNCTION("""COMPUTED_VALUE"""),42937.64583333333)</f>
        <v>42937.64583</v>
      </c>
      <c r="B650" s="1">
        <f>IFERROR(__xludf.DUMMYFUNCTION("""COMPUTED_VALUE"""),1793.13)</f>
        <v>1793.13</v>
      </c>
      <c r="C650" s="1">
        <f>IFERROR(__xludf.DUMMYFUNCTION("""COMPUTED_VALUE"""),1971.04)</f>
        <v>1971.04</v>
      </c>
      <c r="D650" s="1">
        <f>IFERROR(__xludf.DUMMYFUNCTION("""COMPUTED_VALUE"""),1774.4)</f>
        <v>1774.4</v>
      </c>
      <c r="E650" s="1">
        <f>IFERROR(__xludf.DUMMYFUNCTION("""COMPUTED_VALUE"""),1849.31)</f>
        <v>1849.31</v>
      </c>
      <c r="F650" s="1">
        <f>IFERROR(__xludf.DUMMYFUNCTION("""COMPUTED_VALUE"""),457495.0)</f>
        <v>457495</v>
      </c>
    </row>
    <row r="651">
      <c r="A651" s="2">
        <f>IFERROR(__xludf.DUMMYFUNCTION("""COMPUTED_VALUE"""),42940.64583333333)</f>
        <v>42940.64583</v>
      </c>
      <c r="B651" s="1">
        <f>IFERROR(__xludf.DUMMYFUNCTION("""COMPUTED_VALUE"""),1975.72)</f>
        <v>1975.72</v>
      </c>
      <c r="C651" s="1">
        <f>IFERROR(__xludf.DUMMYFUNCTION("""COMPUTED_VALUE"""),1975.72)</f>
        <v>1975.72</v>
      </c>
      <c r="D651" s="1">
        <f>IFERROR(__xludf.DUMMYFUNCTION("""COMPUTED_VALUE"""),1844.63)</f>
        <v>1844.63</v>
      </c>
      <c r="E651" s="1">
        <f>IFERROR(__xludf.DUMMYFUNCTION("""COMPUTED_VALUE"""),1863.36)</f>
        <v>1863.36</v>
      </c>
      <c r="F651" s="1">
        <f>IFERROR(__xludf.DUMMYFUNCTION("""COMPUTED_VALUE"""),555200.0)</f>
        <v>555200</v>
      </c>
    </row>
    <row r="652">
      <c r="A652" s="2">
        <f>IFERROR(__xludf.DUMMYFUNCTION("""COMPUTED_VALUE"""),42941.64583333333)</f>
        <v>42941.64583</v>
      </c>
      <c r="B652" s="1">
        <f>IFERROR(__xludf.DUMMYFUNCTION("""COMPUTED_VALUE"""),1872.72)</f>
        <v>1872.72</v>
      </c>
      <c r="C652" s="1">
        <f>IFERROR(__xludf.DUMMYFUNCTION("""COMPUTED_VALUE"""),1877.4)</f>
        <v>1877.4</v>
      </c>
      <c r="D652" s="1">
        <f>IFERROR(__xludf.DUMMYFUNCTION("""COMPUTED_VALUE"""),1825.9)</f>
        <v>1825.9</v>
      </c>
      <c r="E652" s="1">
        <f>IFERROR(__xludf.DUMMYFUNCTION("""COMPUTED_VALUE"""),1835.27)</f>
        <v>1835.27</v>
      </c>
      <c r="F652" s="1">
        <f>IFERROR(__xludf.DUMMYFUNCTION("""COMPUTED_VALUE"""),135815.0)</f>
        <v>135815</v>
      </c>
    </row>
    <row r="653">
      <c r="A653" s="2">
        <f>IFERROR(__xludf.DUMMYFUNCTION("""COMPUTED_VALUE"""),42942.64583333333)</f>
        <v>42942.64583</v>
      </c>
      <c r="B653" s="1">
        <f>IFERROR(__xludf.DUMMYFUNCTION("""COMPUTED_VALUE"""),1844.63)</f>
        <v>1844.63</v>
      </c>
      <c r="C653" s="1">
        <f>IFERROR(__xludf.DUMMYFUNCTION("""COMPUTED_VALUE"""),1872.72)</f>
        <v>1872.72</v>
      </c>
      <c r="D653" s="1">
        <f>IFERROR(__xludf.DUMMYFUNCTION("""COMPUTED_VALUE"""),1793.13)</f>
        <v>1793.13</v>
      </c>
      <c r="E653" s="1">
        <f>IFERROR(__xludf.DUMMYFUNCTION("""COMPUTED_VALUE"""),1835.27)</f>
        <v>1835.27</v>
      </c>
      <c r="F653" s="1">
        <f>IFERROR(__xludf.DUMMYFUNCTION("""COMPUTED_VALUE"""),133620.0)</f>
        <v>133620</v>
      </c>
    </row>
    <row r="654">
      <c r="A654" s="2">
        <f>IFERROR(__xludf.DUMMYFUNCTION("""COMPUTED_VALUE"""),42943.64583333333)</f>
        <v>42943.64583</v>
      </c>
      <c r="B654" s="1">
        <f>IFERROR(__xludf.DUMMYFUNCTION("""COMPUTED_VALUE"""),1835.27)</f>
        <v>1835.27</v>
      </c>
      <c r="C654" s="1">
        <f>IFERROR(__xludf.DUMMYFUNCTION("""COMPUTED_VALUE"""),1872.72)</f>
        <v>1872.72</v>
      </c>
      <c r="D654" s="1">
        <f>IFERROR(__xludf.DUMMYFUNCTION("""COMPUTED_VALUE"""),1811.86)</f>
        <v>1811.86</v>
      </c>
      <c r="E654" s="1">
        <f>IFERROR(__xludf.DUMMYFUNCTION("""COMPUTED_VALUE"""),1835.27)</f>
        <v>1835.27</v>
      </c>
      <c r="F654" s="1">
        <f>IFERROR(__xludf.DUMMYFUNCTION("""COMPUTED_VALUE"""),85268.0)</f>
        <v>85268</v>
      </c>
    </row>
    <row r="655">
      <c r="A655" s="2">
        <f>IFERROR(__xludf.DUMMYFUNCTION("""COMPUTED_VALUE"""),42944.64583333333)</f>
        <v>42944.64583</v>
      </c>
      <c r="B655" s="1">
        <f>IFERROR(__xludf.DUMMYFUNCTION("""COMPUTED_VALUE"""),1816.54)</f>
        <v>1816.54</v>
      </c>
      <c r="C655" s="1">
        <f>IFERROR(__xludf.DUMMYFUNCTION("""COMPUTED_VALUE"""),2383.04)</f>
        <v>2383.04</v>
      </c>
      <c r="D655" s="1">
        <f>IFERROR(__xludf.DUMMYFUNCTION("""COMPUTED_VALUE"""),1802.49)</f>
        <v>1802.49</v>
      </c>
      <c r="E655" s="1">
        <f>IFERROR(__xludf.DUMMYFUNCTION("""COMPUTED_VALUE"""),2383.04)</f>
        <v>2383.04</v>
      </c>
      <c r="F655" s="1">
        <f>IFERROR(__xludf.DUMMYFUNCTION("""COMPUTED_VALUE"""),7195686.0)</f>
        <v>7195686</v>
      </c>
    </row>
    <row r="656">
      <c r="A656" s="2">
        <f>IFERROR(__xludf.DUMMYFUNCTION("""COMPUTED_VALUE"""),42947.64583333333)</f>
        <v>42947.64583</v>
      </c>
      <c r="B656" s="1">
        <f>IFERROR(__xludf.DUMMYFUNCTION("""COMPUTED_VALUE"""),2734.17)</f>
        <v>2734.17</v>
      </c>
      <c r="C656" s="1">
        <f>IFERROR(__xludf.DUMMYFUNCTION("""COMPUTED_VALUE"""),3005.72)</f>
        <v>3005.72</v>
      </c>
      <c r="D656" s="1">
        <f>IFERROR(__xludf.DUMMYFUNCTION("""COMPUTED_VALUE"""),2275.36)</f>
        <v>2275.36</v>
      </c>
      <c r="E656" s="1">
        <f>IFERROR(__xludf.DUMMYFUNCTION("""COMPUTED_VALUE"""),2649.9)</f>
        <v>2649.9</v>
      </c>
      <c r="F656" s="1">
        <f>IFERROR(__xludf.DUMMYFUNCTION("""COMPUTED_VALUE"""),3.4470922E7)</f>
        <v>34470922</v>
      </c>
    </row>
    <row r="657">
      <c r="A657" s="2">
        <f>IFERROR(__xludf.DUMMYFUNCTION("""COMPUTED_VALUE"""),42948.64583333333)</f>
        <v>42948.64583</v>
      </c>
      <c r="B657" s="1">
        <f>IFERROR(__xludf.DUMMYFUNCTION("""COMPUTED_VALUE"""),2748.22)</f>
        <v>2748.22</v>
      </c>
      <c r="C657" s="1">
        <f>IFERROR(__xludf.DUMMYFUNCTION("""COMPUTED_VALUE"""),3019.76)</f>
        <v>3019.76</v>
      </c>
      <c r="D657" s="1">
        <f>IFERROR(__xludf.DUMMYFUNCTION("""COMPUTED_VALUE"""),2603.08)</f>
        <v>2603.08</v>
      </c>
      <c r="E657" s="1">
        <f>IFERROR(__xludf.DUMMYFUNCTION("""COMPUTED_VALUE"""),2715.45)</f>
        <v>2715.45</v>
      </c>
      <c r="F657" s="1">
        <f>IFERROR(__xludf.DUMMYFUNCTION("""COMPUTED_VALUE"""),1.7133414E7)</f>
        <v>17133414</v>
      </c>
    </row>
    <row r="658">
      <c r="A658" s="2">
        <f>IFERROR(__xludf.DUMMYFUNCTION("""COMPUTED_VALUE"""),42949.64583333333)</f>
        <v>42949.64583</v>
      </c>
      <c r="B658" s="1">
        <f>IFERROR(__xludf.DUMMYFUNCTION("""COMPUTED_VALUE"""),2635.86)</f>
        <v>2635.86</v>
      </c>
      <c r="C658" s="1">
        <f>IFERROR(__xludf.DUMMYFUNCTION("""COMPUTED_VALUE"""),2659.26)</f>
        <v>2659.26</v>
      </c>
      <c r="D658" s="1">
        <f>IFERROR(__xludf.DUMMYFUNCTION("""COMPUTED_VALUE"""),2373.67)</f>
        <v>2373.67</v>
      </c>
      <c r="E658" s="1">
        <f>IFERROR(__xludf.DUMMYFUNCTION("""COMPUTED_VALUE"""),2457.95)</f>
        <v>2457.95</v>
      </c>
      <c r="F658" s="1">
        <f>IFERROR(__xludf.DUMMYFUNCTION("""COMPUTED_VALUE"""),4852891.0)</f>
        <v>4852891</v>
      </c>
    </row>
    <row r="659">
      <c r="A659" s="2">
        <f>IFERROR(__xludf.DUMMYFUNCTION("""COMPUTED_VALUE"""),42950.64583333333)</f>
        <v>42950.64583</v>
      </c>
      <c r="B659" s="1">
        <f>IFERROR(__xludf.DUMMYFUNCTION("""COMPUTED_VALUE"""),2565.63)</f>
        <v>2565.63</v>
      </c>
      <c r="C659" s="1">
        <f>IFERROR(__xludf.DUMMYFUNCTION("""COMPUTED_VALUE"""),2841.86)</f>
        <v>2841.86</v>
      </c>
      <c r="D659" s="1">
        <f>IFERROR(__xludf.DUMMYFUNCTION("""COMPUTED_VALUE"""),2556.27)</f>
        <v>2556.27</v>
      </c>
      <c r="E659" s="1">
        <f>IFERROR(__xludf.DUMMYFUNCTION("""COMPUTED_VALUE"""),2570.31)</f>
        <v>2570.31</v>
      </c>
      <c r="F659" s="1">
        <f>IFERROR(__xludf.DUMMYFUNCTION("""COMPUTED_VALUE"""),1.854188E7)</f>
        <v>18541880</v>
      </c>
    </row>
    <row r="660">
      <c r="A660" s="2">
        <f>IFERROR(__xludf.DUMMYFUNCTION("""COMPUTED_VALUE"""),42951.64583333333)</f>
        <v>42951.64583</v>
      </c>
      <c r="B660" s="1">
        <f>IFERROR(__xludf.DUMMYFUNCTION("""COMPUTED_VALUE"""),2528.17)</f>
        <v>2528.17</v>
      </c>
      <c r="C660" s="1">
        <f>IFERROR(__xludf.DUMMYFUNCTION("""COMPUTED_VALUE"""),3338.13)</f>
        <v>3338.13</v>
      </c>
      <c r="D660" s="1">
        <f>IFERROR(__xludf.DUMMYFUNCTION("""COMPUTED_VALUE"""),2471.99)</f>
        <v>2471.99</v>
      </c>
      <c r="E660" s="1">
        <f>IFERROR(__xludf.DUMMYFUNCTION("""COMPUTED_VALUE"""),3338.13)</f>
        <v>3338.13</v>
      </c>
      <c r="F660" s="1">
        <f>IFERROR(__xludf.DUMMYFUNCTION("""COMPUTED_VALUE"""),2.4939916E7)</f>
        <v>24939916</v>
      </c>
    </row>
    <row r="661">
      <c r="A661" s="2">
        <f>IFERROR(__xludf.DUMMYFUNCTION("""COMPUTED_VALUE"""),42954.64583333333)</f>
        <v>42954.64583</v>
      </c>
      <c r="B661" s="1">
        <f>IFERROR(__xludf.DUMMYFUNCTION("""COMPUTED_VALUE"""),3408.35)</f>
        <v>3408.35</v>
      </c>
      <c r="C661" s="1">
        <f>IFERROR(__xludf.DUMMYFUNCTION("""COMPUTED_VALUE"""),3408.35)</f>
        <v>3408.35</v>
      </c>
      <c r="D661" s="1">
        <f>IFERROR(__xludf.DUMMYFUNCTION("""COMPUTED_VALUE"""),3146.17)</f>
        <v>3146.17</v>
      </c>
      <c r="E661" s="1">
        <f>IFERROR(__xludf.DUMMYFUNCTION("""COMPUTED_VALUE"""),3221.08)</f>
        <v>3221.08</v>
      </c>
      <c r="F661" s="1">
        <f>IFERROR(__xludf.DUMMYFUNCTION("""COMPUTED_VALUE"""),3316620.0)</f>
        <v>3316620</v>
      </c>
    </row>
    <row r="662">
      <c r="A662" s="2">
        <f>IFERROR(__xludf.DUMMYFUNCTION("""COMPUTED_VALUE"""),42955.64583333333)</f>
        <v>42955.64583</v>
      </c>
      <c r="B662" s="1">
        <f>IFERROR(__xludf.DUMMYFUNCTION("""COMPUTED_VALUE"""),3239.81)</f>
        <v>3239.81</v>
      </c>
      <c r="C662" s="1">
        <f>IFERROR(__xludf.DUMMYFUNCTION("""COMPUTED_VALUE"""),3338.13)</f>
        <v>3338.13</v>
      </c>
      <c r="D662" s="1">
        <f>IFERROR(__xludf.DUMMYFUNCTION("""COMPUTED_VALUE"""),3164.9)</f>
        <v>3164.9</v>
      </c>
      <c r="E662" s="1">
        <f>IFERROR(__xludf.DUMMYFUNCTION("""COMPUTED_VALUE"""),3338.13)</f>
        <v>3338.13</v>
      </c>
      <c r="F662" s="1">
        <f>IFERROR(__xludf.DUMMYFUNCTION("""COMPUTED_VALUE"""),2103540.0)</f>
        <v>2103540</v>
      </c>
    </row>
    <row r="663">
      <c r="A663" s="2">
        <f>IFERROR(__xludf.DUMMYFUNCTION("""COMPUTED_VALUE"""),42956.64583333333)</f>
        <v>42956.64583</v>
      </c>
      <c r="B663" s="1">
        <f>IFERROR(__xludf.DUMMYFUNCTION("""COMPUTED_VALUE"""),3314.72)</f>
        <v>3314.72</v>
      </c>
      <c r="C663" s="1">
        <f>IFERROR(__xludf.DUMMYFUNCTION("""COMPUTED_VALUE"""),3356.85)</f>
        <v>3356.85</v>
      </c>
      <c r="D663" s="1">
        <f>IFERROR(__xludf.DUMMYFUNCTION("""COMPUTED_VALUE"""),3136.81)</f>
        <v>3136.81</v>
      </c>
      <c r="E663" s="1">
        <f>IFERROR(__xludf.DUMMYFUNCTION("""COMPUTED_VALUE"""),3136.81)</f>
        <v>3136.81</v>
      </c>
      <c r="F663" s="1">
        <f>IFERROR(__xludf.DUMMYFUNCTION("""COMPUTED_VALUE"""),2145137.0)</f>
        <v>2145137</v>
      </c>
    </row>
    <row r="664">
      <c r="A664" s="2">
        <f>IFERROR(__xludf.DUMMYFUNCTION("""COMPUTED_VALUE"""),42957.64583333333)</f>
        <v>42957.64583</v>
      </c>
      <c r="B664" s="1">
        <f>IFERROR(__xludf.DUMMYFUNCTION("""COMPUTED_VALUE"""),3089.99)</f>
        <v>3089.99</v>
      </c>
      <c r="C664" s="1">
        <f>IFERROR(__xludf.DUMMYFUNCTION("""COMPUTED_VALUE"""),3923.35)</f>
        <v>3923.35</v>
      </c>
      <c r="D664" s="1">
        <f>IFERROR(__xludf.DUMMYFUNCTION("""COMPUTED_VALUE"""),3066.58)</f>
        <v>3066.58</v>
      </c>
      <c r="E664" s="1">
        <f>IFERROR(__xludf.DUMMYFUNCTION("""COMPUTED_VALUE"""),3754.81)</f>
        <v>3754.81</v>
      </c>
      <c r="F664" s="1">
        <f>IFERROR(__xludf.DUMMYFUNCTION("""COMPUTED_VALUE"""),3.2456932E7)</f>
        <v>32456932</v>
      </c>
    </row>
    <row r="665">
      <c r="A665" s="2">
        <f>IFERROR(__xludf.DUMMYFUNCTION("""COMPUTED_VALUE"""),42958.64583333333)</f>
        <v>42958.64583</v>
      </c>
      <c r="B665" s="1">
        <f>IFERROR(__xludf.DUMMYFUNCTION("""COMPUTED_VALUE"""),3619.03)</f>
        <v>3619.03</v>
      </c>
      <c r="C665" s="1">
        <f>IFERROR(__xludf.DUMMYFUNCTION("""COMPUTED_VALUE"""),3881.22)</f>
        <v>3881.22</v>
      </c>
      <c r="D665" s="1">
        <f>IFERROR(__xludf.DUMMYFUNCTION("""COMPUTED_VALUE"""),3553.49)</f>
        <v>3553.49</v>
      </c>
      <c r="E665" s="1">
        <f>IFERROR(__xludf.DUMMYFUNCTION("""COMPUTED_VALUE"""),3558.17)</f>
        <v>3558.17</v>
      </c>
      <c r="F665" s="1">
        <f>IFERROR(__xludf.DUMMYFUNCTION("""COMPUTED_VALUE"""),7497399.0)</f>
        <v>7497399</v>
      </c>
    </row>
    <row r="666">
      <c r="A666" s="2">
        <f>IFERROR(__xludf.DUMMYFUNCTION("""COMPUTED_VALUE"""),42961.64583333333)</f>
        <v>42961.64583</v>
      </c>
      <c r="B666" s="1">
        <f>IFERROR(__xludf.DUMMYFUNCTION("""COMPUTED_VALUE"""),3689.26)</f>
        <v>3689.26</v>
      </c>
      <c r="C666" s="1">
        <f>IFERROR(__xludf.DUMMYFUNCTION("""COMPUTED_VALUE"""),4049.76)</f>
        <v>4049.76</v>
      </c>
      <c r="D666" s="1">
        <f>IFERROR(__xludf.DUMMYFUNCTION("""COMPUTED_VALUE"""),3637.76)</f>
        <v>3637.76</v>
      </c>
      <c r="E666" s="1">
        <f>IFERROR(__xludf.DUMMYFUNCTION("""COMPUTED_VALUE"""),3726.72)</f>
        <v>3726.72</v>
      </c>
      <c r="F666" s="1">
        <f>IFERROR(__xludf.DUMMYFUNCTION("""COMPUTED_VALUE"""),1.1825874E7)</f>
        <v>11825874</v>
      </c>
    </row>
    <row r="667">
      <c r="A667" s="2">
        <f>IFERROR(__xludf.DUMMYFUNCTION("""COMPUTED_VALUE"""),42963.64583333333)</f>
        <v>42963.64583</v>
      </c>
      <c r="B667" s="1">
        <f>IFERROR(__xludf.DUMMYFUNCTION("""COMPUTED_VALUE"""),3764.17)</f>
        <v>3764.17</v>
      </c>
      <c r="C667" s="1">
        <f>IFERROR(__xludf.DUMMYFUNCTION("""COMPUTED_VALUE"""),3829.72)</f>
        <v>3829.72</v>
      </c>
      <c r="D667" s="1">
        <f>IFERROR(__xludf.DUMMYFUNCTION("""COMPUTED_VALUE"""),3516.04)</f>
        <v>3516.04</v>
      </c>
      <c r="E667" s="1">
        <f>IFERROR(__xludf.DUMMYFUNCTION("""COMPUTED_VALUE"""),3670.53)</f>
        <v>3670.53</v>
      </c>
      <c r="F667" s="1">
        <f>IFERROR(__xludf.DUMMYFUNCTION("""COMPUTED_VALUE"""),3544242.0)</f>
        <v>3544242</v>
      </c>
    </row>
    <row r="668">
      <c r="A668" s="2">
        <f>IFERROR(__xludf.DUMMYFUNCTION("""COMPUTED_VALUE"""),42964.64583333333)</f>
        <v>42964.64583</v>
      </c>
      <c r="B668" s="1">
        <f>IFERROR(__xludf.DUMMYFUNCTION("""COMPUTED_VALUE"""),3679.9)</f>
        <v>3679.9</v>
      </c>
      <c r="C668" s="1">
        <f>IFERROR(__xludf.DUMMYFUNCTION("""COMPUTED_VALUE"""),3956.12)</f>
        <v>3956.12</v>
      </c>
      <c r="D668" s="1">
        <f>IFERROR(__xludf.DUMMYFUNCTION("""COMPUTED_VALUE"""),3604.99)</f>
        <v>3604.99</v>
      </c>
      <c r="E668" s="1">
        <f>IFERROR(__xludf.DUMMYFUNCTION("""COMPUTED_VALUE"""),3651.81)</f>
        <v>3651.81</v>
      </c>
      <c r="F668" s="1">
        <f>IFERROR(__xludf.DUMMYFUNCTION("""COMPUTED_VALUE"""),6892450.0)</f>
        <v>6892450</v>
      </c>
    </row>
    <row r="669">
      <c r="A669" s="2">
        <f>IFERROR(__xludf.DUMMYFUNCTION("""COMPUTED_VALUE"""),42965.64583333333)</f>
        <v>42965.64583</v>
      </c>
      <c r="B669" s="1">
        <f>IFERROR(__xludf.DUMMYFUNCTION("""COMPUTED_VALUE"""),3707.99)</f>
        <v>3707.99</v>
      </c>
      <c r="C669" s="1">
        <f>IFERROR(__xludf.DUMMYFUNCTION("""COMPUTED_VALUE"""),3801.63)</f>
        <v>3801.63</v>
      </c>
      <c r="D669" s="1">
        <f>IFERROR(__xludf.DUMMYFUNCTION("""COMPUTED_VALUE"""),3567.53)</f>
        <v>3567.53</v>
      </c>
      <c r="E669" s="1">
        <f>IFERROR(__xludf.DUMMYFUNCTION("""COMPUTED_VALUE"""),3661.17)</f>
        <v>3661.17</v>
      </c>
      <c r="F669" s="1">
        <f>IFERROR(__xludf.DUMMYFUNCTION("""COMPUTED_VALUE"""),2716879.0)</f>
        <v>2716879</v>
      </c>
    </row>
    <row r="670">
      <c r="A670" s="2">
        <f>IFERROR(__xludf.DUMMYFUNCTION("""COMPUTED_VALUE"""),42968.64583333333)</f>
        <v>42968.64583</v>
      </c>
      <c r="B670" s="1">
        <f>IFERROR(__xludf.DUMMYFUNCTION("""COMPUTED_VALUE"""),3759.49)</f>
        <v>3759.49</v>
      </c>
      <c r="C670" s="1">
        <f>IFERROR(__xludf.DUMMYFUNCTION("""COMPUTED_VALUE"""),4087.22)</f>
        <v>4087.22</v>
      </c>
      <c r="D670" s="1">
        <f>IFERROR(__xludf.DUMMYFUNCTION("""COMPUTED_VALUE"""),3651.81)</f>
        <v>3651.81</v>
      </c>
      <c r="E670" s="1">
        <f>IFERROR(__xludf.DUMMYFUNCTION("""COMPUTED_VALUE"""),3693.94)</f>
        <v>3693.94</v>
      </c>
      <c r="F670" s="1">
        <f>IFERROR(__xludf.DUMMYFUNCTION("""COMPUTED_VALUE"""),8657960.0)</f>
        <v>8657960</v>
      </c>
    </row>
    <row r="671">
      <c r="A671" s="2">
        <f>IFERROR(__xludf.DUMMYFUNCTION("""COMPUTED_VALUE"""),42969.64583333333)</f>
        <v>42969.64583</v>
      </c>
      <c r="B671" s="1">
        <f>IFERROR(__xludf.DUMMYFUNCTION("""COMPUTED_VALUE"""),3726.72)</f>
        <v>3726.72</v>
      </c>
      <c r="C671" s="1">
        <f>IFERROR(__xludf.DUMMYFUNCTION("""COMPUTED_VALUE"""),3778.22)</f>
        <v>3778.22</v>
      </c>
      <c r="D671" s="1">
        <f>IFERROR(__xludf.DUMMYFUNCTION("""COMPUTED_VALUE"""),3356.85)</f>
        <v>3356.85</v>
      </c>
      <c r="E671" s="1">
        <f>IFERROR(__xludf.DUMMYFUNCTION("""COMPUTED_VALUE"""),3417.72)</f>
        <v>3417.72</v>
      </c>
      <c r="F671" s="1">
        <f>IFERROR(__xludf.DUMMYFUNCTION("""COMPUTED_VALUE"""),3527918.0)</f>
        <v>3527918</v>
      </c>
    </row>
    <row r="672">
      <c r="A672" s="2">
        <f>IFERROR(__xludf.DUMMYFUNCTION("""COMPUTED_VALUE"""),42970.64583333333)</f>
        <v>42970.64583</v>
      </c>
      <c r="B672" s="1">
        <f>IFERROR(__xludf.DUMMYFUNCTION("""COMPUTED_VALUE"""),3483.26)</f>
        <v>3483.26</v>
      </c>
      <c r="C672" s="1">
        <f>IFERROR(__xludf.DUMMYFUNCTION("""COMPUTED_VALUE"""),3483.26)</f>
        <v>3483.26</v>
      </c>
      <c r="D672" s="1">
        <f>IFERROR(__xludf.DUMMYFUNCTION("""COMPUTED_VALUE"""),3272.58)</f>
        <v>3272.58</v>
      </c>
      <c r="E672" s="1">
        <f>IFERROR(__xludf.DUMMYFUNCTION("""COMPUTED_VALUE"""),3375.58)</f>
        <v>3375.58</v>
      </c>
      <c r="F672" s="1">
        <f>IFERROR(__xludf.DUMMYFUNCTION("""COMPUTED_VALUE"""),3244869.0)</f>
        <v>3244869</v>
      </c>
    </row>
    <row r="673">
      <c r="A673" s="2">
        <f>IFERROR(__xludf.DUMMYFUNCTION("""COMPUTED_VALUE"""),42971.64583333333)</f>
        <v>42971.64583</v>
      </c>
      <c r="B673" s="1">
        <f>IFERROR(__xludf.DUMMYFUNCTION("""COMPUTED_VALUE"""),3398.99)</f>
        <v>3398.99</v>
      </c>
      <c r="C673" s="1">
        <f>IFERROR(__xludf.DUMMYFUNCTION("""COMPUTED_VALUE"""),3698.63)</f>
        <v>3698.63</v>
      </c>
      <c r="D673" s="1">
        <f>IFERROR(__xludf.DUMMYFUNCTION("""COMPUTED_VALUE"""),3272.58)</f>
        <v>3272.58</v>
      </c>
      <c r="E673" s="1">
        <f>IFERROR(__xludf.DUMMYFUNCTION("""COMPUTED_VALUE"""),3272.58)</f>
        <v>3272.58</v>
      </c>
      <c r="F673" s="1">
        <f>IFERROR(__xludf.DUMMYFUNCTION("""COMPUTED_VALUE"""),8656267.0)</f>
        <v>8656267</v>
      </c>
    </row>
    <row r="674">
      <c r="A674" s="2">
        <f>IFERROR(__xludf.DUMMYFUNCTION("""COMPUTED_VALUE"""),42972.64583333333)</f>
        <v>42972.64583</v>
      </c>
      <c r="B674" s="1">
        <f>IFERROR(__xludf.DUMMYFUNCTION("""COMPUTED_VALUE"""),3300.67)</f>
        <v>3300.67</v>
      </c>
      <c r="C674" s="1">
        <f>IFERROR(__xludf.DUMMYFUNCTION("""COMPUTED_VALUE"""),3478.58)</f>
        <v>3478.58</v>
      </c>
      <c r="D674" s="1">
        <f>IFERROR(__xludf.DUMMYFUNCTION("""COMPUTED_VALUE"""),3099.35)</f>
        <v>3099.35</v>
      </c>
      <c r="E674" s="1">
        <f>IFERROR(__xludf.DUMMYFUNCTION("""COMPUTED_VALUE"""),3230.44)</f>
        <v>3230.44</v>
      </c>
      <c r="F674" s="1">
        <f>IFERROR(__xludf.DUMMYFUNCTION("""COMPUTED_VALUE"""),5063684.0)</f>
        <v>5063684</v>
      </c>
    </row>
    <row r="675">
      <c r="A675" s="2">
        <f>IFERROR(__xludf.DUMMYFUNCTION("""COMPUTED_VALUE"""),42975.64583333333)</f>
        <v>42975.64583</v>
      </c>
      <c r="B675" s="1">
        <f>IFERROR(__xludf.DUMMYFUNCTION("""COMPUTED_VALUE"""),3370.9)</f>
        <v>3370.9</v>
      </c>
      <c r="C675" s="1">
        <f>IFERROR(__xludf.DUMMYFUNCTION("""COMPUTED_VALUE"""),3408.35)</f>
        <v>3408.35</v>
      </c>
      <c r="D675" s="1">
        <f>IFERROR(__xludf.DUMMYFUNCTION("""COMPUTED_VALUE"""),3221.08)</f>
        <v>3221.08</v>
      </c>
      <c r="E675" s="1">
        <f>IFERROR(__xludf.DUMMYFUNCTION("""COMPUTED_VALUE"""),3230.44)</f>
        <v>3230.44</v>
      </c>
      <c r="F675" s="1">
        <f>IFERROR(__xludf.DUMMYFUNCTION("""COMPUTED_VALUE"""),2721854.0)</f>
        <v>2721854</v>
      </c>
    </row>
    <row r="676">
      <c r="A676" s="2">
        <f>IFERROR(__xludf.DUMMYFUNCTION("""COMPUTED_VALUE"""),42976.64583333333)</f>
        <v>42976.64583</v>
      </c>
      <c r="B676" s="1">
        <f>IFERROR(__xludf.DUMMYFUNCTION("""COMPUTED_VALUE"""),3263.22)</f>
        <v>3263.22</v>
      </c>
      <c r="C676" s="1">
        <f>IFERROR(__xludf.DUMMYFUNCTION("""COMPUTED_VALUE"""),3305.35)</f>
        <v>3305.35</v>
      </c>
      <c r="D676" s="1">
        <f>IFERROR(__xludf.DUMMYFUNCTION("""COMPUTED_VALUE"""),3094.67)</f>
        <v>3094.67</v>
      </c>
      <c r="E676" s="1">
        <f>IFERROR(__xludf.DUMMYFUNCTION("""COMPUTED_VALUE"""),3192.99)</f>
        <v>3192.99</v>
      </c>
      <c r="F676" s="1">
        <f>IFERROR(__xludf.DUMMYFUNCTION("""COMPUTED_VALUE"""),2321752.0)</f>
        <v>2321752</v>
      </c>
    </row>
    <row r="677">
      <c r="A677" s="2">
        <f>IFERROR(__xludf.DUMMYFUNCTION("""COMPUTED_VALUE"""),42977.64583333333)</f>
        <v>42977.64583</v>
      </c>
      <c r="B677" s="1">
        <f>IFERROR(__xludf.DUMMYFUNCTION("""COMPUTED_VALUE"""),3347.49)</f>
        <v>3347.49</v>
      </c>
      <c r="C677" s="1">
        <f>IFERROR(__xludf.DUMMYFUNCTION("""COMPUTED_VALUE"""),3361.54)</f>
        <v>3361.54</v>
      </c>
      <c r="D677" s="1">
        <f>IFERROR(__xludf.DUMMYFUNCTION("""COMPUTED_VALUE"""),3108.72)</f>
        <v>3108.72</v>
      </c>
      <c r="E677" s="1">
        <f>IFERROR(__xludf.DUMMYFUNCTION("""COMPUTED_VALUE"""),3127.45)</f>
        <v>3127.45</v>
      </c>
      <c r="F677" s="1">
        <f>IFERROR(__xludf.DUMMYFUNCTION("""COMPUTED_VALUE"""),2999356.0)</f>
        <v>2999356</v>
      </c>
    </row>
    <row r="678">
      <c r="A678" s="2">
        <f>IFERROR(__xludf.DUMMYFUNCTION("""COMPUTED_VALUE"""),42978.64583333333)</f>
        <v>42978.64583</v>
      </c>
      <c r="B678" s="1">
        <f>IFERROR(__xludf.DUMMYFUNCTION("""COMPUTED_VALUE"""),3160.22)</f>
        <v>3160.22</v>
      </c>
      <c r="C678" s="1">
        <f>IFERROR(__xludf.DUMMYFUNCTION("""COMPUTED_VALUE"""),3160.22)</f>
        <v>3160.22</v>
      </c>
      <c r="D678" s="1">
        <f>IFERROR(__xludf.DUMMYFUNCTION("""COMPUTED_VALUE"""),2968.26)</f>
        <v>2968.26</v>
      </c>
      <c r="E678" s="1">
        <f>IFERROR(__xludf.DUMMYFUNCTION("""COMPUTED_VALUE"""),3001.04)</f>
        <v>3001.04</v>
      </c>
      <c r="F678" s="1">
        <f>IFERROR(__xludf.DUMMYFUNCTION("""COMPUTED_VALUE"""),2025119.0)</f>
        <v>2025119</v>
      </c>
    </row>
    <row r="679">
      <c r="A679" s="2">
        <f>IFERROR(__xludf.DUMMYFUNCTION("""COMPUTED_VALUE"""),42979.64583333333)</f>
        <v>42979.64583</v>
      </c>
      <c r="B679" s="1">
        <f>IFERROR(__xludf.DUMMYFUNCTION("""COMPUTED_VALUE"""),3015.08)</f>
        <v>3015.08</v>
      </c>
      <c r="C679" s="1">
        <f>IFERROR(__xludf.DUMMYFUNCTION("""COMPUTED_VALUE"""),3094.67)</f>
        <v>3094.67</v>
      </c>
      <c r="D679" s="1">
        <f>IFERROR(__xludf.DUMMYFUNCTION("""COMPUTED_VALUE"""),2944.85)</f>
        <v>2944.85</v>
      </c>
      <c r="E679" s="1">
        <f>IFERROR(__xludf.DUMMYFUNCTION("""COMPUTED_VALUE"""),3047.85)</f>
        <v>3047.85</v>
      </c>
      <c r="F679" s="1">
        <f>IFERROR(__xludf.DUMMYFUNCTION("""COMPUTED_VALUE"""),2082289.0)</f>
        <v>2082289</v>
      </c>
    </row>
    <row r="680">
      <c r="A680" s="2">
        <f>IFERROR(__xludf.DUMMYFUNCTION("""COMPUTED_VALUE"""),42982.64583333333)</f>
        <v>42982.64583</v>
      </c>
      <c r="B680" s="1">
        <f>IFERROR(__xludf.DUMMYFUNCTION("""COMPUTED_VALUE"""),2912.08)</f>
        <v>2912.08</v>
      </c>
      <c r="C680" s="1">
        <f>IFERROR(__xludf.DUMMYFUNCTION("""COMPUTED_VALUE"""),2972.95)</f>
        <v>2972.95</v>
      </c>
      <c r="D680" s="1">
        <f>IFERROR(__xludf.DUMMYFUNCTION("""COMPUTED_VALUE"""),2865.26)</f>
        <v>2865.26</v>
      </c>
      <c r="E680" s="1">
        <f>IFERROR(__xludf.DUMMYFUNCTION("""COMPUTED_VALUE"""),2865.26)</f>
        <v>2865.26</v>
      </c>
      <c r="F680" s="1">
        <f>IFERROR(__xludf.DUMMYFUNCTION("""COMPUTED_VALUE"""),1230482.0)</f>
        <v>1230482</v>
      </c>
    </row>
    <row r="681">
      <c r="A681" s="2">
        <f>IFERROR(__xludf.DUMMYFUNCTION("""COMPUTED_VALUE"""),42983.64583333333)</f>
        <v>42983.64583</v>
      </c>
      <c r="B681" s="1">
        <f>IFERROR(__xludf.DUMMYFUNCTION("""COMPUTED_VALUE"""),2930.81)</f>
        <v>2930.81</v>
      </c>
      <c r="C681" s="1">
        <f>IFERROR(__xludf.DUMMYFUNCTION("""COMPUTED_VALUE"""),3122.76)</f>
        <v>3122.76</v>
      </c>
      <c r="D681" s="1">
        <f>IFERROR(__xludf.DUMMYFUNCTION("""COMPUTED_VALUE"""),2818.45)</f>
        <v>2818.45</v>
      </c>
      <c r="E681" s="1">
        <f>IFERROR(__xludf.DUMMYFUNCTION("""COMPUTED_VALUE"""),2874.63)</f>
        <v>2874.63</v>
      </c>
      <c r="F681" s="1">
        <f>IFERROR(__xludf.DUMMYFUNCTION("""COMPUTED_VALUE"""),3488858.0)</f>
        <v>3488858</v>
      </c>
    </row>
    <row r="682">
      <c r="A682" s="2">
        <f>IFERROR(__xludf.DUMMYFUNCTION("""COMPUTED_VALUE"""),42984.64583333333)</f>
        <v>42984.64583</v>
      </c>
      <c r="B682" s="1">
        <f>IFERROR(__xludf.DUMMYFUNCTION("""COMPUTED_VALUE"""),2977.63)</f>
        <v>2977.63</v>
      </c>
      <c r="C682" s="1">
        <f>IFERROR(__xludf.DUMMYFUNCTION("""COMPUTED_VALUE"""),3033.81)</f>
        <v>3033.81</v>
      </c>
      <c r="D682" s="1">
        <f>IFERROR(__xludf.DUMMYFUNCTION("""COMPUTED_VALUE"""),2879.31)</f>
        <v>2879.31</v>
      </c>
      <c r="E682" s="1">
        <f>IFERROR(__xludf.DUMMYFUNCTION("""COMPUTED_VALUE"""),2940.17)</f>
        <v>2940.17</v>
      </c>
      <c r="F682" s="1">
        <f>IFERROR(__xludf.DUMMYFUNCTION("""COMPUTED_VALUE"""),2544507.0)</f>
        <v>2544507</v>
      </c>
    </row>
    <row r="683">
      <c r="A683" s="2">
        <f>IFERROR(__xludf.DUMMYFUNCTION("""COMPUTED_VALUE"""),42985.64583333333)</f>
        <v>42985.64583</v>
      </c>
      <c r="B683" s="1">
        <f>IFERROR(__xludf.DUMMYFUNCTION("""COMPUTED_VALUE"""),2940.17)</f>
        <v>2940.17</v>
      </c>
      <c r="C683" s="1">
        <f>IFERROR(__xludf.DUMMYFUNCTION("""COMPUTED_VALUE"""),2949.54)</f>
        <v>2949.54</v>
      </c>
      <c r="D683" s="1">
        <f>IFERROR(__xludf.DUMMYFUNCTION("""COMPUTED_VALUE"""),2827.81)</f>
        <v>2827.81</v>
      </c>
      <c r="E683" s="1">
        <f>IFERROR(__xludf.DUMMYFUNCTION("""COMPUTED_VALUE"""),2846.54)</f>
        <v>2846.54</v>
      </c>
      <c r="F683" s="1">
        <f>IFERROR(__xludf.DUMMYFUNCTION("""COMPUTED_VALUE"""),973994.0)</f>
        <v>973994</v>
      </c>
    </row>
    <row r="684">
      <c r="A684" s="2">
        <f>IFERROR(__xludf.DUMMYFUNCTION("""COMPUTED_VALUE"""),42986.64583333333)</f>
        <v>42986.64583</v>
      </c>
      <c r="B684" s="1">
        <f>IFERROR(__xludf.DUMMYFUNCTION("""COMPUTED_VALUE"""),2846.54)</f>
        <v>2846.54</v>
      </c>
      <c r="C684" s="1">
        <f>IFERROR(__xludf.DUMMYFUNCTION("""COMPUTED_VALUE"""),3010.4)</f>
        <v>3010.4</v>
      </c>
      <c r="D684" s="1">
        <f>IFERROR(__xludf.DUMMYFUNCTION("""COMPUTED_VALUE"""),2823.13)</f>
        <v>2823.13</v>
      </c>
      <c r="E684" s="1">
        <f>IFERROR(__xludf.DUMMYFUNCTION("""COMPUTED_VALUE"""),2865.26)</f>
        <v>2865.26</v>
      </c>
      <c r="F684" s="1">
        <f>IFERROR(__xludf.DUMMYFUNCTION("""COMPUTED_VALUE"""),1983070.0)</f>
        <v>1983070</v>
      </c>
    </row>
    <row r="685">
      <c r="A685" s="2">
        <f>IFERROR(__xludf.DUMMYFUNCTION("""COMPUTED_VALUE"""),42989.64583333333)</f>
        <v>42989.64583</v>
      </c>
      <c r="B685" s="1">
        <f>IFERROR(__xludf.DUMMYFUNCTION("""COMPUTED_VALUE"""),2893.36)</f>
        <v>2893.36</v>
      </c>
      <c r="C685" s="1">
        <f>IFERROR(__xludf.DUMMYFUNCTION("""COMPUTED_VALUE"""),2944.85)</f>
        <v>2944.85</v>
      </c>
      <c r="D685" s="1">
        <f>IFERROR(__xludf.DUMMYFUNCTION("""COMPUTED_VALUE"""),2837.17)</f>
        <v>2837.17</v>
      </c>
      <c r="E685" s="1">
        <f>IFERROR(__xludf.DUMMYFUNCTION("""COMPUTED_VALUE"""),2869.95)</f>
        <v>2869.95</v>
      </c>
      <c r="F685" s="1">
        <f>IFERROR(__xludf.DUMMYFUNCTION("""COMPUTED_VALUE"""),902704.0)</f>
        <v>902704</v>
      </c>
    </row>
    <row r="686">
      <c r="A686" s="2">
        <f>IFERROR(__xludf.DUMMYFUNCTION("""COMPUTED_VALUE"""),42990.64583333333)</f>
        <v>42990.64583</v>
      </c>
      <c r="B686" s="1">
        <f>IFERROR(__xludf.DUMMYFUNCTION("""COMPUTED_VALUE"""),2921.45)</f>
        <v>2921.45</v>
      </c>
      <c r="C686" s="1">
        <f>IFERROR(__xludf.DUMMYFUNCTION("""COMPUTED_VALUE"""),3450.49)</f>
        <v>3450.49</v>
      </c>
      <c r="D686" s="1">
        <f>IFERROR(__xludf.DUMMYFUNCTION("""COMPUTED_VALUE"""),2893.36)</f>
        <v>2893.36</v>
      </c>
      <c r="E686" s="1">
        <f>IFERROR(__xludf.DUMMYFUNCTION("""COMPUTED_VALUE"""),3080.63)</f>
        <v>3080.63</v>
      </c>
      <c r="F686" s="1">
        <f>IFERROR(__xludf.DUMMYFUNCTION("""COMPUTED_VALUE"""),1.9228217E7)</f>
        <v>19228217</v>
      </c>
    </row>
    <row r="687">
      <c r="A687" s="2">
        <f>IFERROR(__xludf.DUMMYFUNCTION("""COMPUTED_VALUE"""),42991.64583333333)</f>
        <v>42991.64583</v>
      </c>
      <c r="B687" s="1">
        <f>IFERROR(__xludf.DUMMYFUNCTION("""COMPUTED_VALUE"""),3141.49)</f>
        <v>3141.49</v>
      </c>
      <c r="C687" s="1">
        <f>IFERROR(__xludf.DUMMYFUNCTION("""COMPUTED_VALUE"""),3183.63)</f>
        <v>3183.63</v>
      </c>
      <c r="D687" s="1">
        <f>IFERROR(__xludf.DUMMYFUNCTION("""COMPUTED_VALUE"""),2940.17)</f>
        <v>2940.17</v>
      </c>
      <c r="E687" s="1">
        <f>IFERROR(__xludf.DUMMYFUNCTION("""COMPUTED_VALUE"""),2944.85)</f>
        <v>2944.85</v>
      </c>
      <c r="F687" s="1">
        <f>IFERROR(__xludf.DUMMYFUNCTION("""COMPUTED_VALUE"""),2871539.0)</f>
        <v>2871539</v>
      </c>
    </row>
    <row r="688">
      <c r="A688" s="2">
        <f>IFERROR(__xludf.DUMMYFUNCTION("""COMPUTED_VALUE"""),42992.64583333333)</f>
        <v>42992.64583</v>
      </c>
      <c r="B688" s="1">
        <f>IFERROR(__xludf.DUMMYFUNCTION("""COMPUTED_VALUE"""),2977.63)</f>
        <v>2977.63</v>
      </c>
      <c r="C688" s="1">
        <f>IFERROR(__xludf.DUMMYFUNCTION("""COMPUTED_VALUE"""),3033.81)</f>
        <v>3033.81</v>
      </c>
      <c r="D688" s="1">
        <f>IFERROR(__xludf.DUMMYFUNCTION("""COMPUTED_VALUE"""),2813.76)</f>
        <v>2813.76</v>
      </c>
      <c r="E688" s="1">
        <f>IFERROR(__xludf.DUMMYFUNCTION("""COMPUTED_VALUE"""),2818.45)</f>
        <v>2818.45</v>
      </c>
      <c r="F688" s="1">
        <f>IFERROR(__xludf.DUMMYFUNCTION("""COMPUTED_VALUE"""),2142683.0)</f>
        <v>2142683</v>
      </c>
    </row>
    <row r="689">
      <c r="A689" s="2">
        <f>IFERROR(__xludf.DUMMYFUNCTION("""COMPUTED_VALUE"""),42993.64583333333)</f>
        <v>42993.64583</v>
      </c>
      <c r="B689" s="1">
        <f>IFERROR(__xludf.DUMMYFUNCTION("""COMPUTED_VALUE"""),2776.31)</f>
        <v>2776.31</v>
      </c>
      <c r="C689" s="1">
        <f>IFERROR(__xludf.DUMMYFUNCTION("""COMPUTED_VALUE"""),2846.54)</f>
        <v>2846.54</v>
      </c>
      <c r="D689" s="1">
        <f>IFERROR(__xludf.DUMMYFUNCTION("""COMPUTED_VALUE"""),2701.4)</f>
        <v>2701.4</v>
      </c>
      <c r="E689" s="1">
        <f>IFERROR(__xludf.DUMMYFUNCTION("""COMPUTED_VALUE"""),2720.13)</f>
        <v>2720.13</v>
      </c>
      <c r="F689" s="1">
        <f>IFERROR(__xludf.DUMMYFUNCTION("""COMPUTED_VALUE"""),1441703.0)</f>
        <v>1441703</v>
      </c>
    </row>
    <row r="690">
      <c r="A690" s="2">
        <f>IFERROR(__xludf.DUMMYFUNCTION("""COMPUTED_VALUE"""),42996.64583333333)</f>
        <v>42996.64583</v>
      </c>
      <c r="B690" s="1">
        <f>IFERROR(__xludf.DUMMYFUNCTION("""COMPUTED_VALUE"""),2715.45)</f>
        <v>2715.45</v>
      </c>
      <c r="C690" s="1">
        <f>IFERROR(__xludf.DUMMYFUNCTION("""COMPUTED_VALUE"""),2790.36)</f>
        <v>2790.36</v>
      </c>
      <c r="D690" s="1">
        <f>IFERROR(__xludf.DUMMYFUNCTION("""COMPUTED_VALUE"""),2640.54)</f>
        <v>2640.54</v>
      </c>
      <c r="E690" s="1">
        <f>IFERROR(__xludf.DUMMYFUNCTION("""COMPUTED_VALUE"""),2724.81)</f>
        <v>2724.81</v>
      </c>
      <c r="F690" s="1">
        <f>IFERROR(__xludf.DUMMYFUNCTION("""COMPUTED_VALUE"""),909766.0)</f>
        <v>909766</v>
      </c>
    </row>
    <row r="691">
      <c r="A691" s="2">
        <f>IFERROR(__xludf.DUMMYFUNCTION("""COMPUTED_VALUE"""),42997.64583333333)</f>
        <v>42997.64583</v>
      </c>
      <c r="B691" s="1">
        <f>IFERROR(__xludf.DUMMYFUNCTION("""COMPUTED_VALUE"""),2724.81)</f>
        <v>2724.81</v>
      </c>
      <c r="C691" s="1">
        <f>IFERROR(__xludf.DUMMYFUNCTION("""COMPUTED_VALUE"""),2771.63)</f>
        <v>2771.63</v>
      </c>
      <c r="D691" s="1">
        <f>IFERROR(__xludf.DUMMYFUNCTION("""COMPUTED_VALUE"""),2617.13)</f>
        <v>2617.13</v>
      </c>
      <c r="E691" s="1">
        <f>IFERROR(__xludf.DUMMYFUNCTION("""COMPUTED_VALUE"""),2617.13)</f>
        <v>2617.13</v>
      </c>
      <c r="F691" s="1">
        <f>IFERROR(__xludf.DUMMYFUNCTION("""COMPUTED_VALUE"""),827268.0)</f>
        <v>827268</v>
      </c>
    </row>
    <row r="692">
      <c r="A692" s="2">
        <f>IFERROR(__xludf.DUMMYFUNCTION("""COMPUTED_VALUE"""),42998.64583333333)</f>
        <v>42998.64583</v>
      </c>
      <c r="B692" s="1">
        <f>IFERROR(__xludf.DUMMYFUNCTION("""COMPUTED_VALUE"""),2673.31)</f>
        <v>2673.31</v>
      </c>
      <c r="C692" s="1">
        <f>IFERROR(__xludf.DUMMYFUNCTION("""COMPUTED_VALUE"""),2752.9)</f>
        <v>2752.9</v>
      </c>
      <c r="D692" s="1">
        <f>IFERROR(__xludf.DUMMYFUNCTION("""COMPUTED_VALUE"""),2523.49)</f>
        <v>2523.49</v>
      </c>
      <c r="E692" s="1">
        <f>IFERROR(__xludf.DUMMYFUNCTION("""COMPUTED_VALUE"""),2626.49)</f>
        <v>2626.49</v>
      </c>
      <c r="F692" s="1">
        <f>IFERROR(__xludf.DUMMYFUNCTION("""COMPUTED_VALUE"""),2006939.0)</f>
        <v>2006939</v>
      </c>
    </row>
    <row r="693">
      <c r="A693" s="2">
        <f>IFERROR(__xludf.DUMMYFUNCTION("""COMPUTED_VALUE"""),42999.64583333333)</f>
        <v>42999.64583</v>
      </c>
      <c r="B693" s="1">
        <f>IFERROR(__xludf.DUMMYFUNCTION("""COMPUTED_VALUE"""),2579.67)</f>
        <v>2579.67</v>
      </c>
      <c r="C693" s="1">
        <f>IFERROR(__xludf.DUMMYFUNCTION("""COMPUTED_VALUE"""),2626.49)</f>
        <v>2626.49</v>
      </c>
      <c r="D693" s="1">
        <f>IFERROR(__xludf.DUMMYFUNCTION("""COMPUTED_VALUE"""),2486.04)</f>
        <v>2486.04</v>
      </c>
      <c r="E693" s="1">
        <f>IFERROR(__xludf.DUMMYFUNCTION("""COMPUTED_VALUE"""),2556.27)</f>
        <v>2556.27</v>
      </c>
      <c r="F693" s="1">
        <f>IFERROR(__xludf.DUMMYFUNCTION("""COMPUTED_VALUE"""),890347.0)</f>
        <v>890347</v>
      </c>
    </row>
    <row r="694">
      <c r="A694" s="2">
        <f>IFERROR(__xludf.DUMMYFUNCTION("""COMPUTED_VALUE"""),43000.64583333333)</f>
        <v>43000.64583</v>
      </c>
      <c r="B694" s="1">
        <f>IFERROR(__xludf.DUMMYFUNCTION("""COMPUTED_VALUE"""),2687.36)</f>
        <v>2687.36</v>
      </c>
      <c r="C694" s="1">
        <f>IFERROR(__xludf.DUMMYFUNCTION("""COMPUTED_VALUE"""),2841.86)</f>
        <v>2841.86</v>
      </c>
      <c r="D694" s="1">
        <f>IFERROR(__xludf.DUMMYFUNCTION("""COMPUTED_VALUE"""),2467.31)</f>
        <v>2467.31</v>
      </c>
      <c r="E694" s="1">
        <f>IFERROR(__xludf.DUMMYFUNCTION("""COMPUTED_VALUE"""),2467.31)</f>
        <v>2467.31</v>
      </c>
      <c r="F694" s="1">
        <f>IFERROR(__xludf.DUMMYFUNCTION("""COMPUTED_VALUE"""),2585144.0)</f>
        <v>2585144</v>
      </c>
    </row>
    <row r="695">
      <c r="A695" s="2">
        <f>IFERROR(__xludf.DUMMYFUNCTION("""COMPUTED_VALUE"""),43003.64583333333)</f>
        <v>43003.64583</v>
      </c>
      <c r="B695" s="1">
        <f>IFERROR(__xludf.DUMMYFUNCTION("""COMPUTED_VALUE"""),2462.63)</f>
        <v>2462.63</v>
      </c>
      <c r="C695" s="1">
        <f>IFERROR(__xludf.DUMMYFUNCTION("""COMPUTED_VALUE"""),2780.99)</f>
        <v>2780.99</v>
      </c>
      <c r="D695" s="1">
        <f>IFERROR(__xludf.DUMMYFUNCTION("""COMPUTED_VALUE"""),2387.72)</f>
        <v>2387.72</v>
      </c>
      <c r="E695" s="1">
        <f>IFERROR(__xludf.DUMMYFUNCTION("""COMPUTED_VALUE"""),2509.45)</f>
        <v>2509.45</v>
      </c>
      <c r="F695" s="1">
        <f>IFERROR(__xludf.DUMMYFUNCTION("""COMPUTED_VALUE"""),2365759.0)</f>
        <v>2365759</v>
      </c>
    </row>
    <row r="696">
      <c r="A696" s="2">
        <f>IFERROR(__xludf.DUMMYFUNCTION("""COMPUTED_VALUE"""),43004.64583333333)</f>
        <v>43004.64583</v>
      </c>
      <c r="B696" s="1">
        <f>IFERROR(__xludf.DUMMYFUNCTION("""COMPUTED_VALUE"""),2574.99)</f>
        <v>2574.99</v>
      </c>
      <c r="C696" s="1">
        <f>IFERROR(__xludf.DUMMYFUNCTION("""COMPUTED_VALUE"""),3089.99)</f>
        <v>3089.99</v>
      </c>
      <c r="D696" s="1">
        <f>IFERROR(__xludf.DUMMYFUNCTION("""COMPUTED_VALUE"""),2495.4)</f>
        <v>2495.4</v>
      </c>
      <c r="E696" s="1">
        <f>IFERROR(__xludf.DUMMYFUNCTION("""COMPUTED_VALUE"""),2621.81)</f>
        <v>2621.81</v>
      </c>
      <c r="F696" s="1">
        <f>IFERROR(__xludf.DUMMYFUNCTION("""COMPUTED_VALUE"""),1.101146E7)</f>
        <v>11011460</v>
      </c>
    </row>
    <row r="697">
      <c r="A697" s="2">
        <f>IFERROR(__xludf.DUMMYFUNCTION("""COMPUTED_VALUE"""),43005.64583333333)</f>
        <v>43005.64583</v>
      </c>
      <c r="B697" s="1">
        <f>IFERROR(__xludf.DUMMYFUNCTION("""COMPUTED_VALUE"""),2668.63)</f>
        <v>2668.63</v>
      </c>
      <c r="C697" s="1">
        <f>IFERROR(__xludf.DUMMYFUNCTION("""COMPUTED_VALUE"""),3118.08)</f>
        <v>3118.08</v>
      </c>
      <c r="D697" s="1">
        <f>IFERROR(__xludf.DUMMYFUNCTION("""COMPUTED_VALUE"""),2598.4)</f>
        <v>2598.4</v>
      </c>
      <c r="E697" s="1">
        <f>IFERROR(__xludf.DUMMYFUNCTION("""COMPUTED_VALUE"""),2780.99)</f>
        <v>2780.99</v>
      </c>
      <c r="F697" s="1">
        <f>IFERROR(__xludf.DUMMYFUNCTION("""COMPUTED_VALUE"""),9619548.0)</f>
        <v>9619548</v>
      </c>
    </row>
    <row r="698">
      <c r="A698" s="2">
        <f>IFERROR(__xludf.DUMMYFUNCTION("""COMPUTED_VALUE"""),43006.64583333333)</f>
        <v>43006.64583</v>
      </c>
      <c r="B698" s="1">
        <f>IFERROR(__xludf.DUMMYFUNCTION("""COMPUTED_VALUE"""),2813.76)</f>
        <v>2813.76</v>
      </c>
      <c r="C698" s="1">
        <f>IFERROR(__xludf.DUMMYFUNCTION("""COMPUTED_VALUE"""),3164.9)</f>
        <v>3164.9</v>
      </c>
      <c r="D698" s="1">
        <f>IFERROR(__xludf.DUMMYFUNCTION("""COMPUTED_VALUE"""),2813.76)</f>
        <v>2813.76</v>
      </c>
      <c r="E698" s="1">
        <f>IFERROR(__xludf.DUMMYFUNCTION("""COMPUTED_VALUE"""),2986.99)</f>
        <v>2986.99</v>
      </c>
      <c r="F698" s="1">
        <f>IFERROR(__xludf.DUMMYFUNCTION("""COMPUTED_VALUE"""),1.0808531E7)</f>
        <v>10808531</v>
      </c>
    </row>
    <row r="699">
      <c r="A699" s="2">
        <f>IFERROR(__xludf.DUMMYFUNCTION("""COMPUTED_VALUE"""),43007.64583333333)</f>
        <v>43007.64583</v>
      </c>
      <c r="B699" s="1">
        <f>IFERROR(__xludf.DUMMYFUNCTION("""COMPUTED_VALUE"""),3052.54)</f>
        <v>3052.54</v>
      </c>
      <c r="C699" s="1">
        <f>IFERROR(__xludf.DUMMYFUNCTION("""COMPUTED_VALUE"""),3155.54)</f>
        <v>3155.54</v>
      </c>
      <c r="D699" s="1">
        <f>IFERROR(__xludf.DUMMYFUNCTION("""COMPUTED_VALUE"""),2879.31)</f>
        <v>2879.31</v>
      </c>
      <c r="E699" s="1">
        <f>IFERROR(__xludf.DUMMYFUNCTION("""COMPUTED_VALUE"""),2898.04)</f>
        <v>2898.04</v>
      </c>
      <c r="F699" s="1">
        <f>IFERROR(__xludf.DUMMYFUNCTION("""COMPUTED_VALUE"""),3147400.0)</f>
        <v>3147400</v>
      </c>
    </row>
    <row r="700">
      <c r="A700" s="2">
        <f>IFERROR(__xludf.DUMMYFUNCTION("""COMPUTED_VALUE"""),43018.64583333333)</f>
        <v>43018.64583</v>
      </c>
      <c r="B700" s="1">
        <f>IFERROR(__xludf.DUMMYFUNCTION("""COMPUTED_VALUE"""),2982.31)</f>
        <v>2982.31</v>
      </c>
      <c r="C700" s="1">
        <f>IFERROR(__xludf.DUMMYFUNCTION("""COMPUTED_VALUE"""),3764.17)</f>
        <v>3764.17</v>
      </c>
      <c r="D700" s="1">
        <f>IFERROR(__xludf.DUMMYFUNCTION("""COMPUTED_VALUE"""),2954.22)</f>
        <v>2954.22</v>
      </c>
      <c r="E700" s="1">
        <f>IFERROR(__xludf.DUMMYFUNCTION("""COMPUTED_VALUE"""),3614.35)</f>
        <v>3614.35</v>
      </c>
      <c r="F700" s="1">
        <f>IFERROR(__xludf.DUMMYFUNCTION("""COMPUTED_VALUE"""),2.0739617E7)</f>
        <v>20739617</v>
      </c>
    </row>
    <row r="701">
      <c r="A701" s="2">
        <f>IFERROR(__xludf.DUMMYFUNCTION("""COMPUTED_VALUE"""),43019.64583333333)</f>
        <v>43019.64583</v>
      </c>
      <c r="B701" s="1">
        <f>IFERROR(__xludf.DUMMYFUNCTION("""COMPUTED_VALUE"""),3722.03)</f>
        <v>3722.03</v>
      </c>
      <c r="C701" s="1">
        <f>IFERROR(__xludf.DUMMYFUNCTION("""COMPUTED_VALUE"""),3829.72)</f>
        <v>3829.72</v>
      </c>
      <c r="D701" s="1">
        <f>IFERROR(__xludf.DUMMYFUNCTION("""COMPUTED_VALUE"""),3539.44)</f>
        <v>3539.44</v>
      </c>
      <c r="E701" s="1">
        <f>IFERROR(__xludf.DUMMYFUNCTION("""COMPUTED_VALUE"""),3623.72)</f>
        <v>3623.72</v>
      </c>
      <c r="F701" s="1">
        <f>IFERROR(__xludf.DUMMYFUNCTION("""COMPUTED_VALUE"""),7637381.0)</f>
        <v>7637381</v>
      </c>
    </row>
    <row r="702">
      <c r="A702" s="2">
        <f>IFERROR(__xludf.DUMMYFUNCTION("""COMPUTED_VALUE"""),43020.64583333333)</f>
        <v>43020.64583</v>
      </c>
      <c r="B702" s="1">
        <f>IFERROR(__xludf.DUMMYFUNCTION("""COMPUTED_VALUE"""),3703.31)</f>
        <v>3703.31</v>
      </c>
      <c r="C702" s="1">
        <f>IFERROR(__xludf.DUMMYFUNCTION("""COMPUTED_VALUE"""),4489.85)</f>
        <v>4489.85</v>
      </c>
      <c r="D702" s="1">
        <f>IFERROR(__xludf.DUMMYFUNCTION("""COMPUTED_VALUE"""),3595.63)</f>
        <v>3595.63</v>
      </c>
      <c r="E702" s="1">
        <f>IFERROR(__xludf.DUMMYFUNCTION("""COMPUTED_VALUE"""),4026.35)</f>
        <v>4026.35</v>
      </c>
      <c r="F702" s="1">
        <f>IFERROR(__xludf.DUMMYFUNCTION("""COMPUTED_VALUE"""),2.3235411E7)</f>
        <v>23235411</v>
      </c>
    </row>
    <row r="703">
      <c r="A703" s="2">
        <f>IFERROR(__xludf.DUMMYFUNCTION("""COMPUTED_VALUE"""),43021.64583333333)</f>
        <v>43021.64583</v>
      </c>
      <c r="B703" s="1">
        <f>IFERROR(__xludf.DUMMYFUNCTION("""COMPUTED_VALUE"""),4021.67)</f>
        <v>4021.67</v>
      </c>
      <c r="C703" s="1">
        <f>IFERROR(__xludf.DUMMYFUNCTION("""COMPUTED_VALUE"""),4386.85)</f>
        <v>4386.85</v>
      </c>
      <c r="D703" s="1">
        <f>IFERROR(__xludf.DUMMYFUNCTION("""COMPUTED_VALUE"""),3909.31)</f>
        <v>3909.31</v>
      </c>
      <c r="E703" s="1">
        <f>IFERROR(__xludf.DUMMYFUNCTION("""COMPUTED_VALUE"""),3913.99)</f>
        <v>3913.99</v>
      </c>
      <c r="F703" s="1">
        <f>IFERROR(__xludf.DUMMYFUNCTION("""COMPUTED_VALUE"""),1.1008066E7)</f>
        <v>11008066</v>
      </c>
    </row>
    <row r="704">
      <c r="A704" s="2">
        <f>IFERROR(__xludf.DUMMYFUNCTION("""COMPUTED_VALUE"""),43024.64583333333)</f>
        <v>43024.64583</v>
      </c>
      <c r="B704" s="1">
        <f>IFERROR(__xludf.DUMMYFUNCTION("""COMPUTED_VALUE"""),3951.44)</f>
        <v>3951.44</v>
      </c>
      <c r="C704" s="1">
        <f>IFERROR(__xludf.DUMMYFUNCTION("""COMPUTED_VALUE"""),4269.81)</f>
        <v>4269.81</v>
      </c>
      <c r="D704" s="1">
        <f>IFERROR(__xludf.DUMMYFUNCTION("""COMPUTED_VALUE"""),3885.9)</f>
        <v>3885.9</v>
      </c>
      <c r="E704" s="1">
        <f>IFERROR(__xludf.DUMMYFUNCTION("""COMPUTED_VALUE"""),3932.72)</f>
        <v>3932.72</v>
      </c>
      <c r="F704" s="1">
        <f>IFERROR(__xludf.DUMMYFUNCTION("""COMPUTED_VALUE"""),5818531.0)</f>
        <v>5818531</v>
      </c>
    </row>
    <row r="705">
      <c r="A705" s="2">
        <f>IFERROR(__xludf.DUMMYFUNCTION("""COMPUTED_VALUE"""),43025.64583333333)</f>
        <v>43025.64583</v>
      </c>
      <c r="B705" s="1">
        <f>IFERROR(__xludf.DUMMYFUNCTION("""COMPUTED_VALUE"""),4012.31)</f>
        <v>4012.31</v>
      </c>
      <c r="C705" s="1">
        <f>IFERROR(__xludf.DUMMYFUNCTION("""COMPUTED_VALUE"""),4063.81)</f>
        <v>4063.81</v>
      </c>
      <c r="D705" s="1">
        <f>IFERROR(__xludf.DUMMYFUNCTION("""COMPUTED_VALUE"""),3637.76)</f>
        <v>3637.76</v>
      </c>
      <c r="E705" s="1">
        <f>IFERROR(__xludf.DUMMYFUNCTION("""COMPUTED_VALUE"""),3689.26)</f>
        <v>3689.26</v>
      </c>
      <c r="F705" s="1">
        <f>IFERROR(__xludf.DUMMYFUNCTION("""COMPUTED_VALUE"""),3592140.0)</f>
        <v>3592140</v>
      </c>
    </row>
    <row r="706">
      <c r="A706" s="2">
        <f>IFERROR(__xludf.DUMMYFUNCTION("""COMPUTED_VALUE"""),43026.64583333333)</f>
        <v>43026.64583</v>
      </c>
      <c r="B706" s="1">
        <f>IFERROR(__xludf.DUMMYFUNCTION("""COMPUTED_VALUE"""),3661.17)</f>
        <v>3661.17</v>
      </c>
      <c r="C706" s="1">
        <f>IFERROR(__xludf.DUMMYFUNCTION("""COMPUTED_VALUE"""),3904.62)</f>
        <v>3904.62</v>
      </c>
      <c r="D706" s="1">
        <f>IFERROR(__xludf.DUMMYFUNCTION("""COMPUTED_VALUE"""),3506.67)</f>
        <v>3506.67</v>
      </c>
      <c r="E706" s="1">
        <f>IFERROR(__xludf.DUMMYFUNCTION("""COMPUTED_VALUE"""),3600.31)</f>
        <v>3600.31</v>
      </c>
      <c r="F706" s="1">
        <f>IFERROR(__xludf.DUMMYFUNCTION("""COMPUTED_VALUE"""),4815323.0)</f>
        <v>4815323</v>
      </c>
    </row>
    <row r="707">
      <c r="A707" s="2">
        <f>IFERROR(__xludf.DUMMYFUNCTION("""COMPUTED_VALUE"""),43027.64583333333)</f>
        <v>43027.64583</v>
      </c>
      <c r="B707" s="1">
        <f>IFERROR(__xludf.DUMMYFUNCTION("""COMPUTED_VALUE"""),3619.03)</f>
        <v>3619.03</v>
      </c>
      <c r="C707" s="1">
        <f>IFERROR(__xludf.DUMMYFUNCTION("""COMPUTED_VALUE"""),3633.08)</f>
        <v>3633.08</v>
      </c>
      <c r="D707" s="1">
        <f>IFERROR(__xludf.DUMMYFUNCTION("""COMPUTED_VALUE"""),3370.9)</f>
        <v>3370.9</v>
      </c>
      <c r="E707" s="1">
        <f>IFERROR(__xludf.DUMMYFUNCTION("""COMPUTED_VALUE"""),3398.99)</f>
        <v>3398.99</v>
      </c>
      <c r="F707" s="1">
        <f>IFERROR(__xludf.DUMMYFUNCTION("""COMPUTED_VALUE"""),2430783.0)</f>
        <v>2430783</v>
      </c>
    </row>
    <row r="708">
      <c r="A708" s="2">
        <f>IFERROR(__xludf.DUMMYFUNCTION("""COMPUTED_VALUE"""),43028.64583333333)</f>
        <v>43028.64583</v>
      </c>
      <c r="B708" s="1">
        <f>IFERROR(__xludf.DUMMYFUNCTION("""COMPUTED_VALUE"""),3422.4)</f>
        <v>3422.4</v>
      </c>
      <c r="C708" s="1">
        <f>IFERROR(__xludf.DUMMYFUNCTION("""COMPUTED_VALUE"""),3487.94)</f>
        <v>3487.94</v>
      </c>
      <c r="D708" s="1">
        <f>IFERROR(__xludf.DUMMYFUNCTION("""COMPUTED_VALUE"""),3286.63)</f>
        <v>3286.63</v>
      </c>
      <c r="E708" s="1">
        <f>IFERROR(__xludf.DUMMYFUNCTION("""COMPUTED_VALUE"""),3469.22)</f>
        <v>3469.22</v>
      </c>
      <c r="F708" s="1">
        <f>IFERROR(__xludf.DUMMYFUNCTION("""COMPUTED_VALUE"""),2552440.0)</f>
        <v>2552440</v>
      </c>
    </row>
    <row r="709">
      <c r="A709" s="2">
        <f>IFERROR(__xludf.DUMMYFUNCTION("""COMPUTED_VALUE"""),43031.64583333333)</f>
        <v>43031.64583</v>
      </c>
      <c r="B709" s="1">
        <f>IFERROR(__xludf.DUMMYFUNCTION("""COMPUTED_VALUE"""),3455.17)</f>
        <v>3455.17</v>
      </c>
      <c r="C709" s="1">
        <f>IFERROR(__xludf.DUMMYFUNCTION("""COMPUTED_VALUE"""),3726.72)</f>
        <v>3726.72</v>
      </c>
      <c r="D709" s="1">
        <f>IFERROR(__xludf.DUMMYFUNCTION("""COMPUTED_VALUE"""),3413.04)</f>
        <v>3413.04</v>
      </c>
      <c r="E709" s="1">
        <f>IFERROR(__xludf.DUMMYFUNCTION("""COMPUTED_VALUE"""),3581.58)</f>
        <v>3581.58</v>
      </c>
      <c r="F709" s="1">
        <f>IFERROR(__xludf.DUMMYFUNCTION("""COMPUTED_VALUE"""),4224435.0)</f>
        <v>4224435</v>
      </c>
    </row>
    <row r="710">
      <c r="A710" s="2">
        <f>IFERROR(__xludf.DUMMYFUNCTION("""COMPUTED_VALUE"""),43032.64583333333)</f>
        <v>43032.64583</v>
      </c>
      <c r="B710" s="1">
        <f>IFERROR(__xludf.DUMMYFUNCTION("""COMPUTED_VALUE"""),3581.58)</f>
        <v>3581.58</v>
      </c>
      <c r="C710" s="1">
        <f>IFERROR(__xludf.DUMMYFUNCTION("""COMPUTED_VALUE"""),3923.35)</f>
        <v>3923.35</v>
      </c>
      <c r="D710" s="1">
        <f>IFERROR(__xludf.DUMMYFUNCTION("""COMPUTED_VALUE"""),3525.4)</f>
        <v>3525.4</v>
      </c>
      <c r="E710" s="1">
        <f>IFERROR(__xludf.DUMMYFUNCTION("""COMPUTED_VALUE"""),3558.17)</f>
        <v>3558.17</v>
      </c>
      <c r="F710" s="1">
        <f>IFERROR(__xludf.DUMMYFUNCTION("""COMPUTED_VALUE"""),5291028.0)</f>
        <v>5291028</v>
      </c>
    </row>
    <row r="711">
      <c r="A711" s="2">
        <f>IFERROR(__xludf.DUMMYFUNCTION("""COMPUTED_VALUE"""),43033.64583333333)</f>
        <v>43033.64583</v>
      </c>
      <c r="B711" s="1">
        <f>IFERROR(__xludf.DUMMYFUNCTION("""COMPUTED_VALUE"""),3679.9)</f>
        <v>3679.9</v>
      </c>
      <c r="C711" s="1">
        <f>IFERROR(__xludf.DUMMYFUNCTION("""COMPUTED_VALUE"""),3904.62)</f>
        <v>3904.62</v>
      </c>
      <c r="D711" s="1">
        <f>IFERROR(__xludf.DUMMYFUNCTION("""COMPUTED_VALUE"""),3619.03)</f>
        <v>3619.03</v>
      </c>
      <c r="E711" s="1">
        <f>IFERROR(__xludf.DUMMYFUNCTION("""COMPUTED_VALUE"""),3647.13)</f>
        <v>3647.13</v>
      </c>
      <c r="F711" s="1">
        <f>IFERROR(__xludf.DUMMYFUNCTION("""COMPUTED_VALUE"""),4205081.0)</f>
        <v>4205081</v>
      </c>
    </row>
    <row r="712">
      <c r="A712" s="2">
        <f>IFERROR(__xludf.DUMMYFUNCTION("""COMPUTED_VALUE"""),43034.64583333333)</f>
        <v>43034.64583</v>
      </c>
      <c r="B712" s="1">
        <f>IFERROR(__xludf.DUMMYFUNCTION("""COMPUTED_VALUE"""),3670.53)</f>
        <v>3670.53</v>
      </c>
      <c r="C712" s="1">
        <f>IFERROR(__xludf.DUMMYFUNCTION("""COMPUTED_VALUE"""),3693.94)</f>
        <v>3693.94</v>
      </c>
      <c r="D712" s="1">
        <f>IFERROR(__xludf.DUMMYFUNCTION("""COMPUTED_VALUE"""),3483.26)</f>
        <v>3483.26</v>
      </c>
      <c r="E712" s="1">
        <f>IFERROR(__xludf.DUMMYFUNCTION("""COMPUTED_VALUE"""),3501.99)</f>
        <v>3501.99</v>
      </c>
      <c r="F712" s="1">
        <f>IFERROR(__xludf.DUMMYFUNCTION("""COMPUTED_VALUE"""),1497585.0)</f>
        <v>1497585</v>
      </c>
    </row>
    <row r="713">
      <c r="A713" s="2">
        <f>IFERROR(__xludf.DUMMYFUNCTION("""COMPUTED_VALUE"""),43035.64583333333)</f>
        <v>43035.64583</v>
      </c>
      <c r="B713" s="1">
        <f>IFERROR(__xludf.DUMMYFUNCTION("""COMPUTED_VALUE"""),3530.08)</f>
        <v>3530.08</v>
      </c>
      <c r="C713" s="1">
        <f>IFERROR(__xludf.DUMMYFUNCTION("""COMPUTED_VALUE"""),3661.17)</f>
        <v>3661.17</v>
      </c>
      <c r="D713" s="1">
        <f>IFERROR(__xludf.DUMMYFUNCTION("""COMPUTED_VALUE"""),3478.58)</f>
        <v>3478.58</v>
      </c>
      <c r="E713" s="1">
        <f>IFERROR(__xludf.DUMMYFUNCTION("""COMPUTED_VALUE"""),3501.99)</f>
        <v>3501.99</v>
      </c>
      <c r="F713" s="1">
        <f>IFERROR(__xludf.DUMMYFUNCTION("""COMPUTED_VALUE"""),1401258.0)</f>
        <v>1401258</v>
      </c>
    </row>
    <row r="714">
      <c r="A714" s="2">
        <f>IFERROR(__xludf.DUMMYFUNCTION("""COMPUTED_VALUE"""),43038.64583333333)</f>
        <v>43038.64583</v>
      </c>
      <c r="B714" s="1">
        <f>IFERROR(__xludf.DUMMYFUNCTION("""COMPUTED_VALUE"""),3567.53)</f>
        <v>3567.53</v>
      </c>
      <c r="C714" s="1">
        <f>IFERROR(__xludf.DUMMYFUNCTION("""COMPUTED_VALUE"""),3642.44)</f>
        <v>3642.44</v>
      </c>
      <c r="D714" s="1">
        <f>IFERROR(__xludf.DUMMYFUNCTION("""COMPUTED_VALUE"""),3492.63)</f>
        <v>3492.63</v>
      </c>
      <c r="E714" s="1">
        <f>IFERROR(__xludf.DUMMYFUNCTION("""COMPUTED_VALUE"""),3590.94)</f>
        <v>3590.94</v>
      </c>
      <c r="F714" s="1">
        <f>IFERROR(__xludf.DUMMYFUNCTION("""COMPUTED_VALUE"""),1821721.0)</f>
        <v>1821721</v>
      </c>
    </row>
    <row r="715">
      <c r="A715" s="2">
        <f>IFERROR(__xludf.DUMMYFUNCTION("""COMPUTED_VALUE"""),43039.64583333333)</f>
        <v>43039.64583</v>
      </c>
      <c r="B715" s="1">
        <f>IFERROR(__xludf.DUMMYFUNCTION("""COMPUTED_VALUE"""),3558.17)</f>
        <v>3558.17</v>
      </c>
      <c r="C715" s="1">
        <f>IFERROR(__xludf.DUMMYFUNCTION("""COMPUTED_VALUE"""),3675.22)</f>
        <v>3675.22</v>
      </c>
      <c r="D715" s="1">
        <f>IFERROR(__xludf.DUMMYFUNCTION("""COMPUTED_VALUE"""),3558.17)</f>
        <v>3558.17</v>
      </c>
      <c r="E715" s="1">
        <f>IFERROR(__xludf.DUMMYFUNCTION("""COMPUTED_VALUE"""),3600.31)</f>
        <v>3600.31</v>
      </c>
      <c r="F715" s="1">
        <f>IFERROR(__xludf.DUMMYFUNCTION("""COMPUTED_VALUE"""),1372578.0)</f>
        <v>1372578</v>
      </c>
    </row>
    <row r="716">
      <c r="A716" s="2">
        <f>IFERROR(__xludf.DUMMYFUNCTION("""COMPUTED_VALUE"""),43040.64583333333)</f>
        <v>43040.64583</v>
      </c>
      <c r="B716" s="1">
        <f>IFERROR(__xludf.DUMMYFUNCTION("""COMPUTED_VALUE"""),3600.31)</f>
        <v>3600.31</v>
      </c>
      <c r="C716" s="1">
        <f>IFERROR(__xludf.DUMMYFUNCTION("""COMPUTED_VALUE"""),3754.81)</f>
        <v>3754.81</v>
      </c>
      <c r="D716" s="1">
        <f>IFERROR(__xludf.DUMMYFUNCTION("""COMPUTED_VALUE"""),3558.17)</f>
        <v>3558.17</v>
      </c>
      <c r="E716" s="1">
        <f>IFERROR(__xludf.DUMMYFUNCTION("""COMPUTED_VALUE"""),3689.26)</f>
        <v>3689.26</v>
      </c>
      <c r="F716" s="1">
        <f>IFERROR(__xludf.DUMMYFUNCTION("""COMPUTED_VALUE"""),1768471.0)</f>
        <v>1768471</v>
      </c>
    </row>
    <row r="717">
      <c r="A717" s="2">
        <f>IFERROR(__xludf.DUMMYFUNCTION("""COMPUTED_VALUE"""),43041.64583333333)</f>
        <v>43041.64583</v>
      </c>
      <c r="B717" s="1">
        <f>IFERROR(__xludf.DUMMYFUNCTION("""COMPUTED_VALUE"""),3736.08)</f>
        <v>3736.08</v>
      </c>
      <c r="C717" s="1">
        <f>IFERROR(__xludf.DUMMYFUNCTION("""COMPUTED_VALUE"""),4194.9)</f>
        <v>4194.9</v>
      </c>
      <c r="D717" s="1">
        <f>IFERROR(__xludf.DUMMYFUNCTION("""COMPUTED_VALUE"""),3726.72)</f>
        <v>3726.72</v>
      </c>
      <c r="E717" s="1">
        <f>IFERROR(__xludf.DUMMYFUNCTION("""COMPUTED_VALUE"""),3764.17)</f>
        <v>3764.17</v>
      </c>
      <c r="F717" s="1">
        <f>IFERROR(__xludf.DUMMYFUNCTION("""COMPUTED_VALUE"""),9171419.0)</f>
        <v>9171419</v>
      </c>
    </row>
    <row r="718">
      <c r="A718" s="2">
        <f>IFERROR(__xludf.DUMMYFUNCTION("""COMPUTED_VALUE"""),43042.64583333333)</f>
        <v>43042.64583</v>
      </c>
      <c r="B718" s="1">
        <f>IFERROR(__xludf.DUMMYFUNCTION("""COMPUTED_VALUE"""),3825.03)</f>
        <v>3825.03</v>
      </c>
      <c r="C718" s="1">
        <f>IFERROR(__xludf.DUMMYFUNCTION("""COMPUTED_VALUE"""),3918.67)</f>
        <v>3918.67</v>
      </c>
      <c r="D718" s="1">
        <f>IFERROR(__xludf.DUMMYFUNCTION("""COMPUTED_VALUE"""),3712.67)</f>
        <v>3712.67</v>
      </c>
      <c r="E718" s="1">
        <f>IFERROR(__xludf.DUMMYFUNCTION("""COMPUTED_VALUE"""),3722.03)</f>
        <v>3722.03</v>
      </c>
      <c r="F718" s="1">
        <f>IFERROR(__xludf.DUMMYFUNCTION("""COMPUTED_VALUE"""),2732172.0)</f>
        <v>2732172</v>
      </c>
    </row>
    <row r="719">
      <c r="A719" s="2">
        <f>IFERROR(__xludf.DUMMYFUNCTION("""COMPUTED_VALUE"""),43045.64583333333)</f>
        <v>43045.64583</v>
      </c>
      <c r="B719" s="1">
        <f>IFERROR(__xludf.DUMMYFUNCTION("""COMPUTED_VALUE"""),3726.72)</f>
        <v>3726.72</v>
      </c>
      <c r="C719" s="1">
        <f>IFERROR(__xludf.DUMMYFUNCTION("""COMPUTED_VALUE"""),3764.17)</f>
        <v>3764.17</v>
      </c>
      <c r="D719" s="1">
        <f>IFERROR(__xludf.DUMMYFUNCTION("""COMPUTED_VALUE"""),3441.13)</f>
        <v>3441.13</v>
      </c>
      <c r="E719" s="1">
        <f>IFERROR(__xludf.DUMMYFUNCTION("""COMPUTED_VALUE"""),3441.13)</f>
        <v>3441.13</v>
      </c>
      <c r="F719" s="1">
        <f>IFERROR(__xludf.DUMMYFUNCTION("""COMPUTED_VALUE"""),1641334.0)</f>
        <v>1641334</v>
      </c>
    </row>
    <row r="720">
      <c r="A720" s="2">
        <f>IFERROR(__xludf.DUMMYFUNCTION("""COMPUTED_VALUE"""),43046.64583333333)</f>
        <v>43046.64583</v>
      </c>
      <c r="B720" s="1">
        <f>IFERROR(__xludf.DUMMYFUNCTION("""COMPUTED_VALUE"""),3544.13)</f>
        <v>3544.13</v>
      </c>
      <c r="C720" s="1">
        <f>IFERROR(__xludf.DUMMYFUNCTION("""COMPUTED_VALUE"""),3707.99)</f>
        <v>3707.99</v>
      </c>
      <c r="D720" s="1">
        <f>IFERROR(__xludf.DUMMYFUNCTION("""COMPUTED_VALUE"""),3492.63)</f>
        <v>3492.63</v>
      </c>
      <c r="E720" s="1">
        <f>IFERROR(__xludf.DUMMYFUNCTION("""COMPUTED_VALUE"""),3511.35)</f>
        <v>3511.35</v>
      </c>
      <c r="F720" s="1">
        <f>IFERROR(__xludf.DUMMYFUNCTION("""COMPUTED_VALUE"""),1893696.0)</f>
        <v>1893696</v>
      </c>
    </row>
    <row r="721">
      <c r="A721" s="2">
        <f>IFERROR(__xludf.DUMMYFUNCTION("""COMPUTED_VALUE"""),43047.64583333333)</f>
        <v>43047.64583</v>
      </c>
      <c r="B721" s="1">
        <f>IFERROR(__xludf.DUMMYFUNCTION("""COMPUTED_VALUE"""),3530.08)</f>
        <v>3530.08</v>
      </c>
      <c r="C721" s="1">
        <f>IFERROR(__xludf.DUMMYFUNCTION("""COMPUTED_VALUE"""),3534.76)</f>
        <v>3534.76</v>
      </c>
      <c r="D721" s="1">
        <f>IFERROR(__xludf.DUMMYFUNCTION("""COMPUTED_VALUE"""),3361.54)</f>
        <v>3361.54</v>
      </c>
      <c r="E721" s="1">
        <f>IFERROR(__xludf.DUMMYFUNCTION("""COMPUTED_VALUE"""),3436.44)</f>
        <v>3436.44</v>
      </c>
      <c r="F721" s="1">
        <f>IFERROR(__xludf.DUMMYFUNCTION("""COMPUTED_VALUE"""),1081252.0)</f>
        <v>1081252</v>
      </c>
    </row>
    <row r="722">
      <c r="A722" s="2">
        <f>IFERROR(__xludf.DUMMYFUNCTION("""COMPUTED_VALUE"""),43048.64583333333)</f>
        <v>43048.64583</v>
      </c>
      <c r="B722" s="1">
        <f>IFERROR(__xludf.DUMMYFUNCTION("""COMPUTED_VALUE"""),3450.49)</f>
        <v>3450.49</v>
      </c>
      <c r="C722" s="1">
        <f>IFERROR(__xludf.DUMMYFUNCTION("""COMPUTED_VALUE"""),3450.49)</f>
        <v>3450.49</v>
      </c>
      <c r="D722" s="1">
        <f>IFERROR(__xludf.DUMMYFUNCTION("""COMPUTED_VALUE"""),3356.85)</f>
        <v>3356.85</v>
      </c>
      <c r="E722" s="1">
        <f>IFERROR(__xludf.DUMMYFUNCTION("""COMPUTED_VALUE"""),3356.85)</f>
        <v>3356.85</v>
      </c>
      <c r="F722" s="1">
        <f>IFERROR(__xludf.DUMMYFUNCTION("""COMPUTED_VALUE"""),898557.0)</f>
        <v>898557</v>
      </c>
    </row>
    <row r="723">
      <c r="A723" s="2">
        <f>IFERROR(__xludf.DUMMYFUNCTION("""COMPUTED_VALUE"""),43049.64583333333)</f>
        <v>43049.64583</v>
      </c>
      <c r="B723" s="1">
        <f>IFERROR(__xludf.DUMMYFUNCTION("""COMPUTED_VALUE"""),3338.13)</f>
        <v>3338.13</v>
      </c>
      <c r="C723" s="1">
        <f>IFERROR(__xludf.DUMMYFUNCTION("""COMPUTED_VALUE"""),3459.85)</f>
        <v>3459.85</v>
      </c>
      <c r="D723" s="1">
        <f>IFERROR(__xludf.DUMMYFUNCTION("""COMPUTED_VALUE"""),3338.13)</f>
        <v>3338.13</v>
      </c>
      <c r="E723" s="1">
        <f>IFERROR(__xludf.DUMMYFUNCTION("""COMPUTED_VALUE"""),3366.22)</f>
        <v>3366.22</v>
      </c>
      <c r="F723" s="1">
        <f>IFERROR(__xludf.DUMMYFUNCTION("""COMPUTED_VALUE"""),619717.0)</f>
        <v>619717</v>
      </c>
    </row>
    <row r="724">
      <c r="A724" s="2">
        <f>IFERROR(__xludf.DUMMYFUNCTION("""COMPUTED_VALUE"""),43052.64583333333)</f>
        <v>43052.64583</v>
      </c>
      <c r="B724" s="1">
        <f>IFERROR(__xludf.DUMMYFUNCTION("""COMPUTED_VALUE"""),3417.72)</f>
        <v>3417.72</v>
      </c>
      <c r="C724" s="1">
        <f>IFERROR(__xludf.DUMMYFUNCTION("""COMPUTED_VALUE"""),3431.76)</f>
        <v>3431.76</v>
      </c>
      <c r="D724" s="1">
        <f>IFERROR(__xludf.DUMMYFUNCTION("""COMPUTED_VALUE"""),3342.81)</f>
        <v>3342.81</v>
      </c>
      <c r="E724" s="1">
        <f>IFERROR(__xludf.DUMMYFUNCTION("""COMPUTED_VALUE"""),3394.31)</f>
        <v>3394.31</v>
      </c>
      <c r="F724" s="1">
        <f>IFERROR(__xludf.DUMMYFUNCTION("""COMPUTED_VALUE"""),600895.0)</f>
        <v>600895</v>
      </c>
    </row>
    <row r="725">
      <c r="A725" s="2">
        <f>IFERROR(__xludf.DUMMYFUNCTION("""COMPUTED_VALUE"""),43053.64583333333)</f>
        <v>43053.64583</v>
      </c>
      <c r="B725" s="1">
        <f>IFERROR(__xludf.DUMMYFUNCTION("""COMPUTED_VALUE"""),3417.72)</f>
        <v>3417.72</v>
      </c>
      <c r="C725" s="1">
        <f>IFERROR(__xludf.DUMMYFUNCTION("""COMPUTED_VALUE"""),3417.72)</f>
        <v>3417.72</v>
      </c>
      <c r="D725" s="1">
        <f>IFERROR(__xludf.DUMMYFUNCTION("""COMPUTED_VALUE"""),3319.4)</f>
        <v>3319.4</v>
      </c>
      <c r="E725" s="1">
        <f>IFERROR(__xludf.DUMMYFUNCTION("""COMPUTED_VALUE"""),3333.44)</f>
        <v>3333.44</v>
      </c>
      <c r="F725" s="1">
        <f>IFERROR(__xludf.DUMMYFUNCTION("""COMPUTED_VALUE"""),515006.0)</f>
        <v>515006</v>
      </c>
    </row>
    <row r="726">
      <c r="A726" s="2">
        <f>IFERROR(__xludf.DUMMYFUNCTION("""COMPUTED_VALUE"""),43054.64583333333)</f>
        <v>43054.64583</v>
      </c>
      <c r="B726" s="1">
        <f>IFERROR(__xludf.DUMMYFUNCTION("""COMPUTED_VALUE"""),3384.94)</f>
        <v>3384.94</v>
      </c>
      <c r="C726" s="1">
        <f>IFERROR(__xludf.DUMMYFUNCTION("""COMPUTED_VALUE"""),3647.13)</f>
        <v>3647.13</v>
      </c>
      <c r="D726" s="1">
        <f>IFERROR(__xludf.DUMMYFUNCTION("""COMPUTED_VALUE"""),3333.44)</f>
        <v>3333.44</v>
      </c>
      <c r="E726" s="1">
        <f>IFERROR(__xludf.DUMMYFUNCTION("""COMPUTED_VALUE"""),3380.26)</f>
        <v>3380.26</v>
      </c>
      <c r="F726" s="1">
        <f>IFERROR(__xludf.DUMMYFUNCTION("""COMPUTED_VALUE"""),3009286.0)</f>
        <v>3009286</v>
      </c>
    </row>
    <row r="727">
      <c r="A727" s="2">
        <f>IFERROR(__xludf.DUMMYFUNCTION("""COMPUTED_VALUE"""),43055.64583333333)</f>
        <v>43055.64583</v>
      </c>
      <c r="B727" s="1">
        <f>IFERROR(__xludf.DUMMYFUNCTION("""COMPUTED_VALUE"""),3422.4)</f>
        <v>3422.4</v>
      </c>
      <c r="C727" s="1">
        <f>IFERROR(__xludf.DUMMYFUNCTION("""COMPUTED_VALUE"""),3441.13)</f>
        <v>3441.13</v>
      </c>
      <c r="D727" s="1">
        <f>IFERROR(__xludf.DUMMYFUNCTION("""COMPUTED_VALUE"""),3361.54)</f>
        <v>3361.54</v>
      </c>
      <c r="E727" s="1">
        <f>IFERROR(__xludf.DUMMYFUNCTION("""COMPUTED_VALUE"""),3389.63)</f>
        <v>3389.63</v>
      </c>
      <c r="F727" s="1">
        <f>IFERROR(__xludf.DUMMYFUNCTION("""COMPUTED_VALUE"""),486067.0)</f>
        <v>486067</v>
      </c>
    </row>
    <row r="728">
      <c r="A728" s="2">
        <f>IFERROR(__xludf.DUMMYFUNCTION("""COMPUTED_VALUE"""),43056.64583333333)</f>
        <v>43056.64583</v>
      </c>
      <c r="B728" s="1">
        <f>IFERROR(__xludf.DUMMYFUNCTION("""COMPUTED_VALUE"""),3441.13)</f>
        <v>3441.13</v>
      </c>
      <c r="C728" s="1">
        <f>IFERROR(__xludf.DUMMYFUNCTION("""COMPUTED_VALUE"""),3558.17)</f>
        <v>3558.17</v>
      </c>
      <c r="D728" s="1">
        <f>IFERROR(__xludf.DUMMYFUNCTION("""COMPUTED_VALUE"""),3384.94)</f>
        <v>3384.94</v>
      </c>
      <c r="E728" s="1">
        <f>IFERROR(__xludf.DUMMYFUNCTION("""COMPUTED_VALUE"""),3544.13)</f>
        <v>3544.13</v>
      </c>
      <c r="F728" s="1">
        <f>IFERROR(__xludf.DUMMYFUNCTION("""COMPUTED_VALUE"""),928794.0)</f>
        <v>928794</v>
      </c>
    </row>
    <row r="729">
      <c r="A729" s="2">
        <f>IFERROR(__xludf.DUMMYFUNCTION("""COMPUTED_VALUE"""),43059.64583333333)</f>
        <v>43059.64583</v>
      </c>
      <c r="B729" s="1">
        <f>IFERROR(__xludf.DUMMYFUNCTION("""COMPUTED_VALUE"""),3548.81)</f>
        <v>3548.81</v>
      </c>
      <c r="C729" s="1">
        <f>IFERROR(__xludf.DUMMYFUNCTION("""COMPUTED_VALUE"""),3670.53)</f>
        <v>3670.53</v>
      </c>
      <c r="D729" s="1">
        <f>IFERROR(__xludf.DUMMYFUNCTION("""COMPUTED_VALUE"""),3506.67)</f>
        <v>3506.67</v>
      </c>
      <c r="E729" s="1">
        <f>IFERROR(__xludf.DUMMYFUNCTION("""COMPUTED_VALUE"""),3548.81)</f>
        <v>3548.81</v>
      </c>
      <c r="F729" s="1">
        <f>IFERROR(__xludf.DUMMYFUNCTION("""COMPUTED_VALUE"""),1334843.0)</f>
        <v>1334843</v>
      </c>
    </row>
    <row r="730">
      <c r="A730" s="2">
        <f>IFERROR(__xludf.DUMMYFUNCTION("""COMPUTED_VALUE"""),43060.64583333333)</f>
        <v>43060.64583</v>
      </c>
      <c r="B730" s="1">
        <f>IFERROR(__xludf.DUMMYFUNCTION("""COMPUTED_VALUE"""),3609.67)</f>
        <v>3609.67</v>
      </c>
      <c r="C730" s="1">
        <f>IFERROR(__xludf.DUMMYFUNCTION("""COMPUTED_VALUE"""),3642.44)</f>
        <v>3642.44</v>
      </c>
      <c r="D730" s="1">
        <f>IFERROR(__xludf.DUMMYFUNCTION("""COMPUTED_VALUE"""),3473.9)</f>
        <v>3473.9</v>
      </c>
      <c r="E730" s="1">
        <f>IFERROR(__xludf.DUMMYFUNCTION("""COMPUTED_VALUE"""),3478.58)</f>
        <v>3478.58</v>
      </c>
      <c r="F730" s="1">
        <f>IFERROR(__xludf.DUMMYFUNCTION("""COMPUTED_VALUE"""),948873.0)</f>
        <v>948873</v>
      </c>
    </row>
    <row r="731">
      <c r="A731" s="2">
        <f>IFERROR(__xludf.DUMMYFUNCTION("""COMPUTED_VALUE"""),43061.64583333333)</f>
        <v>43061.64583</v>
      </c>
      <c r="B731" s="1">
        <f>IFERROR(__xludf.DUMMYFUNCTION("""COMPUTED_VALUE"""),3539.44)</f>
        <v>3539.44</v>
      </c>
      <c r="C731" s="1">
        <f>IFERROR(__xludf.DUMMYFUNCTION("""COMPUTED_VALUE"""),3609.67)</f>
        <v>3609.67</v>
      </c>
      <c r="D731" s="1">
        <f>IFERROR(__xludf.DUMMYFUNCTION("""COMPUTED_VALUE"""),3445.81)</f>
        <v>3445.81</v>
      </c>
      <c r="E731" s="1">
        <f>IFERROR(__xludf.DUMMYFUNCTION("""COMPUTED_VALUE"""),3478.58)</f>
        <v>3478.58</v>
      </c>
      <c r="F731" s="1">
        <f>IFERROR(__xludf.DUMMYFUNCTION("""COMPUTED_VALUE"""),916956.0)</f>
        <v>916956</v>
      </c>
    </row>
    <row r="732">
      <c r="A732" s="2">
        <f>IFERROR(__xludf.DUMMYFUNCTION("""COMPUTED_VALUE"""),43062.69791666667)</f>
        <v>43062.69792</v>
      </c>
      <c r="B732" s="1">
        <f>IFERROR(__xludf.DUMMYFUNCTION("""COMPUTED_VALUE"""),3511.35)</f>
        <v>3511.35</v>
      </c>
      <c r="C732" s="1">
        <f>IFERROR(__xludf.DUMMYFUNCTION("""COMPUTED_VALUE"""),3590.94)</f>
        <v>3590.94</v>
      </c>
      <c r="D732" s="1">
        <f>IFERROR(__xludf.DUMMYFUNCTION("""COMPUTED_VALUE"""),3464.54)</f>
        <v>3464.54</v>
      </c>
      <c r="E732" s="1">
        <f>IFERROR(__xludf.DUMMYFUNCTION("""COMPUTED_VALUE"""),3539.44)</f>
        <v>3539.44</v>
      </c>
      <c r="F732" s="1">
        <f>IFERROR(__xludf.DUMMYFUNCTION("""COMPUTED_VALUE"""),568566.0)</f>
        <v>568566</v>
      </c>
    </row>
    <row r="733">
      <c r="A733" s="2">
        <f>IFERROR(__xludf.DUMMYFUNCTION("""COMPUTED_VALUE"""),43063.64583333333)</f>
        <v>43063.64583</v>
      </c>
      <c r="B733" s="1">
        <f>IFERROR(__xludf.DUMMYFUNCTION("""COMPUTED_VALUE"""),3511.35)</f>
        <v>3511.35</v>
      </c>
      <c r="C733" s="1">
        <f>IFERROR(__xludf.DUMMYFUNCTION("""COMPUTED_VALUE"""),3909.31)</f>
        <v>3909.31</v>
      </c>
      <c r="D733" s="1">
        <f>IFERROR(__xludf.DUMMYFUNCTION("""COMPUTED_VALUE"""),3501.99)</f>
        <v>3501.99</v>
      </c>
      <c r="E733" s="1">
        <f>IFERROR(__xludf.DUMMYFUNCTION("""COMPUTED_VALUE"""),3623.72)</f>
        <v>3623.72</v>
      </c>
      <c r="F733" s="1">
        <f>IFERROR(__xludf.DUMMYFUNCTION("""COMPUTED_VALUE"""),6689714.0)</f>
        <v>6689714</v>
      </c>
    </row>
    <row r="734">
      <c r="A734" s="2">
        <f>IFERROR(__xludf.DUMMYFUNCTION("""COMPUTED_VALUE"""),43066.64583333333)</f>
        <v>43066.64583</v>
      </c>
      <c r="B734" s="1">
        <f>IFERROR(__xludf.DUMMYFUNCTION("""COMPUTED_VALUE"""),3623.72)</f>
        <v>3623.72</v>
      </c>
      <c r="C734" s="1">
        <f>IFERROR(__xludf.DUMMYFUNCTION("""COMPUTED_VALUE"""),3754.81)</f>
        <v>3754.81</v>
      </c>
      <c r="D734" s="1">
        <f>IFERROR(__xludf.DUMMYFUNCTION("""COMPUTED_VALUE"""),3581.58)</f>
        <v>3581.58</v>
      </c>
      <c r="E734" s="1">
        <f>IFERROR(__xludf.DUMMYFUNCTION("""COMPUTED_VALUE"""),3726.72)</f>
        <v>3726.72</v>
      </c>
      <c r="F734" s="1">
        <f>IFERROR(__xludf.DUMMYFUNCTION("""COMPUTED_VALUE"""),1774622.0)</f>
        <v>1774622</v>
      </c>
    </row>
    <row r="735">
      <c r="A735" s="2">
        <f>IFERROR(__xludf.DUMMYFUNCTION("""COMPUTED_VALUE"""),43067.64583333333)</f>
        <v>43067.64583</v>
      </c>
      <c r="B735" s="1">
        <f>IFERROR(__xludf.DUMMYFUNCTION("""COMPUTED_VALUE"""),3750.13)</f>
        <v>3750.13</v>
      </c>
      <c r="C735" s="1">
        <f>IFERROR(__xludf.DUMMYFUNCTION("""COMPUTED_VALUE"""),3768.85)</f>
        <v>3768.85</v>
      </c>
      <c r="D735" s="1">
        <f>IFERROR(__xludf.DUMMYFUNCTION("""COMPUTED_VALUE"""),3609.67)</f>
        <v>3609.67</v>
      </c>
      <c r="E735" s="1">
        <f>IFERROR(__xludf.DUMMYFUNCTION("""COMPUTED_VALUE"""),3623.72)</f>
        <v>3623.72</v>
      </c>
      <c r="F735" s="1">
        <f>IFERROR(__xludf.DUMMYFUNCTION("""COMPUTED_VALUE"""),1249988.0)</f>
        <v>1249988</v>
      </c>
    </row>
    <row r="736">
      <c r="A736" s="2">
        <f>IFERROR(__xludf.DUMMYFUNCTION("""COMPUTED_VALUE"""),43068.64583333333)</f>
        <v>43068.64583</v>
      </c>
      <c r="B736" s="1">
        <f>IFERROR(__xludf.DUMMYFUNCTION("""COMPUTED_VALUE"""),3576.9)</f>
        <v>3576.9</v>
      </c>
      <c r="C736" s="1">
        <f>IFERROR(__xludf.DUMMYFUNCTION("""COMPUTED_VALUE"""),3679.9)</f>
        <v>3679.9</v>
      </c>
      <c r="D736" s="1">
        <f>IFERROR(__xludf.DUMMYFUNCTION("""COMPUTED_VALUE"""),3511.35)</f>
        <v>3511.35</v>
      </c>
      <c r="E736" s="1">
        <f>IFERROR(__xludf.DUMMYFUNCTION("""COMPUTED_VALUE"""),3619.03)</f>
        <v>3619.03</v>
      </c>
      <c r="F736" s="1">
        <f>IFERROR(__xludf.DUMMYFUNCTION("""COMPUTED_VALUE"""),1250425.0)</f>
        <v>1250425</v>
      </c>
    </row>
    <row r="737">
      <c r="A737" s="2">
        <f>IFERROR(__xludf.DUMMYFUNCTION("""COMPUTED_VALUE"""),43069.64583333333)</f>
        <v>43069.64583</v>
      </c>
      <c r="B737" s="1">
        <f>IFERROR(__xludf.DUMMYFUNCTION("""COMPUTED_VALUE"""),3539.44)</f>
        <v>3539.44</v>
      </c>
      <c r="C737" s="1">
        <f>IFERROR(__xludf.DUMMYFUNCTION("""COMPUTED_VALUE"""),3619.03)</f>
        <v>3619.03</v>
      </c>
      <c r="D737" s="1">
        <f>IFERROR(__xludf.DUMMYFUNCTION("""COMPUTED_VALUE"""),3511.35)</f>
        <v>3511.35</v>
      </c>
      <c r="E737" s="1">
        <f>IFERROR(__xludf.DUMMYFUNCTION("""COMPUTED_VALUE"""),3511.35)</f>
        <v>3511.35</v>
      </c>
      <c r="F737" s="1">
        <f>IFERROR(__xludf.DUMMYFUNCTION("""COMPUTED_VALUE"""),895668.0)</f>
        <v>895668</v>
      </c>
    </row>
    <row r="738">
      <c r="A738" s="2">
        <f>IFERROR(__xludf.DUMMYFUNCTION("""COMPUTED_VALUE"""),43070.64583333333)</f>
        <v>43070.64583</v>
      </c>
      <c r="B738" s="1">
        <f>IFERROR(__xludf.DUMMYFUNCTION("""COMPUTED_VALUE"""),3558.17)</f>
        <v>3558.17</v>
      </c>
      <c r="C738" s="1">
        <f>IFERROR(__xludf.DUMMYFUNCTION("""COMPUTED_VALUE"""),3623.72)</f>
        <v>3623.72</v>
      </c>
      <c r="D738" s="1">
        <f>IFERROR(__xludf.DUMMYFUNCTION("""COMPUTED_VALUE"""),3473.9)</f>
        <v>3473.9</v>
      </c>
      <c r="E738" s="1">
        <f>IFERROR(__xludf.DUMMYFUNCTION("""COMPUTED_VALUE"""),3473.9)</f>
        <v>3473.9</v>
      </c>
      <c r="F738" s="1">
        <f>IFERROR(__xludf.DUMMYFUNCTION("""COMPUTED_VALUE"""),1099325.0)</f>
        <v>1099325</v>
      </c>
    </row>
    <row r="739">
      <c r="A739" s="2">
        <f>IFERROR(__xludf.DUMMYFUNCTION("""COMPUTED_VALUE"""),43073.64583333333)</f>
        <v>43073.64583</v>
      </c>
      <c r="B739" s="1">
        <f>IFERROR(__xludf.DUMMYFUNCTION("""COMPUTED_VALUE"""),3473.9)</f>
        <v>3473.9</v>
      </c>
      <c r="C739" s="1">
        <f>IFERROR(__xludf.DUMMYFUNCTION("""COMPUTED_VALUE"""),3595.63)</f>
        <v>3595.63</v>
      </c>
      <c r="D739" s="1">
        <f>IFERROR(__xludf.DUMMYFUNCTION("""COMPUTED_VALUE"""),3389.63)</f>
        <v>3389.63</v>
      </c>
      <c r="E739" s="1">
        <f>IFERROR(__xludf.DUMMYFUNCTION("""COMPUTED_VALUE"""),3436.44)</f>
        <v>3436.44</v>
      </c>
      <c r="F739" s="1">
        <f>IFERROR(__xludf.DUMMYFUNCTION("""COMPUTED_VALUE"""),806288.0)</f>
        <v>806288</v>
      </c>
    </row>
    <row r="740">
      <c r="A740" s="2">
        <f>IFERROR(__xludf.DUMMYFUNCTION("""COMPUTED_VALUE"""),43074.64583333333)</f>
        <v>43074.64583</v>
      </c>
      <c r="B740" s="1">
        <f>IFERROR(__xludf.DUMMYFUNCTION("""COMPUTED_VALUE"""),3455.17)</f>
        <v>3455.17</v>
      </c>
      <c r="C740" s="1">
        <f>IFERROR(__xludf.DUMMYFUNCTION("""COMPUTED_VALUE"""),3478.58)</f>
        <v>3478.58</v>
      </c>
      <c r="D740" s="1">
        <f>IFERROR(__xludf.DUMMYFUNCTION("""COMPUTED_VALUE"""),3384.94)</f>
        <v>3384.94</v>
      </c>
      <c r="E740" s="1">
        <f>IFERROR(__xludf.DUMMYFUNCTION("""COMPUTED_VALUE"""),3384.94)</f>
        <v>3384.94</v>
      </c>
      <c r="F740" s="1">
        <f>IFERROR(__xludf.DUMMYFUNCTION("""COMPUTED_VALUE"""),499505.0)</f>
        <v>499505</v>
      </c>
    </row>
    <row r="741">
      <c r="A741" s="2">
        <f>IFERROR(__xludf.DUMMYFUNCTION("""COMPUTED_VALUE"""),43075.64583333333)</f>
        <v>43075.64583</v>
      </c>
      <c r="B741" s="1">
        <f>IFERROR(__xludf.DUMMYFUNCTION("""COMPUTED_VALUE"""),3352.17)</f>
        <v>3352.17</v>
      </c>
      <c r="C741" s="1">
        <f>IFERROR(__xludf.DUMMYFUNCTION("""COMPUTED_VALUE"""),3422.4)</f>
        <v>3422.4</v>
      </c>
      <c r="D741" s="1">
        <f>IFERROR(__xludf.DUMMYFUNCTION("""COMPUTED_VALUE"""),3338.13)</f>
        <v>3338.13</v>
      </c>
      <c r="E741" s="1">
        <f>IFERROR(__xludf.DUMMYFUNCTION("""COMPUTED_VALUE"""),3352.17)</f>
        <v>3352.17</v>
      </c>
      <c r="F741" s="1">
        <f>IFERROR(__xludf.DUMMYFUNCTION("""COMPUTED_VALUE"""),435886.0)</f>
        <v>435886</v>
      </c>
    </row>
    <row r="742">
      <c r="A742" s="2">
        <f>IFERROR(__xludf.DUMMYFUNCTION("""COMPUTED_VALUE"""),43076.64583333333)</f>
        <v>43076.64583</v>
      </c>
      <c r="B742" s="1">
        <f>IFERROR(__xludf.DUMMYFUNCTION("""COMPUTED_VALUE"""),3370.9)</f>
        <v>3370.9</v>
      </c>
      <c r="C742" s="1">
        <f>IFERROR(__xludf.DUMMYFUNCTION("""COMPUTED_VALUE"""),3722.03)</f>
        <v>3722.03</v>
      </c>
      <c r="D742" s="1">
        <f>IFERROR(__xludf.DUMMYFUNCTION("""COMPUTED_VALUE"""),3155.54)</f>
        <v>3155.54</v>
      </c>
      <c r="E742" s="1">
        <f>IFERROR(__xludf.DUMMYFUNCTION("""COMPUTED_VALUE"""),3324.08)</f>
        <v>3324.08</v>
      </c>
      <c r="F742" s="1">
        <f>IFERROR(__xludf.DUMMYFUNCTION("""COMPUTED_VALUE"""),3164601.0)</f>
        <v>3164601</v>
      </c>
    </row>
    <row r="743">
      <c r="A743" s="2">
        <f>IFERROR(__xludf.DUMMYFUNCTION("""COMPUTED_VALUE"""),43077.64583333333)</f>
        <v>43077.64583</v>
      </c>
      <c r="B743" s="1">
        <f>IFERROR(__xludf.DUMMYFUNCTION("""COMPUTED_VALUE"""),3333.44)</f>
        <v>3333.44</v>
      </c>
      <c r="C743" s="1">
        <f>IFERROR(__xludf.DUMMYFUNCTION("""COMPUTED_VALUE"""),3492.63)</f>
        <v>3492.63</v>
      </c>
      <c r="D743" s="1">
        <f>IFERROR(__xludf.DUMMYFUNCTION("""COMPUTED_VALUE"""),3183.63)</f>
        <v>3183.63</v>
      </c>
      <c r="E743" s="1">
        <f>IFERROR(__xludf.DUMMYFUNCTION("""COMPUTED_VALUE"""),3249.17)</f>
        <v>3249.17</v>
      </c>
      <c r="F743" s="1">
        <f>IFERROR(__xludf.DUMMYFUNCTION("""COMPUTED_VALUE"""),772466.0)</f>
        <v>772466</v>
      </c>
    </row>
    <row r="744">
      <c r="A744" s="2">
        <f>IFERROR(__xludf.DUMMYFUNCTION("""COMPUTED_VALUE"""),43080.64583333333)</f>
        <v>43080.64583</v>
      </c>
      <c r="B744" s="1">
        <f>IFERROR(__xludf.DUMMYFUNCTION("""COMPUTED_VALUE"""),3249.17)</f>
        <v>3249.17</v>
      </c>
      <c r="C744" s="1">
        <f>IFERROR(__xludf.DUMMYFUNCTION("""COMPUTED_VALUE"""),3263.22)</f>
        <v>3263.22</v>
      </c>
      <c r="D744" s="1">
        <f>IFERROR(__xludf.DUMMYFUNCTION("""COMPUTED_VALUE"""),3132.13)</f>
        <v>3132.13</v>
      </c>
      <c r="E744" s="1">
        <f>IFERROR(__xludf.DUMMYFUNCTION("""COMPUTED_VALUE"""),3132.13)</f>
        <v>3132.13</v>
      </c>
      <c r="F744" s="1">
        <f>IFERROR(__xludf.DUMMYFUNCTION("""COMPUTED_VALUE"""),394574.0)</f>
        <v>394574</v>
      </c>
    </row>
    <row r="745">
      <c r="A745" s="2">
        <f>IFERROR(__xludf.DUMMYFUNCTION("""COMPUTED_VALUE"""),43081.64583333333)</f>
        <v>43081.64583</v>
      </c>
      <c r="B745" s="1">
        <f>IFERROR(__xludf.DUMMYFUNCTION("""COMPUTED_VALUE"""),3132.13)</f>
        <v>3132.13</v>
      </c>
      <c r="C745" s="1">
        <f>IFERROR(__xludf.DUMMYFUNCTION("""COMPUTED_VALUE"""),3188.31)</f>
        <v>3188.31</v>
      </c>
      <c r="D745" s="1">
        <f>IFERROR(__xludf.DUMMYFUNCTION("""COMPUTED_VALUE"""),3075.95)</f>
        <v>3075.95</v>
      </c>
      <c r="E745" s="1">
        <f>IFERROR(__xludf.DUMMYFUNCTION("""COMPUTED_VALUE"""),3089.99)</f>
        <v>3089.99</v>
      </c>
      <c r="F745" s="1">
        <f>IFERROR(__xludf.DUMMYFUNCTION("""COMPUTED_VALUE"""),322365.0)</f>
        <v>322365</v>
      </c>
    </row>
    <row r="746">
      <c r="A746" s="2">
        <f>IFERROR(__xludf.DUMMYFUNCTION("""COMPUTED_VALUE"""),43082.64583333333)</f>
        <v>43082.64583</v>
      </c>
      <c r="B746" s="1">
        <f>IFERROR(__xludf.DUMMYFUNCTION("""COMPUTED_VALUE"""),3104.04)</f>
        <v>3104.04</v>
      </c>
      <c r="C746" s="1">
        <f>IFERROR(__xludf.DUMMYFUNCTION("""COMPUTED_VALUE"""),3576.9)</f>
        <v>3576.9</v>
      </c>
      <c r="D746" s="1">
        <f>IFERROR(__xludf.DUMMYFUNCTION("""COMPUTED_VALUE"""),3104.04)</f>
        <v>3104.04</v>
      </c>
      <c r="E746" s="1">
        <f>IFERROR(__xludf.DUMMYFUNCTION("""COMPUTED_VALUE"""),3422.4)</f>
        <v>3422.4</v>
      </c>
      <c r="F746" s="1">
        <f>IFERROR(__xludf.DUMMYFUNCTION("""COMPUTED_VALUE"""),3553582.0)</f>
        <v>3553582</v>
      </c>
    </row>
    <row r="747">
      <c r="A747" s="2">
        <f>IFERROR(__xludf.DUMMYFUNCTION("""COMPUTED_VALUE"""),43083.64583333333)</f>
        <v>43083.64583</v>
      </c>
      <c r="B747" s="1">
        <f>IFERROR(__xludf.DUMMYFUNCTION("""COMPUTED_VALUE"""),3356.85)</f>
        <v>3356.85</v>
      </c>
      <c r="C747" s="1">
        <f>IFERROR(__xludf.DUMMYFUNCTION("""COMPUTED_VALUE"""),3689.26)</f>
        <v>3689.26</v>
      </c>
      <c r="D747" s="1">
        <f>IFERROR(__xludf.DUMMYFUNCTION("""COMPUTED_VALUE"""),3328.76)</f>
        <v>3328.76</v>
      </c>
      <c r="E747" s="1">
        <f>IFERROR(__xludf.DUMMYFUNCTION("""COMPUTED_VALUE"""),3408.35)</f>
        <v>3408.35</v>
      </c>
      <c r="F747" s="1">
        <f>IFERROR(__xludf.DUMMYFUNCTION("""COMPUTED_VALUE"""),3731737.0)</f>
        <v>3731737</v>
      </c>
    </row>
    <row r="748">
      <c r="A748" s="2">
        <f>IFERROR(__xludf.DUMMYFUNCTION("""COMPUTED_VALUE"""),43084.64583333333)</f>
        <v>43084.64583</v>
      </c>
      <c r="B748" s="1">
        <f>IFERROR(__xludf.DUMMYFUNCTION("""COMPUTED_VALUE"""),3464.54)</f>
        <v>3464.54</v>
      </c>
      <c r="C748" s="1">
        <f>IFERROR(__xludf.DUMMYFUNCTION("""COMPUTED_VALUE"""),3614.35)</f>
        <v>3614.35</v>
      </c>
      <c r="D748" s="1">
        <f>IFERROR(__xludf.DUMMYFUNCTION("""COMPUTED_VALUE"""),3464.54)</f>
        <v>3464.54</v>
      </c>
      <c r="E748" s="1">
        <f>IFERROR(__xludf.DUMMYFUNCTION("""COMPUTED_VALUE"""),3600.31)</f>
        <v>3600.31</v>
      </c>
      <c r="F748" s="1">
        <f>IFERROR(__xludf.DUMMYFUNCTION("""COMPUTED_VALUE"""),2199919.0)</f>
        <v>2199919</v>
      </c>
    </row>
    <row r="749">
      <c r="A749" s="2">
        <f>IFERROR(__xludf.DUMMYFUNCTION("""COMPUTED_VALUE"""),43087.64583333333)</f>
        <v>43087.64583</v>
      </c>
      <c r="B749" s="1">
        <f>IFERROR(__xludf.DUMMYFUNCTION("""COMPUTED_VALUE"""),3628.4)</f>
        <v>3628.4</v>
      </c>
      <c r="C749" s="1">
        <f>IFERROR(__xludf.DUMMYFUNCTION("""COMPUTED_VALUE"""),4007.62)</f>
        <v>4007.62</v>
      </c>
      <c r="D749" s="1">
        <f>IFERROR(__xludf.DUMMYFUNCTION("""COMPUTED_VALUE"""),3628.4)</f>
        <v>3628.4</v>
      </c>
      <c r="E749" s="1">
        <f>IFERROR(__xludf.DUMMYFUNCTION("""COMPUTED_VALUE"""),3857.81)</f>
        <v>3857.81</v>
      </c>
      <c r="F749" s="1">
        <f>IFERROR(__xludf.DUMMYFUNCTION("""COMPUTED_VALUE"""),7952659.0)</f>
        <v>7952659</v>
      </c>
    </row>
    <row r="750">
      <c r="A750" s="2">
        <f>IFERROR(__xludf.DUMMYFUNCTION("""COMPUTED_VALUE"""),43088.64583333333)</f>
        <v>43088.64583</v>
      </c>
      <c r="B750" s="1">
        <f>IFERROR(__xludf.DUMMYFUNCTION("""COMPUTED_VALUE"""),3890.58)</f>
        <v>3890.58</v>
      </c>
      <c r="C750" s="1">
        <f>IFERROR(__xludf.DUMMYFUNCTION("""COMPUTED_VALUE"""),3890.58)</f>
        <v>3890.58</v>
      </c>
      <c r="D750" s="1">
        <f>IFERROR(__xludf.DUMMYFUNCTION("""COMPUTED_VALUE"""),3506.67)</f>
        <v>3506.67</v>
      </c>
      <c r="E750" s="1">
        <f>IFERROR(__xludf.DUMMYFUNCTION("""COMPUTED_VALUE"""),3698.63)</f>
        <v>3698.63</v>
      </c>
      <c r="F750" s="1">
        <f>IFERROR(__xludf.DUMMYFUNCTION("""COMPUTED_VALUE"""),2720133.0)</f>
        <v>2720133</v>
      </c>
    </row>
    <row r="751">
      <c r="A751" s="2">
        <f>IFERROR(__xludf.DUMMYFUNCTION("""COMPUTED_VALUE"""),43089.64583333333)</f>
        <v>43089.64583</v>
      </c>
      <c r="B751" s="1">
        <f>IFERROR(__xludf.DUMMYFUNCTION("""COMPUTED_VALUE"""),3998.26)</f>
        <v>3998.26</v>
      </c>
      <c r="C751" s="1">
        <f>IFERROR(__xludf.DUMMYFUNCTION("""COMPUTED_VALUE"""),4016.99)</f>
        <v>4016.99</v>
      </c>
      <c r="D751" s="1">
        <f>IFERROR(__xludf.DUMMYFUNCTION("""COMPUTED_VALUE"""),3553.49)</f>
        <v>3553.49</v>
      </c>
      <c r="E751" s="1">
        <f>IFERROR(__xludf.DUMMYFUNCTION("""COMPUTED_VALUE"""),3567.53)</f>
        <v>3567.53</v>
      </c>
      <c r="F751" s="1">
        <f>IFERROR(__xludf.DUMMYFUNCTION("""COMPUTED_VALUE"""),3972401.0)</f>
        <v>3972401</v>
      </c>
    </row>
    <row r="752">
      <c r="A752" s="2">
        <f>IFERROR(__xludf.DUMMYFUNCTION("""COMPUTED_VALUE"""),43090.64583333333)</f>
        <v>43090.64583</v>
      </c>
      <c r="B752" s="1">
        <f>IFERROR(__xludf.DUMMYFUNCTION("""COMPUTED_VALUE"""),3572.22)</f>
        <v>3572.22</v>
      </c>
      <c r="C752" s="1">
        <f>IFERROR(__xludf.DUMMYFUNCTION("""COMPUTED_VALUE"""),3815.67)</f>
        <v>3815.67</v>
      </c>
      <c r="D752" s="1">
        <f>IFERROR(__xludf.DUMMYFUNCTION("""COMPUTED_VALUE"""),3539.44)</f>
        <v>3539.44</v>
      </c>
      <c r="E752" s="1">
        <f>IFERROR(__xludf.DUMMYFUNCTION("""COMPUTED_VALUE"""),3567.53)</f>
        <v>3567.53</v>
      </c>
      <c r="F752" s="1">
        <f>IFERROR(__xludf.DUMMYFUNCTION("""COMPUTED_VALUE"""),2326074.0)</f>
        <v>2326074</v>
      </c>
    </row>
    <row r="753">
      <c r="A753" s="2">
        <f>IFERROR(__xludf.DUMMYFUNCTION("""COMPUTED_VALUE"""),43091.64583333333)</f>
        <v>43091.64583</v>
      </c>
      <c r="B753" s="1">
        <f>IFERROR(__xludf.DUMMYFUNCTION("""COMPUTED_VALUE"""),3590.94)</f>
        <v>3590.94</v>
      </c>
      <c r="C753" s="1">
        <f>IFERROR(__xludf.DUMMYFUNCTION("""COMPUTED_VALUE"""),3637.76)</f>
        <v>3637.76</v>
      </c>
      <c r="D753" s="1">
        <f>IFERROR(__xludf.DUMMYFUNCTION("""COMPUTED_VALUE"""),3338.13)</f>
        <v>3338.13</v>
      </c>
      <c r="E753" s="1">
        <f>IFERROR(__xludf.DUMMYFUNCTION("""COMPUTED_VALUE"""),3338.13)</f>
        <v>3338.13</v>
      </c>
      <c r="F753" s="1">
        <f>IFERROR(__xludf.DUMMYFUNCTION("""COMPUTED_VALUE"""),1506580.0)</f>
        <v>1506580</v>
      </c>
    </row>
    <row r="754">
      <c r="A754" s="2">
        <f>IFERROR(__xludf.DUMMYFUNCTION("""COMPUTED_VALUE"""),43095.64583333333)</f>
        <v>43095.64583</v>
      </c>
      <c r="B754" s="1">
        <f>IFERROR(__xludf.DUMMYFUNCTION("""COMPUTED_VALUE"""),3333.44)</f>
        <v>3333.44</v>
      </c>
      <c r="C754" s="1">
        <f>IFERROR(__xludf.DUMMYFUNCTION("""COMPUTED_VALUE"""),3394.31)</f>
        <v>3394.31</v>
      </c>
      <c r="D754" s="1">
        <f>IFERROR(__xludf.DUMMYFUNCTION("""COMPUTED_VALUE"""),3207.04)</f>
        <v>3207.04</v>
      </c>
      <c r="E754" s="1">
        <f>IFERROR(__xludf.DUMMYFUNCTION("""COMPUTED_VALUE"""),3207.04)</f>
        <v>3207.04</v>
      </c>
      <c r="F754" s="1">
        <f>IFERROR(__xludf.DUMMYFUNCTION("""COMPUTED_VALUE"""),652341.0)</f>
        <v>652341</v>
      </c>
    </row>
    <row r="755">
      <c r="A755" s="2">
        <f>IFERROR(__xludf.DUMMYFUNCTION("""COMPUTED_VALUE"""),43096.64583333333)</f>
        <v>43096.64583</v>
      </c>
      <c r="B755" s="1">
        <f>IFERROR(__xludf.DUMMYFUNCTION("""COMPUTED_VALUE"""),3197.67)</f>
        <v>3197.67</v>
      </c>
      <c r="C755" s="1">
        <f>IFERROR(__xludf.DUMMYFUNCTION("""COMPUTED_VALUE"""),3291.31)</f>
        <v>3291.31</v>
      </c>
      <c r="D755" s="1">
        <f>IFERROR(__xludf.DUMMYFUNCTION("""COMPUTED_VALUE"""),3192.99)</f>
        <v>3192.99</v>
      </c>
      <c r="E755" s="1">
        <f>IFERROR(__xludf.DUMMYFUNCTION("""COMPUTED_VALUE"""),3207.04)</f>
        <v>3207.04</v>
      </c>
      <c r="F755" s="1">
        <f>IFERROR(__xludf.DUMMYFUNCTION("""COMPUTED_VALUE"""),511001.0)</f>
        <v>511001</v>
      </c>
    </row>
    <row r="756">
      <c r="A756" s="2">
        <f>IFERROR(__xludf.DUMMYFUNCTION("""COMPUTED_VALUE"""),43097.64583333333)</f>
        <v>43097.64583</v>
      </c>
      <c r="B756" s="1">
        <f>IFERROR(__xludf.DUMMYFUNCTION("""COMPUTED_VALUE"""),3211.72)</f>
        <v>3211.72</v>
      </c>
      <c r="C756" s="1">
        <f>IFERROR(__xludf.DUMMYFUNCTION("""COMPUTED_VALUE"""),3684.58)</f>
        <v>3684.58</v>
      </c>
      <c r="D756" s="1">
        <f>IFERROR(__xludf.DUMMYFUNCTION("""COMPUTED_VALUE"""),3188.31)</f>
        <v>3188.31</v>
      </c>
      <c r="E756" s="1">
        <f>IFERROR(__xludf.DUMMYFUNCTION("""COMPUTED_VALUE"""),3324.08)</f>
        <v>3324.08</v>
      </c>
      <c r="F756" s="1">
        <f>IFERROR(__xludf.DUMMYFUNCTION("""COMPUTED_VALUE"""),3070719.0)</f>
        <v>3070719</v>
      </c>
    </row>
    <row r="757">
      <c r="A757" s="2">
        <f>IFERROR(__xludf.DUMMYFUNCTION("""COMPUTED_VALUE"""),43102.64583333333)</f>
        <v>43102.64583</v>
      </c>
      <c r="B757" s="1">
        <f>IFERROR(__xludf.DUMMYFUNCTION("""COMPUTED_VALUE"""),3352.17)</f>
        <v>3352.17</v>
      </c>
      <c r="C757" s="1">
        <f>IFERROR(__xludf.DUMMYFUNCTION("""COMPUTED_VALUE"""),3455.17)</f>
        <v>3455.17</v>
      </c>
      <c r="D757" s="1">
        <f>IFERROR(__xludf.DUMMYFUNCTION("""COMPUTED_VALUE"""),3314.72)</f>
        <v>3314.72</v>
      </c>
      <c r="E757" s="1">
        <f>IFERROR(__xludf.DUMMYFUNCTION("""COMPUTED_VALUE"""),3403.67)</f>
        <v>3403.67</v>
      </c>
      <c r="F757" s="1">
        <f>IFERROR(__xludf.DUMMYFUNCTION("""COMPUTED_VALUE"""),617051.0)</f>
        <v>617051</v>
      </c>
    </row>
    <row r="758">
      <c r="A758" s="2">
        <f>IFERROR(__xludf.DUMMYFUNCTION("""COMPUTED_VALUE"""),43103.64583333333)</f>
        <v>43103.64583</v>
      </c>
      <c r="B758" s="1">
        <f>IFERROR(__xludf.DUMMYFUNCTION("""COMPUTED_VALUE"""),3417.72)</f>
        <v>3417.72</v>
      </c>
      <c r="C758" s="1">
        <f>IFERROR(__xludf.DUMMYFUNCTION("""COMPUTED_VALUE"""),3604.99)</f>
        <v>3604.99</v>
      </c>
      <c r="D758" s="1">
        <f>IFERROR(__xludf.DUMMYFUNCTION("""COMPUTED_VALUE"""),3408.35)</f>
        <v>3408.35</v>
      </c>
      <c r="E758" s="1">
        <f>IFERROR(__xludf.DUMMYFUNCTION("""COMPUTED_VALUE"""),3501.99)</f>
        <v>3501.99</v>
      </c>
      <c r="F758" s="1">
        <f>IFERROR(__xludf.DUMMYFUNCTION("""COMPUTED_VALUE"""),1201734.0)</f>
        <v>1201734</v>
      </c>
    </row>
    <row r="759">
      <c r="A759" s="2">
        <f>IFERROR(__xludf.DUMMYFUNCTION("""COMPUTED_VALUE"""),43104.64583333333)</f>
        <v>43104.64583</v>
      </c>
      <c r="B759" s="1">
        <f>IFERROR(__xludf.DUMMYFUNCTION("""COMPUTED_VALUE"""),3501.99)</f>
        <v>3501.99</v>
      </c>
      <c r="C759" s="1">
        <f>IFERROR(__xludf.DUMMYFUNCTION("""COMPUTED_VALUE"""),3670.53)</f>
        <v>3670.53</v>
      </c>
      <c r="D759" s="1">
        <f>IFERROR(__xludf.DUMMYFUNCTION("""COMPUTED_VALUE"""),3324.08)</f>
        <v>3324.08</v>
      </c>
      <c r="E759" s="1">
        <f>IFERROR(__xludf.DUMMYFUNCTION("""COMPUTED_VALUE"""),3361.54)</f>
        <v>3361.54</v>
      </c>
      <c r="F759" s="1">
        <f>IFERROR(__xludf.DUMMYFUNCTION("""COMPUTED_VALUE"""),1642859.0)</f>
        <v>1642859</v>
      </c>
    </row>
    <row r="760">
      <c r="A760" s="2">
        <f>IFERROR(__xludf.DUMMYFUNCTION("""COMPUTED_VALUE"""),43105.64583333333)</f>
        <v>43105.64583</v>
      </c>
      <c r="B760" s="1">
        <f>IFERROR(__xludf.DUMMYFUNCTION("""COMPUTED_VALUE"""),3417.72)</f>
        <v>3417.72</v>
      </c>
      <c r="C760" s="1">
        <f>IFERROR(__xludf.DUMMYFUNCTION("""COMPUTED_VALUE"""),3572.22)</f>
        <v>3572.22</v>
      </c>
      <c r="D760" s="1">
        <f>IFERROR(__xludf.DUMMYFUNCTION("""COMPUTED_VALUE"""),3370.9)</f>
        <v>3370.9</v>
      </c>
      <c r="E760" s="1">
        <f>IFERROR(__xludf.DUMMYFUNCTION("""COMPUTED_VALUE"""),3534.76)</f>
        <v>3534.76</v>
      </c>
      <c r="F760" s="1">
        <f>IFERROR(__xludf.DUMMYFUNCTION("""COMPUTED_VALUE"""),779928.0)</f>
        <v>779928</v>
      </c>
    </row>
    <row r="761">
      <c r="A761" s="2">
        <f>IFERROR(__xludf.DUMMYFUNCTION("""COMPUTED_VALUE"""),43108.64583333333)</f>
        <v>43108.64583</v>
      </c>
      <c r="B761" s="1">
        <f>IFERROR(__xludf.DUMMYFUNCTION("""COMPUTED_VALUE"""),3628.4)</f>
        <v>3628.4</v>
      </c>
      <c r="C761" s="1">
        <f>IFERROR(__xludf.DUMMYFUNCTION("""COMPUTED_VALUE"""),3848.44)</f>
        <v>3848.44</v>
      </c>
      <c r="D761" s="1">
        <f>IFERROR(__xludf.DUMMYFUNCTION("""COMPUTED_VALUE"""),3558.17)</f>
        <v>3558.17</v>
      </c>
      <c r="E761" s="1">
        <f>IFERROR(__xludf.DUMMYFUNCTION("""COMPUTED_VALUE"""),3661.17)</f>
        <v>3661.17</v>
      </c>
      <c r="F761" s="1">
        <f>IFERROR(__xludf.DUMMYFUNCTION("""COMPUTED_VALUE"""),2501249.0)</f>
        <v>2501249</v>
      </c>
    </row>
    <row r="762">
      <c r="A762" s="2">
        <f>IFERROR(__xludf.DUMMYFUNCTION("""COMPUTED_VALUE"""),43109.64583333333)</f>
        <v>43109.64583</v>
      </c>
      <c r="B762" s="1">
        <f>IFERROR(__xludf.DUMMYFUNCTION("""COMPUTED_VALUE"""),3670.53)</f>
        <v>3670.53</v>
      </c>
      <c r="C762" s="1">
        <f>IFERROR(__xludf.DUMMYFUNCTION("""COMPUTED_VALUE"""),3698.63)</f>
        <v>3698.63</v>
      </c>
      <c r="D762" s="1">
        <f>IFERROR(__xludf.DUMMYFUNCTION("""COMPUTED_VALUE"""),3478.58)</f>
        <v>3478.58</v>
      </c>
      <c r="E762" s="1">
        <f>IFERROR(__xludf.DUMMYFUNCTION("""COMPUTED_VALUE"""),3525.4)</f>
        <v>3525.4</v>
      </c>
      <c r="F762" s="1">
        <f>IFERROR(__xludf.DUMMYFUNCTION("""COMPUTED_VALUE"""),1056735.0)</f>
        <v>1056735</v>
      </c>
    </row>
    <row r="763">
      <c r="A763" s="2">
        <f>IFERROR(__xludf.DUMMYFUNCTION("""COMPUTED_VALUE"""),43110.64583333333)</f>
        <v>43110.64583</v>
      </c>
      <c r="B763" s="1">
        <f>IFERROR(__xludf.DUMMYFUNCTION("""COMPUTED_VALUE"""),3525.4)</f>
        <v>3525.4</v>
      </c>
      <c r="C763" s="1">
        <f>IFERROR(__xludf.DUMMYFUNCTION("""COMPUTED_VALUE"""),3623.72)</f>
        <v>3623.72</v>
      </c>
      <c r="D763" s="1">
        <f>IFERROR(__xludf.DUMMYFUNCTION("""COMPUTED_VALUE"""),3478.58)</f>
        <v>3478.58</v>
      </c>
      <c r="E763" s="1">
        <f>IFERROR(__xludf.DUMMYFUNCTION("""COMPUTED_VALUE"""),3478.58)</f>
        <v>3478.58</v>
      </c>
      <c r="F763" s="1">
        <f>IFERROR(__xludf.DUMMYFUNCTION("""COMPUTED_VALUE"""),529793.0)</f>
        <v>529793</v>
      </c>
    </row>
    <row r="764">
      <c r="A764" s="2">
        <f>IFERROR(__xludf.DUMMYFUNCTION("""COMPUTED_VALUE"""),43111.64583333333)</f>
        <v>43111.64583</v>
      </c>
      <c r="B764" s="1">
        <f>IFERROR(__xludf.DUMMYFUNCTION("""COMPUTED_VALUE"""),3422.4)</f>
        <v>3422.4</v>
      </c>
      <c r="C764" s="1">
        <f>IFERROR(__xludf.DUMMYFUNCTION("""COMPUTED_VALUE"""),3455.17)</f>
        <v>3455.17</v>
      </c>
      <c r="D764" s="1">
        <f>IFERROR(__xludf.DUMMYFUNCTION("""COMPUTED_VALUE"""),3211.72)</f>
        <v>3211.72</v>
      </c>
      <c r="E764" s="1">
        <f>IFERROR(__xludf.DUMMYFUNCTION("""COMPUTED_VALUE"""),3300.67)</f>
        <v>3300.67</v>
      </c>
      <c r="F764" s="1">
        <f>IFERROR(__xludf.DUMMYFUNCTION("""COMPUTED_VALUE"""),1004111.0)</f>
        <v>1004111</v>
      </c>
    </row>
    <row r="765">
      <c r="A765" s="2">
        <f>IFERROR(__xludf.DUMMYFUNCTION("""COMPUTED_VALUE"""),43112.64583333333)</f>
        <v>43112.64583</v>
      </c>
      <c r="B765" s="1">
        <f>IFERROR(__xludf.DUMMYFUNCTION("""COMPUTED_VALUE"""),3338.13)</f>
        <v>3338.13</v>
      </c>
      <c r="C765" s="1">
        <f>IFERROR(__xludf.DUMMYFUNCTION("""COMPUTED_VALUE"""),3352.17)</f>
        <v>3352.17</v>
      </c>
      <c r="D765" s="1">
        <f>IFERROR(__xludf.DUMMYFUNCTION("""COMPUTED_VALUE"""),3211.72)</f>
        <v>3211.72</v>
      </c>
      <c r="E765" s="1">
        <f>IFERROR(__xludf.DUMMYFUNCTION("""COMPUTED_VALUE"""),3267.9)</f>
        <v>3267.9</v>
      </c>
      <c r="F765" s="1">
        <f>IFERROR(__xludf.DUMMYFUNCTION("""COMPUTED_VALUE"""),414478.0)</f>
        <v>414478</v>
      </c>
    </row>
    <row r="766">
      <c r="A766" s="2">
        <f>IFERROR(__xludf.DUMMYFUNCTION("""COMPUTED_VALUE"""),43115.64583333333)</f>
        <v>43115.64583</v>
      </c>
      <c r="B766" s="1">
        <f>IFERROR(__xludf.DUMMYFUNCTION("""COMPUTED_VALUE"""),3324.08)</f>
        <v>3324.08</v>
      </c>
      <c r="C766" s="1">
        <f>IFERROR(__xludf.DUMMYFUNCTION("""COMPUTED_VALUE"""),3679.9)</f>
        <v>3679.9</v>
      </c>
      <c r="D766" s="1">
        <f>IFERROR(__xludf.DUMMYFUNCTION("""COMPUTED_VALUE"""),3319.4)</f>
        <v>3319.4</v>
      </c>
      <c r="E766" s="1">
        <f>IFERROR(__xludf.DUMMYFUNCTION("""COMPUTED_VALUE"""),3455.17)</f>
        <v>3455.17</v>
      </c>
      <c r="F766" s="1">
        <f>IFERROR(__xludf.DUMMYFUNCTION("""COMPUTED_VALUE"""),2048958.0)</f>
        <v>2048958</v>
      </c>
    </row>
    <row r="767">
      <c r="A767" s="2">
        <f>IFERROR(__xludf.DUMMYFUNCTION("""COMPUTED_VALUE"""),43116.64583333333)</f>
        <v>43116.64583</v>
      </c>
      <c r="B767" s="1">
        <f>IFERROR(__xludf.DUMMYFUNCTION("""COMPUTED_VALUE"""),3492.63)</f>
        <v>3492.63</v>
      </c>
      <c r="C767" s="1">
        <f>IFERROR(__xludf.DUMMYFUNCTION("""COMPUTED_VALUE"""),3544.13)</f>
        <v>3544.13</v>
      </c>
      <c r="D767" s="1">
        <f>IFERROR(__xludf.DUMMYFUNCTION("""COMPUTED_VALUE"""),3398.99)</f>
        <v>3398.99</v>
      </c>
      <c r="E767" s="1">
        <f>IFERROR(__xludf.DUMMYFUNCTION("""COMPUTED_VALUE"""),3422.4)</f>
        <v>3422.4</v>
      </c>
      <c r="F767" s="1">
        <f>IFERROR(__xludf.DUMMYFUNCTION("""COMPUTED_VALUE"""),742795.0)</f>
        <v>742795</v>
      </c>
    </row>
    <row r="768">
      <c r="A768" s="2">
        <f>IFERROR(__xludf.DUMMYFUNCTION("""COMPUTED_VALUE"""),43117.64583333333)</f>
        <v>43117.64583</v>
      </c>
      <c r="B768" s="1">
        <f>IFERROR(__xludf.DUMMYFUNCTION("""COMPUTED_VALUE"""),3487.94)</f>
        <v>3487.94</v>
      </c>
      <c r="C768" s="1">
        <f>IFERROR(__xludf.DUMMYFUNCTION("""COMPUTED_VALUE"""),4447.71)</f>
        <v>4447.71</v>
      </c>
      <c r="D768" s="1">
        <f>IFERROR(__xludf.DUMMYFUNCTION("""COMPUTED_VALUE"""),3436.44)</f>
        <v>3436.44</v>
      </c>
      <c r="E768" s="1">
        <f>IFERROR(__xludf.DUMMYFUNCTION("""COMPUTED_VALUE"""),4447.71)</f>
        <v>4447.71</v>
      </c>
      <c r="F768" s="1">
        <f>IFERROR(__xludf.DUMMYFUNCTION("""COMPUTED_VALUE"""),1.2435707E7)</f>
        <v>12435707</v>
      </c>
    </row>
    <row r="769">
      <c r="A769" s="2">
        <f>IFERROR(__xludf.DUMMYFUNCTION("""COMPUTED_VALUE"""),43118.64583333333)</f>
        <v>43118.64583</v>
      </c>
      <c r="B769" s="1">
        <f>IFERROR(__xludf.DUMMYFUNCTION("""COMPUTED_VALUE"""),4677.12)</f>
        <v>4677.12</v>
      </c>
      <c r="C769" s="1">
        <f>IFERROR(__xludf.DUMMYFUNCTION("""COMPUTED_VALUE"""),5777.35)</f>
        <v>5777.35</v>
      </c>
      <c r="D769" s="1">
        <f>IFERROR(__xludf.DUMMYFUNCTION("""COMPUTED_VALUE"""),4672.44)</f>
        <v>4672.44</v>
      </c>
      <c r="E769" s="1">
        <f>IFERROR(__xludf.DUMMYFUNCTION("""COMPUTED_VALUE"""),5543.26)</f>
        <v>5543.26</v>
      </c>
      <c r="F769" s="1">
        <f>IFERROR(__xludf.DUMMYFUNCTION("""COMPUTED_VALUE"""),2.7801621E7)</f>
        <v>27801621</v>
      </c>
    </row>
    <row r="770">
      <c r="A770" s="2">
        <f>IFERROR(__xludf.DUMMYFUNCTION("""COMPUTED_VALUE"""),43119.64583333333)</f>
        <v>43119.64583</v>
      </c>
      <c r="B770" s="1">
        <f>IFERROR(__xludf.DUMMYFUNCTION("""COMPUTED_VALUE"""),5571.35)</f>
        <v>5571.35</v>
      </c>
      <c r="C770" s="1">
        <f>IFERROR(__xludf.DUMMYFUNCTION("""COMPUTED_VALUE"""),5599.44)</f>
        <v>5599.44</v>
      </c>
      <c r="D770" s="1">
        <f>IFERROR(__xludf.DUMMYFUNCTION("""COMPUTED_VALUE"""),4953.35)</f>
        <v>4953.35</v>
      </c>
      <c r="E770" s="1">
        <f>IFERROR(__xludf.DUMMYFUNCTION("""COMPUTED_VALUE"""),5149.98)</f>
        <v>5149.98</v>
      </c>
      <c r="F770" s="1">
        <f>IFERROR(__xludf.DUMMYFUNCTION("""COMPUTED_VALUE"""),8132681.0)</f>
        <v>8132681</v>
      </c>
    </row>
    <row r="771">
      <c r="A771" s="2">
        <f>IFERROR(__xludf.DUMMYFUNCTION("""COMPUTED_VALUE"""),43122.64583333333)</f>
        <v>43122.64583</v>
      </c>
      <c r="B771" s="1">
        <f>IFERROR(__xludf.DUMMYFUNCTION("""COMPUTED_VALUE"""),5309.17)</f>
        <v>5309.17</v>
      </c>
      <c r="C771" s="1">
        <f>IFERROR(__xludf.DUMMYFUNCTION("""COMPUTED_VALUE"""),6048.89)</f>
        <v>6048.89</v>
      </c>
      <c r="D771" s="1">
        <f>IFERROR(__xludf.DUMMYFUNCTION("""COMPUTED_VALUE"""),5178.08)</f>
        <v>5178.08</v>
      </c>
      <c r="E771" s="1">
        <f>IFERROR(__xludf.DUMMYFUNCTION("""COMPUTED_VALUE"""),5515.17)</f>
        <v>5515.17</v>
      </c>
      <c r="F771" s="1">
        <f>IFERROR(__xludf.DUMMYFUNCTION("""COMPUTED_VALUE"""),1.3702033E7)</f>
        <v>13702033</v>
      </c>
    </row>
    <row r="772">
      <c r="A772" s="2">
        <f>IFERROR(__xludf.DUMMYFUNCTION("""COMPUTED_VALUE"""),43123.64583333333)</f>
        <v>43123.64583</v>
      </c>
      <c r="B772" s="1">
        <f>IFERROR(__xludf.DUMMYFUNCTION("""COMPUTED_VALUE"""),5430.89)</f>
        <v>5430.89</v>
      </c>
      <c r="C772" s="1">
        <f>IFERROR(__xludf.DUMMYFUNCTION("""COMPUTED_VALUE"""),6273.62)</f>
        <v>6273.62</v>
      </c>
      <c r="D772" s="1">
        <f>IFERROR(__xludf.DUMMYFUNCTION("""COMPUTED_VALUE"""),5252.98)</f>
        <v>5252.98</v>
      </c>
      <c r="E772" s="1">
        <f>IFERROR(__xludf.DUMMYFUNCTION("""COMPUTED_VALUE"""),5721.16)</f>
        <v>5721.16</v>
      </c>
      <c r="F772" s="1">
        <f>IFERROR(__xludf.DUMMYFUNCTION("""COMPUTED_VALUE"""),1.2706166E7)</f>
        <v>12706166</v>
      </c>
    </row>
    <row r="773">
      <c r="A773" s="2">
        <f>IFERROR(__xludf.DUMMYFUNCTION("""COMPUTED_VALUE"""),43124.64583333333)</f>
        <v>43124.64583</v>
      </c>
      <c r="B773" s="1">
        <f>IFERROR(__xludf.DUMMYFUNCTION("""COMPUTED_VALUE"""),5739.89)</f>
        <v>5739.89</v>
      </c>
      <c r="C773" s="1">
        <f>IFERROR(__xludf.DUMMYFUNCTION("""COMPUTED_VALUE"""),6020.8)</f>
        <v>6020.8</v>
      </c>
      <c r="D773" s="1">
        <f>IFERROR(__xludf.DUMMYFUNCTION("""COMPUTED_VALUE"""),5496.44)</f>
        <v>5496.44</v>
      </c>
      <c r="E773" s="1">
        <f>IFERROR(__xludf.DUMMYFUNCTION("""COMPUTED_VALUE"""),5646.26)</f>
        <v>5646.26</v>
      </c>
      <c r="F773" s="1">
        <f>IFERROR(__xludf.DUMMYFUNCTION("""COMPUTED_VALUE"""),4789047.0)</f>
        <v>4789047</v>
      </c>
    </row>
    <row r="774">
      <c r="A774" s="2">
        <f>IFERROR(__xludf.DUMMYFUNCTION("""COMPUTED_VALUE"""),43125.64583333333)</f>
        <v>43125.64583</v>
      </c>
      <c r="B774" s="1">
        <f>IFERROR(__xludf.DUMMYFUNCTION("""COMPUTED_VALUE"""),5590.07)</f>
        <v>5590.07</v>
      </c>
      <c r="C774" s="1">
        <f>IFERROR(__xludf.DUMMYFUNCTION("""COMPUTED_VALUE"""),5870.98)</f>
        <v>5870.98</v>
      </c>
      <c r="D774" s="1">
        <f>IFERROR(__xludf.DUMMYFUNCTION("""COMPUTED_VALUE"""),5412.17)</f>
        <v>5412.17</v>
      </c>
      <c r="E774" s="1">
        <f>IFERROR(__xludf.DUMMYFUNCTION("""COMPUTED_VALUE"""),5636.89)</f>
        <v>5636.89</v>
      </c>
      <c r="F774" s="1">
        <f>IFERROR(__xludf.DUMMYFUNCTION("""COMPUTED_VALUE"""),3288301.0)</f>
        <v>3288301</v>
      </c>
    </row>
    <row r="775">
      <c r="A775" s="2">
        <f>IFERROR(__xludf.DUMMYFUNCTION("""COMPUTED_VALUE"""),43126.64583333333)</f>
        <v>43126.64583</v>
      </c>
      <c r="B775" s="1">
        <f>IFERROR(__xludf.DUMMYFUNCTION("""COMPUTED_VALUE"""),5636.89)</f>
        <v>5636.89</v>
      </c>
      <c r="C775" s="1">
        <f>IFERROR(__xludf.DUMMYFUNCTION("""COMPUTED_VALUE"""),5833.53)</f>
        <v>5833.53</v>
      </c>
      <c r="D775" s="1">
        <f>IFERROR(__xludf.DUMMYFUNCTION("""COMPUTED_VALUE"""),5496.44)</f>
        <v>5496.44</v>
      </c>
      <c r="E775" s="1">
        <f>IFERROR(__xludf.DUMMYFUNCTION("""COMPUTED_VALUE"""),5646.26)</f>
        <v>5646.26</v>
      </c>
      <c r="F775" s="1">
        <f>IFERROR(__xludf.DUMMYFUNCTION("""COMPUTED_VALUE"""),1772357.0)</f>
        <v>1772357</v>
      </c>
    </row>
    <row r="776">
      <c r="A776" s="2">
        <f>IFERROR(__xludf.DUMMYFUNCTION("""COMPUTED_VALUE"""),43129.64583333333)</f>
        <v>43129.64583</v>
      </c>
      <c r="B776" s="1">
        <f>IFERROR(__xludf.DUMMYFUNCTION("""COMPUTED_VALUE"""),5964.62)</f>
        <v>5964.62</v>
      </c>
      <c r="C776" s="1">
        <f>IFERROR(__xludf.DUMMYFUNCTION("""COMPUTED_VALUE"""),6133.16)</f>
        <v>6133.16</v>
      </c>
      <c r="D776" s="1">
        <f>IFERROR(__xludf.DUMMYFUNCTION("""COMPUTED_VALUE"""),5515.17)</f>
        <v>5515.17</v>
      </c>
      <c r="E776" s="1">
        <f>IFERROR(__xludf.DUMMYFUNCTION("""COMPUTED_VALUE"""),5552.62)</f>
        <v>5552.62</v>
      </c>
      <c r="F776" s="1">
        <f>IFERROR(__xludf.DUMMYFUNCTION("""COMPUTED_VALUE"""),4352213.0)</f>
        <v>4352213</v>
      </c>
    </row>
    <row r="777">
      <c r="A777" s="2">
        <f>IFERROR(__xludf.DUMMYFUNCTION("""COMPUTED_VALUE"""),43130.64583333333)</f>
        <v>43130.64583</v>
      </c>
      <c r="B777" s="1">
        <f>IFERROR(__xludf.DUMMYFUNCTION("""COMPUTED_VALUE"""),5561.98)</f>
        <v>5561.98</v>
      </c>
      <c r="C777" s="1">
        <f>IFERROR(__xludf.DUMMYFUNCTION("""COMPUTED_VALUE"""),5571.35)</f>
        <v>5571.35</v>
      </c>
      <c r="D777" s="1">
        <f>IFERROR(__xludf.DUMMYFUNCTION("""COMPUTED_VALUE"""),5318.53)</f>
        <v>5318.53</v>
      </c>
      <c r="E777" s="1">
        <f>IFERROR(__xludf.DUMMYFUNCTION("""COMPUTED_VALUE"""),5440.26)</f>
        <v>5440.26</v>
      </c>
      <c r="F777" s="1">
        <f>IFERROR(__xludf.DUMMYFUNCTION("""COMPUTED_VALUE"""),1435407.0)</f>
        <v>1435407</v>
      </c>
    </row>
    <row r="778">
      <c r="A778" s="2">
        <f>IFERROR(__xludf.DUMMYFUNCTION("""COMPUTED_VALUE"""),43131.64583333333)</f>
        <v>43131.64583</v>
      </c>
      <c r="B778" s="1">
        <f>IFERROR(__xludf.DUMMYFUNCTION("""COMPUTED_VALUE"""),5412.17)</f>
        <v>5412.17</v>
      </c>
      <c r="C778" s="1">
        <f>IFERROR(__xludf.DUMMYFUNCTION("""COMPUTED_VALUE"""),5515.17)</f>
        <v>5515.17</v>
      </c>
      <c r="D778" s="1">
        <f>IFERROR(__xludf.DUMMYFUNCTION("""COMPUTED_VALUE"""),5178.08)</f>
        <v>5178.08</v>
      </c>
      <c r="E778" s="1">
        <f>IFERROR(__xludf.DUMMYFUNCTION("""COMPUTED_VALUE"""),5215.53)</f>
        <v>5215.53</v>
      </c>
      <c r="F778" s="1">
        <f>IFERROR(__xludf.DUMMYFUNCTION("""COMPUTED_VALUE"""),1188075.0)</f>
        <v>1188075</v>
      </c>
    </row>
    <row r="779">
      <c r="A779" s="2">
        <f>IFERROR(__xludf.DUMMYFUNCTION("""COMPUTED_VALUE"""),43132.64583333333)</f>
        <v>43132.64583</v>
      </c>
      <c r="B779" s="1">
        <f>IFERROR(__xludf.DUMMYFUNCTION("""COMPUTED_VALUE"""),5299.8)</f>
        <v>5299.8</v>
      </c>
      <c r="C779" s="1">
        <f>IFERROR(__xludf.DUMMYFUNCTION("""COMPUTED_VALUE"""),5299.8)</f>
        <v>5299.8</v>
      </c>
      <c r="D779" s="1">
        <f>IFERROR(__xludf.DUMMYFUNCTION("""COMPUTED_VALUE"""),5028.26)</f>
        <v>5028.26</v>
      </c>
      <c r="E779" s="1">
        <f>IFERROR(__xludf.DUMMYFUNCTION("""COMPUTED_VALUE"""),5178.08)</f>
        <v>5178.08</v>
      </c>
      <c r="F779" s="1">
        <f>IFERROR(__xludf.DUMMYFUNCTION("""COMPUTED_VALUE"""),1102076.0)</f>
        <v>1102076</v>
      </c>
    </row>
    <row r="780">
      <c r="A780" s="2">
        <f>IFERROR(__xludf.DUMMYFUNCTION("""COMPUTED_VALUE"""),43133.64583333333)</f>
        <v>43133.64583</v>
      </c>
      <c r="B780" s="1">
        <f>IFERROR(__xludf.DUMMYFUNCTION("""COMPUTED_VALUE"""),5112.53)</f>
        <v>5112.53</v>
      </c>
      <c r="C780" s="1">
        <f>IFERROR(__xludf.DUMMYFUNCTION("""COMPUTED_VALUE"""),5421.53)</f>
        <v>5421.53</v>
      </c>
      <c r="D780" s="1">
        <f>IFERROR(__xludf.DUMMYFUNCTION("""COMPUTED_VALUE"""),5037.62)</f>
        <v>5037.62</v>
      </c>
      <c r="E780" s="1">
        <f>IFERROR(__xludf.DUMMYFUNCTION("""COMPUTED_VALUE"""),5309.17)</f>
        <v>5309.17</v>
      </c>
      <c r="F780" s="1">
        <f>IFERROR(__xludf.DUMMYFUNCTION("""COMPUTED_VALUE"""),1821384.0)</f>
        <v>1821384</v>
      </c>
    </row>
    <row r="781">
      <c r="A781" s="2">
        <f>IFERROR(__xludf.DUMMYFUNCTION("""COMPUTED_VALUE"""),43136.64583333333)</f>
        <v>43136.64583</v>
      </c>
      <c r="B781" s="1">
        <f>IFERROR(__xludf.DUMMYFUNCTION("""COMPUTED_VALUE"""),5206.17)</f>
        <v>5206.17</v>
      </c>
      <c r="C781" s="1">
        <f>IFERROR(__xludf.DUMMYFUNCTION("""COMPUTED_VALUE"""),5683.71)</f>
        <v>5683.71</v>
      </c>
      <c r="D781" s="1">
        <f>IFERROR(__xludf.DUMMYFUNCTION("""COMPUTED_VALUE"""),5084.44)</f>
        <v>5084.44</v>
      </c>
      <c r="E781" s="1">
        <f>IFERROR(__xludf.DUMMYFUNCTION("""COMPUTED_VALUE"""),5487.07)</f>
        <v>5487.07</v>
      </c>
      <c r="F781" s="1">
        <f>IFERROR(__xludf.DUMMYFUNCTION("""COMPUTED_VALUE"""),3746833.0)</f>
        <v>3746833</v>
      </c>
    </row>
    <row r="782">
      <c r="A782" s="2">
        <f>IFERROR(__xludf.DUMMYFUNCTION("""COMPUTED_VALUE"""),43137.64583333333)</f>
        <v>43137.64583</v>
      </c>
      <c r="B782" s="1">
        <f>IFERROR(__xludf.DUMMYFUNCTION("""COMPUTED_VALUE"""),5103.17)</f>
        <v>5103.17</v>
      </c>
      <c r="C782" s="1">
        <f>IFERROR(__xludf.DUMMYFUNCTION("""COMPUTED_VALUE"""),5440.26)</f>
        <v>5440.26</v>
      </c>
      <c r="D782" s="1">
        <f>IFERROR(__xludf.DUMMYFUNCTION("""COMPUTED_VALUE"""),5037.62)</f>
        <v>5037.62</v>
      </c>
      <c r="E782" s="1">
        <f>IFERROR(__xludf.DUMMYFUNCTION("""COMPUTED_VALUE"""),5440.26)</f>
        <v>5440.26</v>
      </c>
      <c r="F782" s="1">
        <f>IFERROR(__xludf.DUMMYFUNCTION("""COMPUTED_VALUE"""),2127302.0)</f>
        <v>2127302</v>
      </c>
    </row>
    <row r="783">
      <c r="A783" s="2">
        <f>IFERROR(__xludf.DUMMYFUNCTION("""COMPUTED_VALUE"""),43138.64583333333)</f>
        <v>43138.64583</v>
      </c>
      <c r="B783" s="1">
        <f>IFERROR(__xludf.DUMMYFUNCTION("""COMPUTED_VALUE"""),5599.44)</f>
        <v>5599.44</v>
      </c>
      <c r="C783" s="1">
        <f>IFERROR(__xludf.DUMMYFUNCTION("""COMPUTED_VALUE"""),5786.71)</f>
        <v>5786.71</v>
      </c>
      <c r="D783" s="1">
        <f>IFERROR(__xludf.DUMMYFUNCTION("""COMPUTED_VALUE"""),5028.26)</f>
        <v>5028.26</v>
      </c>
      <c r="E783" s="1">
        <f>IFERROR(__xludf.DUMMYFUNCTION("""COMPUTED_VALUE"""),5028.26)</f>
        <v>5028.26</v>
      </c>
      <c r="F783" s="1">
        <f>IFERROR(__xludf.DUMMYFUNCTION("""COMPUTED_VALUE"""),2887012.0)</f>
        <v>2887012</v>
      </c>
    </row>
    <row r="784">
      <c r="A784" s="2">
        <f>IFERROR(__xludf.DUMMYFUNCTION("""COMPUTED_VALUE"""),43139.64583333333)</f>
        <v>43139.64583</v>
      </c>
      <c r="B784" s="1">
        <f>IFERROR(__xludf.DUMMYFUNCTION("""COMPUTED_VALUE"""),4972.08)</f>
        <v>4972.08</v>
      </c>
      <c r="C784" s="1">
        <f>IFERROR(__xludf.DUMMYFUNCTION("""COMPUTED_VALUE"""),5159.35)</f>
        <v>5159.35</v>
      </c>
      <c r="D784" s="1">
        <f>IFERROR(__xludf.DUMMYFUNCTION("""COMPUTED_VALUE"""),4878.44)</f>
        <v>4878.44</v>
      </c>
      <c r="E784" s="1">
        <f>IFERROR(__xludf.DUMMYFUNCTION("""COMPUTED_VALUE"""),4962.71)</f>
        <v>4962.71</v>
      </c>
      <c r="F784" s="1">
        <f>IFERROR(__xludf.DUMMYFUNCTION("""COMPUTED_VALUE"""),1012615.0)</f>
        <v>1012615</v>
      </c>
    </row>
    <row r="785">
      <c r="A785" s="2">
        <f>IFERROR(__xludf.DUMMYFUNCTION("""COMPUTED_VALUE"""),43140.64583333333)</f>
        <v>43140.64583</v>
      </c>
      <c r="B785" s="1">
        <f>IFERROR(__xludf.DUMMYFUNCTION("""COMPUTED_VALUE"""),4737.99)</f>
        <v>4737.99</v>
      </c>
      <c r="C785" s="1">
        <f>IFERROR(__xludf.DUMMYFUNCTION("""COMPUTED_VALUE"""),4822.26)</f>
        <v>4822.26</v>
      </c>
      <c r="D785" s="1">
        <f>IFERROR(__xludf.DUMMYFUNCTION("""COMPUTED_VALUE"""),4588.17)</f>
        <v>4588.17</v>
      </c>
      <c r="E785" s="1">
        <f>IFERROR(__xludf.DUMMYFUNCTION("""COMPUTED_VALUE"""),4592.85)</f>
        <v>4592.85</v>
      </c>
      <c r="F785" s="1">
        <f>IFERROR(__xludf.DUMMYFUNCTION("""COMPUTED_VALUE"""),941819.0)</f>
        <v>941819</v>
      </c>
    </row>
    <row r="786">
      <c r="A786" s="2">
        <f>IFERROR(__xludf.DUMMYFUNCTION("""COMPUTED_VALUE"""),43143.64583333333)</f>
        <v>43143.64583</v>
      </c>
      <c r="B786" s="1">
        <f>IFERROR(__xludf.DUMMYFUNCTION("""COMPUTED_VALUE"""),4756.71)</f>
        <v>4756.71</v>
      </c>
      <c r="C786" s="1">
        <f>IFERROR(__xludf.DUMMYFUNCTION("""COMPUTED_VALUE"""),4962.71)</f>
        <v>4962.71</v>
      </c>
      <c r="D786" s="1">
        <f>IFERROR(__xludf.DUMMYFUNCTION("""COMPUTED_VALUE"""),4681.8)</f>
        <v>4681.8</v>
      </c>
      <c r="E786" s="1">
        <f>IFERROR(__xludf.DUMMYFUNCTION("""COMPUTED_VALUE"""),4728.62)</f>
        <v>4728.62</v>
      </c>
      <c r="F786" s="1">
        <f>IFERROR(__xludf.DUMMYFUNCTION("""COMPUTED_VALUE"""),1043488.0)</f>
        <v>1043488</v>
      </c>
    </row>
    <row r="787">
      <c r="A787" s="2">
        <f>IFERROR(__xludf.DUMMYFUNCTION("""COMPUTED_VALUE"""),43144.64583333333)</f>
        <v>43144.64583</v>
      </c>
      <c r="B787" s="1">
        <f>IFERROR(__xludf.DUMMYFUNCTION("""COMPUTED_VALUE"""),4822.26)</f>
        <v>4822.26</v>
      </c>
      <c r="C787" s="1">
        <f>IFERROR(__xludf.DUMMYFUNCTION("""COMPUTED_VALUE"""),4822.26)</f>
        <v>4822.26</v>
      </c>
      <c r="D787" s="1">
        <f>IFERROR(__xludf.DUMMYFUNCTION("""COMPUTED_VALUE"""),4494.53)</f>
        <v>4494.53</v>
      </c>
      <c r="E787" s="1">
        <f>IFERROR(__xludf.DUMMYFUNCTION("""COMPUTED_VALUE"""),4592.85)</f>
        <v>4592.85</v>
      </c>
      <c r="F787" s="1">
        <f>IFERROR(__xludf.DUMMYFUNCTION("""COMPUTED_VALUE"""),514630.0)</f>
        <v>514630</v>
      </c>
    </row>
    <row r="788">
      <c r="A788" s="2">
        <f>IFERROR(__xludf.DUMMYFUNCTION("""COMPUTED_VALUE"""),43145.64583333333)</f>
        <v>43145.64583</v>
      </c>
      <c r="B788" s="1">
        <f>IFERROR(__xludf.DUMMYFUNCTION("""COMPUTED_VALUE"""),4709.9)</f>
        <v>4709.9</v>
      </c>
      <c r="C788" s="1">
        <f>IFERROR(__xludf.DUMMYFUNCTION("""COMPUTED_VALUE"""),4925.26)</f>
        <v>4925.26</v>
      </c>
      <c r="D788" s="1">
        <f>IFERROR(__xludf.DUMMYFUNCTION("""COMPUTED_VALUE"""),4663.08)</f>
        <v>4663.08</v>
      </c>
      <c r="E788" s="1">
        <f>IFERROR(__xludf.DUMMYFUNCTION("""COMPUTED_VALUE"""),4775.44)</f>
        <v>4775.44</v>
      </c>
      <c r="F788" s="1">
        <f>IFERROR(__xludf.DUMMYFUNCTION("""COMPUTED_VALUE"""),793727.0)</f>
        <v>793727</v>
      </c>
    </row>
    <row r="789">
      <c r="A789" s="2">
        <f>IFERROR(__xludf.DUMMYFUNCTION("""COMPUTED_VALUE"""),43150.64583333333)</f>
        <v>43150.64583</v>
      </c>
      <c r="B789" s="1">
        <f>IFERROR(__xludf.DUMMYFUNCTION("""COMPUTED_VALUE"""),4906.53)</f>
        <v>4906.53</v>
      </c>
      <c r="C789" s="1">
        <f>IFERROR(__xludf.DUMMYFUNCTION("""COMPUTED_VALUE"""),5056.35)</f>
        <v>5056.35</v>
      </c>
      <c r="D789" s="1">
        <f>IFERROR(__xludf.DUMMYFUNCTION("""COMPUTED_VALUE"""),4794.17)</f>
        <v>4794.17</v>
      </c>
      <c r="E789" s="1">
        <f>IFERROR(__xludf.DUMMYFUNCTION("""COMPUTED_VALUE"""),4953.35)</f>
        <v>4953.35</v>
      </c>
      <c r="F789" s="1">
        <f>IFERROR(__xludf.DUMMYFUNCTION("""COMPUTED_VALUE"""),1120291.0)</f>
        <v>1120291</v>
      </c>
    </row>
    <row r="790">
      <c r="A790" s="2">
        <f>IFERROR(__xludf.DUMMYFUNCTION("""COMPUTED_VALUE"""),43151.64583333333)</f>
        <v>43151.64583</v>
      </c>
      <c r="B790" s="1">
        <f>IFERROR(__xludf.DUMMYFUNCTION("""COMPUTED_VALUE"""),4990.8)</f>
        <v>4990.8</v>
      </c>
      <c r="C790" s="1">
        <f>IFERROR(__xludf.DUMMYFUNCTION("""COMPUTED_VALUE"""),5009.53)</f>
        <v>5009.53</v>
      </c>
      <c r="D790" s="1">
        <f>IFERROR(__xludf.DUMMYFUNCTION("""COMPUTED_VALUE"""),4775.44)</f>
        <v>4775.44</v>
      </c>
      <c r="E790" s="1">
        <f>IFERROR(__xludf.DUMMYFUNCTION("""COMPUTED_VALUE"""),4812.89)</f>
        <v>4812.89</v>
      </c>
      <c r="F790" s="1">
        <f>IFERROR(__xludf.DUMMYFUNCTION("""COMPUTED_VALUE"""),577078.0)</f>
        <v>577078</v>
      </c>
    </row>
    <row r="791">
      <c r="A791" s="2">
        <f>IFERROR(__xludf.DUMMYFUNCTION("""COMPUTED_VALUE"""),43152.64583333333)</f>
        <v>43152.64583</v>
      </c>
      <c r="B791" s="1">
        <f>IFERROR(__xludf.DUMMYFUNCTION("""COMPUTED_VALUE"""),4915.89)</f>
        <v>4915.89</v>
      </c>
      <c r="C791" s="1">
        <f>IFERROR(__xludf.DUMMYFUNCTION("""COMPUTED_VALUE"""),4981.44)</f>
        <v>4981.44</v>
      </c>
      <c r="D791" s="1">
        <f>IFERROR(__xludf.DUMMYFUNCTION("""COMPUTED_VALUE"""),4803.53)</f>
        <v>4803.53</v>
      </c>
      <c r="E791" s="1">
        <f>IFERROR(__xludf.DUMMYFUNCTION("""COMPUTED_VALUE"""),4812.89)</f>
        <v>4812.89</v>
      </c>
      <c r="F791" s="1">
        <f>IFERROR(__xludf.DUMMYFUNCTION("""COMPUTED_VALUE"""),520697.0)</f>
        <v>520697</v>
      </c>
    </row>
    <row r="792">
      <c r="A792" s="2">
        <f>IFERROR(__xludf.DUMMYFUNCTION("""COMPUTED_VALUE"""),43153.64583333333)</f>
        <v>43153.64583</v>
      </c>
      <c r="B792" s="1">
        <f>IFERROR(__xludf.DUMMYFUNCTION("""COMPUTED_VALUE"""),4756.71)</f>
        <v>4756.71</v>
      </c>
      <c r="C792" s="1">
        <f>IFERROR(__xludf.DUMMYFUNCTION("""COMPUTED_VALUE"""),5028.26)</f>
        <v>5028.26</v>
      </c>
      <c r="D792" s="1">
        <f>IFERROR(__xludf.DUMMYFUNCTION("""COMPUTED_VALUE"""),4747.35)</f>
        <v>4747.35</v>
      </c>
      <c r="E792" s="1">
        <f>IFERROR(__xludf.DUMMYFUNCTION("""COMPUTED_VALUE"""),5028.26)</f>
        <v>5028.26</v>
      </c>
      <c r="F792" s="1">
        <f>IFERROR(__xludf.DUMMYFUNCTION("""COMPUTED_VALUE"""),713921.0)</f>
        <v>713921</v>
      </c>
    </row>
    <row r="793">
      <c r="A793" s="2">
        <f>IFERROR(__xludf.DUMMYFUNCTION("""COMPUTED_VALUE"""),43154.64583333333)</f>
        <v>43154.64583</v>
      </c>
      <c r="B793" s="1">
        <f>IFERROR(__xludf.DUMMYFUNCTION("""COMPUTED_VALUE"""),5084.44)</f>
        <v>5084.44</v>
      </c>
      <c r="C793" s="1">
        <f>IFERROR(__xludf.DUMMYFUNCTION("""COMPUTED_VALUE"""),5140.62)</f>
        <v>5140.62</v>
      </c>
      <c r="D793" s="1">
        <f>IFERROR(__xludf.DUMMYFUNCTION("""COMPUTED_VALUE"""),4897.17)</f>
        <v>4897.17</v>
      </c>
      <c r="E793" s="1">
        <f>IFERROR(__xludf.DUMMYFUNCTION("""COMPUTED_VALUE"""),5084.44)</f>
        <v>5084.44</v>
      </c>
      <c r="F793" s="1">
        <f>IFERROR(__xludf.DUMMYFUNCTION("""COMPUTED_VALUE"""),1278679.0)</f>
        <v>1278679</v>
      </c>
    </row>
    <row r="794">
      <c r="A794" s="2">
        <f>IFERROR(__xludf.DUMMYFUNCTION("""COMPUTED_VALUE"""),43157.64583333333)</f>
        <v>43157.64583</v>
      </c>
      <c r="B794" s="1">
        <f>IFERROR(__xludf.DUMMYFUNCTION("""COMPUTED_VALUE"""),5149.98)</f>
        <v>5149.98</v>
      </c>
      <c r="C794" s="1">
        <f>IFERROR(__xludf.DUMMYFUNCTION("""COMPUTED_VALUE"""),5281.08)</f>
        <v>5281.08</v>
      </c>
      <c r="D794" s="1">
        <f>IFERROR(__xludf.DUMMYFUNCTION("""COMPUTED_VALUE"""),4981.44)</f>
        <v>4981.44</v>
      </c>
      <c r="E794" s="1">
        <f>IFERROR(__xludf.DUMMYFUNCTION("""COMPUTED_VALUE"""),4981.44)</f>
        <v>4981.44</v>
      </c>
      <c r="F794" s="1">
        <f>IFERROR(__xludf.DUMMYFUNCTION("""COMPUTED_VALUE"""),1494484.0)</f>
        <v>1494484</v>
      </c>
    </row>
    <row r="795">
      <c r="A795" s="2">
        <f>IFERROR(__xludf.DUMMYFUNCTION("""COMPUTED_VALUE"""),43158.64583333333)</f>
        <v>43158.64583</v>
      </c>
      <c r="B795" s="1">
        <f>IFERROR(__xludf.DUMMYFUNCTION("""COMPUTED_VALUE"""),5037.62)</f>
        <v>5037.62</v>
      </c>
      <c r="C795" s="1">
        <f>IFERROR(__xludf.DUMMYFUNCTION("""COMPUTED_VALUE"""),5112.53)</f>
        <v>5112.53</v>
      </c>
      <c r="D795" s="1">
        <f>IFERROR(__xludf.DUMMYFUNCTION("""COMPUTED_VALUE"""),4794.17)</f>
        <v>4794.17</v>
      </c>
      <c r="E795" s="1">
        <f>IFERROR(__xludf.DUMMYFUNCTION("""COMPUTED_VALUE"""),4831.62)</f>
        <v>4831.62</v>
      </c>
      <c r="F795" s="1">
        <f>IFERROR(__xludf.DUMMYFUNCTION("""COMPUTED_VALUE"""),629166.0)</f>
        <v>629166</v>
      </c>
    </row>
    <row r="796">
      <c r="A796" s="2">
        <f>IFERROR(__xludf.DUMMYFUNCTION("""COMPUTED_VALUE"""),43159.64583333333)</f>
        <v>43159.64583</v>
      </c>
      <c r="B796" s="1">
        <f>IFERROR(__xludf.DUMMYFUNCTION("""COMPUTED_VALUE"""),4784.8)</f>
        <v>4784.8</v>
      </c>
      <c r="C796" s="1">
        <f>IFERROR(__xludf.DUMMYFUNCTION("""COMPUTED_VALUE"""),4906.53)</f>
        <v>4906.53</v>
      </c>
      <c r="D796" s="1">
        <f>IFERROR(__xludf.DUMMYFUNCTION("""COMPUTED_VALUE"""),4681.8)</f>
        <v>4681.8</v>
      </c>
      <c r="E796" s="1">
        <f>IFERROR(__xludf.DUMMYFUNCTION("""COMPUTED_VALUE"""),4691.17)</f>
        <v>4691.17</v>
      </c>
      <c r="F796" s="1">
        <f>IFERROR(__xludf.DUMMYFUNCTION("""COMPUTED_VALUE"""),317524.0)</f>
        <v>317524</v>
      </c>
    </row>
    <row r="797">
      <c r="A797" s="2">
        <f>IFERROR(__xludf.DUMMYFUNCTION("""COMPUTED_VALUE"""),43161.64583333333)</f>
        <v>43161.64583</v>
      </c>
      <c r="B797" s="1">
        <f>IFERROR(__xludf.DUMMYFUNCTION("""COMPUTED_VALUE"""),4588.17)</f>
        <v>4588.17</v>
      </c>
      <c r="C797" s="1">
        <f>IFERROR(__xludf.DUMMYFUNCTION("""COMPUTED_VALUE"""),4747.35)</f>
        <v>4747.35</v>
      </c>
      <c r="D797" s="1">
        <f>IFERROR(__xludf.DUMMYFUNCTION("""COMPUTED_VALUE"""),4588.17)</f>
        <v>4588.17</v>
      </c>
      <c r="E797" s="1">
        <f>IFERROR(__xludf.DUMMYFUNCTION("""COMPUTED_VALUE"""),4672.44)</f>
        <v>4672.44</v>
      </c>
      <c r="F797" s="1">
        <f>IFERROR(__xludf.DUMMYFUNCTION("""COMPUTED_VALUE"""),252212.0)</f>
        <v>252212</v>
      </c>
    </row>
    <row r="798">
      <c r="A798" s="2">
        <f>IFERROR(__xludf.DUMMYFUNCTION("""COMPUTED_VALUE"""),43164.64583333333)</f>
        <v>43164.64583</v>
      </c>
      <c r="B798" s="1">
        <f>IFERROR(__xludf.DUMMYFUNCTION("""COMPUTED_VALUE"""),4756.71)</f>
        <v>4756.71</v>
      </c>
      <c r="C798" s="1">
        <f>IFERROR(__xludf.DUMMYFUNCTION("""COMPUTED_VALUE"""),4756.71)</f>
        <v>4756.71</v>
      </c>
      <c r="D798" s="1">
        <f>IFERROR(__xludf.DUMMYFUNCTION("""COMPUTED_VALUE"""),4592.85)</f>
        <v>4592.85</v>
      </c>
      <c r="E798" s="1">
        <f>IFERROR(__xludf.DUMMYFUNCTION("""COMPUTED_VALUE"""),4681.8)</f>
        <v>4681.8</v>
      </c>
      <c r="F798" s="1">
        <f>IFERROR(__xludf.DUMMYFUNCTION("""COMPUTED_VALUE"""),265522.0)</f>
        <v>265522</v>
      </c>
    </row>
    <row r="799">
      <c r="A799" s="2">
        <f>IFERROR(__xludf.DUMMYFUNCTION("""COMPUTED_VALUE"""),43165.64583333333)</f>
        <v>43165.64583</v>
      </c>
      <c r="B799" s="1">
        <f>IFERROR(__xludf.DUMMYFUNCTION("""COMPUTED_VALUE"""),4691.17)</f>
        <v>4691.17</v>
      </c>
      <c r="C799" s="1">
        <f>IFERROR(__xludf.DUMMYFUNCTION("""COMPUTED_VALUE"""),5552.62)</f>
        <v>5552.62</v>
      </c>
      <c r="D799" s="1">
        <f>IFERROR(__xludf.DUMMYFUNCTION("""COMPUTED_VALUE"""),4681.8)</f>
        <v>4681.8</v>
      </c>
      <c r="E799" s="1">
        <f>IFERROR(__xludf.DUMMYFUNCTION("""COMPUTED_VALUE"""),4962.71)</f>
        <v>4962.71</v>
      </c>
      <c r="F799" s="1">
        <f>IFERROR(__xludf.DUMMYFUNCTION("""COMPUTED_VALUE"""),7895762.0)</f>
        <v>7895762</v>
      </c>
    </row>
    <row r="800">
      <c r="A800" s="2">
        <f>IFERROR(__xludf.DUMMYFUNCTION("""COMPUTED_VALUE"""),43167.64583333333)</f>
        <v>43167.64583</v>
      </c>
      <c r="B800" s="1">
        <f>IFERROR(__xludf.DUMMYFUNCTION("""COMPUTED_VALUE"""),4737.99)</f>
        <v>4737.99</v>
      </c>
      <c r="C800" s="1">
        <f>IFERROR(__xludf.DUMMYFUNCTION("""COMPUTED_VALUE"""),4990.8)</f>
        <v>4990.8</v>
      </c>
      <c r="D800" s="1">
        <f>IFERROR(__xludf.DUMMYFUNCTION("""COMPUTED_VALUE"""),4681.8)</f>
        <v>4681.8</v>
      </c>
      <c r="E800" s="1">
        <f>IFERROR(__xludf.DUMMYFUNCTION("""COMPUTED_VALUE"""),4775.44)</f>
        <v>4775.44</v>
      </c>
      <c r="F800" s="1">
        <f>IFERROR(__xludf.DUMMYFUNCTION("""COMPUTED_VALUE"""),1070803.0)</f>
        <v>1070803</v>
      </c>
    </row>
    <row r="801">
      <c r="A801" s="2">
        <f>IFERROR(__xludf.DUMMYFUNCTION("""COMPUTED_VALUE"""),43168.64583333333)</f>
        <v>43168.64583</v>
      </c>
      <c r="B801" s="1">
        <f>IFERROR(__xludf.DUMMYFUNCTION("""COMPUTED_VALUE"""),4775.44)</f>
        <v>4775.44</v>
      </c>
      <c r="C801" s="1">
        <f>IFERROR(__xludf.DUMMYFUNCTION("""COMPUTED_VALUE"""),4906.53)</f>
        <v>4906.53</v>
      </c>
      <c r="D801" s="1">
        <f>IFERROR(__xludf.DUMMYFUNCTION("""COMPUTED_VALUE"""),4756.71)</f>
        <v>4756.71</v>
      </c>
      <c r="E801" s="1">
        <f>IFERROR(__xludf.DUMMYFUNCTION("""COMPUTED_VALUE"""),4775.44)</f>
        <v>4775.44</v>
      </c>
      <c r="F801" s="1">
        <f>IFERROR(__xludf.DUMMYFUNCTION("""COMPUTED_VALUE"""),562702.0)</f>
        <v>562702</v>
      </c>
    </row>
    <row r="802">
      <c r="A802" s="2">
        <f>IFERROR(__xludf.DUMMYFUNCTION("""COMPUTED_VALUE"""),43171.64583333333)</f>
        <v>43171.64583</v>
      </c>
      <c r="B802" s="1">
        <f>IFERROR(__xludf.DUMMYFUNCTION("""COMPUTED_VALUE"""),4859.71)</f>
        <v>4859.71</v>
      </c>
      <c r="C802" s="1">
        <f>IFERROR(__xludf.DUMMYFUNCTION("""COMPUTED_VALUE"""),4906.53)</f>
        <v>4906.53</v>
      </c>
      <c r="D802" s="1">
        <f>IFERROR(__xludf.DUMMYFUNCTION("""COMPUTED_VALUE"""),4775.44)</f>
        <v>4775.44</v>
      </c>
      <c r="E802" s="1">
        <f>IFERROR(__xludf.DUMMYFUNCTION("""COMPUTED_VALUE"""),4812.89)</f>
        <v>4812.89</v>
      </c>
      <c r="F802" s="1">
        <f>IFERROR(__xludf.DUMMYFUNCTION("""COMPUTED_VALUE"""),445438.0)</f>
        <v>445438</v>
      </c>
    </row>
    <row r="803">
      <c r="A803" s="2">
        <f>IFERROR(__xludf.DUMMYFUNCTION("""COMPUTED_VALUE"""),43172.64583333333)</f>
        <v>43172.64583</v>
      </c>
      <c r="B803" s="1">
        <f>IFERROR(__xludf.DUMMYFUNCTION("""COMPUTED_VALUE"""),4784.8)</f>
        <v>4784.8</v>
      </c>
      <c r="C803" s="1">
        <f>IFERROR(__xludf.DUMMYFUNCTION("""COMPUTED_VALUE"""),4878.44)</f>
        <v>4878.44</v>
      </c>
      <c r="D803" s="1">
        <f>IFERROR(__xludf.DUMMYFUNCTION("""COMPUTED_VALUE"""),4766.08)</f>
        <v>4766.08</v>
      </c>
      <c r="E803" s="1">
        <f>IFERROR(__xludf.DUMMYFUNCTION("""COMPUTED_VALUE"""),4840.99)</f>
        <v>4840.99</v>
      </c>
      <c r="F803" s="1">
        <f>IFERROR(__xludf.DUMMYFUNCTION("""COMPUTED_VALUE"""),389008.0)</f>
        <v>389008</v>
      </c>
    </row>
    <row r="804">
      <c r="A804" s="2">
        <f>IFERROR(__xludf.DUMMYFUNCTION("""COMPUTED_VALUE"""),43173.64583333333)</f>
        <v>43173.64583</v>
      </c>
      <c r="B804" s="1">
        <f>IFERROR(__xludf.DUMMYFUNCTION("""COMPUTED_VALUE"""),4822.26)</f>
        <v>4822.26</v>
      </c>
      <c r="C804" s="1">
        <f>IFERROR(__xludf.DUMMYFUNCTION("""COMPUTED_VALUE"""),5000.17)</f>
        <v>5000.17</v>
      </c>
      <c r="D804" s="1">
        <f>IFERROR(__xludf.DUMMYFUNCTION("""COMPUTED_VALUE"""),4775.44)</f>
        <v>4775.44</v>
      </c>
      <c r="E804" s="1">
        <f>IFERROR(__xludf.DUMMYFUNCTION("""COMPUTED_VALUE"""),4972.08)</f>
        <v>4972.08</v>
      </c>
      <c r="F804" s="1">
        <f>IFERROR(__xludf.DUMMYFUNCTION("""COMPUTED_VALUE"""),982398.0)</f>
        <v>982398</v>
      </c>
    </row>
    <row r="805">
      <c r="A805" s="2">
        <f>IFERROR(__xludf.DUMMYFUNCTION("""COMPUTED_VALUE"""),43174.64583333333)</f>
        <v>43174.64583</v>
      </c>
      <c r="B805" s="1">
        <f>IFERROR(__xludf.DUMMYFUNCTION("""COMPUTED_VALUE"""),4972.08)</f>
        <v>4972.08</v>
      </c>
      <c r="C805" s="1">
        <f>IFERROR(__xludf.DUMMYFUNCTION("""COMPUTED_VALUE"""),5103.17)</f>
        <v>5103.17</v>
      </c>
      <c r="D805" s="1">
        <f>IFERROR(__xludf.DUMMYFUNCTION("""COMPUTED_VALUE"""),4878.44)</f>
        <v>4878.44</v>
      </c>
      <c r="E805" s="1">
        <f>IFERROR(__xludf.DUMMYFUNCTION("""COMPUTED_VALUE"""),5056.35)</f>
        <v>5056.35</v>
      </c>
      <c r="F805" s="1">
        <f>IFERROR(__xludf.DUMMYFUNCTION("""COMPUTED_VALUE"""),748535.0)</f>
        <v>748535</v>
      </c>
    </row>
    <row r="806">
      <c r="A806" s="2">
        <f>IFERROR(__xludf.DUMMYFUNCTION("""COMPUTED_VALUE"""),43175.64583333333)</f>
        <v>43175.64583</v>
      </c>
      <c r="B806" s="1">
        <f>IFERROR(__xludf.DUMMYFUNCTION("""COMPUTED_VALUE"""),5028.26)</f>
        <v>5028.26</v>
      </c>
      <c r="C806" s="1">
        <f>IFERROR(__xludf.DUMMYFUNCTION("""COMPUTED_VALUE"""),5112.53)</f>
        <v>5112.53</v>
      </c>
      <c r="D806" s="1">
        <f>IFERROR(__xludf.DUMMYFUNCTION("""COMPUTED_VALUE"""),4962.71)</f>
        <v>4962.71</v>
      </c>
      <c r="E806" s="1">
        <f>IFERROR(__xludf.DUMMYFUNCTION("""COMPUTED_VALUE"""),4981.44)</f>
        <v>4981.44</v>
      </c>
      <c r="F806" s="1">
        <f>IFERROR(__xludf.DUMMYFUNCTION("""COMPUTED_VALUE"""),497826.0)</f>
        <v>497826</v>
      </c>
    </row>
    <row r="807">
      <c r="A807" s="2">
        <f>IFERROR(__xludf.DUMMYFUNCTION("""COMPUTED_VALUE"""),43178.64583333333)</f>
        <v>43178.64583</v>
      </c>
      <c r="B807" s="1">
        <f>IFERROR(__xludf.DUMMYFUNCTION("""COMPUTED_VALUE"""),5056.35)</f>
        <v>5056.35</v>
      </c>
      <c r="C807" s="1">
        <f>IFERROR(__xludf.DUMMYFUNCTION("""COMPUTED_VALUE"""),5402.8)</f>
        <v>5402.8</v>
      </c>
      <c r="D807" s="1">
        <f>IFERROR(__xludf.DUMMYFUNCTION("""COMPUTED_VALUE"""),5028.26)</f>
        <v>5028.26</v>
      </c>
      <c r="E807" s="1">
        <f>IFERROR(__xludf.DUMMYFUNCTION("""COMPUTED_VALUE"""),5271.71)</f>
        <v>5271.71</v>
      </c>
      <c r="F807" s="1">
        <f>IFERROR(__xludf.DUMMYFUNCTION("""COMPUTED_VALUE"""),2880153.0)</f>
        <v>2880153</v>
      </c>
    </row>
    <row r="808">
      <c r="A808" s="2">
        <f>IFERROR(__xludf.DUMMYFUNCTION("""COMPUTED_VALUE"""),43179.64583333333)</f>
        <v>43179.64583</v>
      </c>
      <c r="B808" s="1">
        <f>IFERROR(__xludf.DUMMYFUNCTION("""COMPUTED_VALUE"""),5178.08)</f>
        <v>5178.08</v>
      </c>
      <c r="C808" s="1">
        <f>IFERROR(__xludf.DUMMYFUNCTION("""COMPUTED_VALUE"""),5393.44)</f>
        <v>5393.44</v>
      </c>
      <c r="D808" s="1">
        <f>IFERROR(__xludf.DUMMYFUNCTION("""COMPUTED_VALUE"""),5037.62)</f>
        <v>5037.62</v>
      </c>
      <c r="E808" s="1">
        <f>IFERROR(__xludf.DUMMYFUNCTION("""COMPUTED_VALUE"""),5206.17)</f>
        <v>5206.17</v>
      </c>
      <c r="F808" s="1">
        <f>IFERROR(__xludf.DUMMYFUNCTION("""COMPUTED_VALUE"""),1289016.0)</f>
        <v>1289016</v>
      </c>
    </row>
    <row r="809">
      <c r="A809" s="2">
        <f>IFERROR(__xludf.DUMMYFUNCTION("""COMPUTED_VALUE"""),43180.64583333333)</f>
        <v>43180.64583</v>
      </c>
      <c r="B809" s="1">
        <f>IFERROR(__xludf.DUMMYFUNCTION("""COMPUTED_VALUE"""),5224.89)</f>
        <v>5224.89</v>
      </c>
      <c r="C809" s="1">
        <f>IFERROR(__xludf.DUMMYFUNCTION("""COMPUTED_VALUE"""),5468.35)</f>
        <v>5468.35</v>
      </c>
      <c r="D809" s="1">
        <f>IFERROR(__xludf.DUMMYFUNCTION("""COMPUTED_VALUE"""),5065.71)</f>
        <v>5065.71</v>
      </c>
      <c r="E809" s="1">
        <f>IFERROR(__xludf.DUMMYFUNCTION("""COMPUTED_VALUE"""),5430.89)</f>
        <v>5430.89</v>
      </c>
      <c r="F809" s="1">
        <f>IFERROR(__xludf.DUMMYFUNCTION("""COMPUTED_VALUE"""),1645422.0)</f>
        <v>1645422</v>
      </c>
    </row>
    <row r="810">
      <c r="A810" s="2">
        <f>IFERROR(__xludf.DUMMYFUNCTION("""COMPUTED_VALUE"""),43181.64583333333)</f>
        <v>43181.64583</v>
      </c>
      <c r="B810" s="1">
        <f>IFERROR(__xludf.DUMMYFUNCTION("""COMPUTED_VALUE"""),5384.07)</f>
        <v>5384.07</v>
      </c>
      <c r="C810" s="1">
        <f>IFERROR(__xludf.DUMMYFUNCTION("""COMPUTED_VALUE"""),5421.53)</f>
        <v>5421.53</v>
      </c>
      <c r="D810" s="1">
        <f>IFERROR(__xludf.DUMMYFUNCTION("""COMPUTED_VALUE"""),5215.53)</f>
        <v>5215.53</v>
      </c>
      <c r="E810" s="1">
        <f>IFERROR(__xludf.DUMMYFUNCTION("""COMPUTED_VALUE"""),5243.62)</f>
        <v>5243.62</v>
      </c>
      <c r="F810" s="1">
        <f>IFERROR(__xludf.DUMMYFUNCTION("""COMPUTED_VALUE"""),1108992.0)</f>
        <v>1108992</v>
      </c>
    </row>
    <row r="811">
      <c r="A811" s="2">
        <f>IFERROR(__xludf.DUMMYFUNCTION("""COMPUTED_VALUE"""),43182.64583333333)</f>
        <v>43182.64583</v>
      </c>
      <c r="B811" s="1">
        <f>IFERROR(__xludf.DUMMYFUNCTION("""COMPUTED_VALUE"""),5065.71)</f>
        <v>5065.71</v>
      </c>
      <c r="C811" s="1">
        <f>IFERROR(__xludf.DUMMYFUNCTION("""COMPUTED_VALUE"""),5252.98)</f>
        <v>5252.98</v>
      </c>
      <c r="D811" s="1">
        <f>IFERROR(__xludf.DUMMYFUNCTION("""COMPUTED_VALUE"""),4934.62)</f>
        <v>4934.62</v>
      </c>
      <c r="E811" s="1">
        <f>IFERROR(__xludf.DUMMYFUNCTION("""COMPUTED_VALUE"""),4934.62)</f>
        <v>4934.62</v>
      </c>
      <c r="F811" s="1">
        <f>IFERROR(__xludf.DUMMYFUNCTION("""COMPUTED_VALUE"""),637703.0)</f>
        <v>637703</v>
      </c>
    </row>
    <row r="812">
      <c r="A812" s="2">
        <f>IFERROR(__xludf.DUMMYFUNCTION("""COMPUTED_VALUE"""),43185.64583333333)</f>
        <v>43185.64583</v>
      </c>
      <c r="B812" s="1">
        <f>IFERROR(__xludf.DUMMYFUNCTION("""COMPUTED_VALUE"""),5056.35)</f>
        <v>5056.35</v>
      </c>
      <c r="C812" s="1">
        <f>IFERROR(__xludf.DUMMYFUNCTION("""COMPUTED_VALUE"""),5749.26)</f>
        <v>5749.26</v>
      </c>
      <c r="D812" s="1">
        <f>IFERROR(__xludf.DUMMYFUNCTION("""COMPUTED_VALUE"""),5046.99)</f>
        <v>5046.99</v>
      </c>
      <c r="E812" s="1">
        <f>IFERROR(__xludf.DUMMYFUNCTION("""COMPUTED_VALUE"""),5664.98)</f>
        <v>5664.98</v>
      </c>
      <c r="F812" s="1">
        <f>IFERROR(__xludf.DUMMYFUNCTION("""COMPUTED_VALUE"""),6630831.0)</f>
        <v>6630831</v>
      </c>
    </row>
    <row r="813">
      <c r="A813" s="2">
        <f>IFERROR(__xludf.DUMMYFUNCTION("""COMPUTED_VALUE"""),43186.64583333333)</f>
        <v>43186.64583</v>
      </c>
      <c r="B813" s="1">
        <f>IFERROR(__xludf.DUMMYFUNCTION("""COMPUTED_VALUE"""),5618.17)</f>
        <v>5618.17</v>
      </c>
      <c r="C813" s="1">
        <f>IFERROR(__xludf.DUMMYFUNCTION("""COMPUTED_VALUE"""),5693.07)</f>
        <v>5693.07</v>
      </c>
      <c r="D813" s="1">
        <f>IFERROR(__xludf.DUMMYFUNCTION("""COMPUTED_VALUE"""),5477.71)</f>
        <v>5477.71</v>
      </c>
      <c r="E813" s="1">
        <f>IFERROR(__xludf.DUMMYFUNCTION("""COMPUTED_VALUE"""),5636.89)</f>
        <v>5636.89</v>
      </c>
      <c r="F813" s="1">
        <f>IFERROR(__xludf.DUMMYFUNCTION("""COMPUTED_VALUE"""),1563255.0)</f>
        <v>1563255</v>
      </c>
    </row>
    <row r="814">
      <c r="A814" s="2">
        <f>IFERROR(__xludf.DUMMYFUNCTION("""COMPUTED_VALUE"""),43187.64583333333)</f>
        <v>43187.64583</v>
      </c>
      <c r="B814" s="1">
        <f>IFERROR(__xludf.DUMMYFUNCTION("""COMPUTED_VALUE"""),5543.26)</f>
        <v>5543.26</v>
      </c>
      <c r="C814" s="1">
        <f>IFERROR(__xludf.DUMMYFUNCTION("""COMPUTED_VALUE"""),5664.98)</f>
        <v>5664.98</v>
      </c>
      <c r="D814" s="1">
        <f>IFERROR(__xludf.DUMMYFUNCTION("""COMPUTED_VALUE"""),5346.62)</f>
        <v>5346.62</v>
      </c>
      <c r="E814" s="1">
        <f>IFERROR(__xludf.DUMMYFUNCTION("""COMPUTED_VALUE"""),5421.53)</f>
        <v>5421.53</v>
      </c>
      <c r="F814" s="1">
        <f>IFERROR(__xludf.DUMMYFUNCTION("""COMPUTED_VALUE"""),1368393.0)</f>
        <v>1368393</v>
      </c>
    </row>
    <row r="815">
      <c r="A815" s="2">
        <f>IFERROR(__xludf.DUMMYFUNCTION("""COMPUTED_VALUE"""),43188.64583333333)</f>
        <v>43188.64583</v>
      </c>
      <c r="B815" s="1">
        <f>IFERROR(__xludf.DUMMYFUNCTION("""COMPUTED_VALUE"""),5515.17)</f>
        <v>5515.17</v>
      </c>
      <c r="C815" s="1">
        <f>IFERROR(__xludf.DUMMYFUNCTION("""COMPUTED_VALUE"""),5777.35)</f>
        <v>5777.35</v>
      </c>
      <c r="D815" s="1">
        <f>IFERROR(__xludf.DUMMYFUNCTION("""COMPUTED_VALUE"""),5440.26)</f>
        <v>5440.26</v>
      </c>
      <c r="E815" s="1">
        <f>IFERROR(__xludf.DUMMYFUNCTION("""COMPUTED_VALUE"""),5711.8)</f>
        <v>5711.8</v>
      </c>
      <c r="F815" s="1">
        <f>IFERROR(__xludf.DUMMYFUNCTION("""COMPUTED_VALUE"""),2254093.0)</f>
        <v>2254093</v>
      </c>
    </row>
    <row r="816">
      <c r="A816" s="2">
        <f>IFERROR(__xludf.DUMMYFUNCTION("""COMPUTED_VALUE"""),43189.64583333333)</f>
        <v>43189.64583</v>
      </c>
      <c r="B816" s="1">
        <f>IFERROR(__xludf.DUMMYFUNCTION("""COMPUTED_VALUE"""),5796.07)</f>
        <v>5796.07</v>
      </c>
      <c r="C816" s="1">
        <f>IFERROR(__xludf.DUMMYFUNCTION("""COMPUTED_VALUE"""),5814.8)</f>
        <v>5814.8</v>
      </c>
      <c r="D816" s="1">
        <f>IFERROR(__xludf.DUMMYFUNCTION("""COMPUTED_VALUE"""),5552.62)</f>
        <v>5552.62</v>
      </c>
      <c r="E816" s="1">
        <f>IFERROR(__xludf.DUMMYFUNCTION("""COMPUTED_VALUE"""),5664.98)</f>
        <v>5664.98</v>
      </c>
      <c r="F816" s="1">
        <f>IFERROR(__xludf.DUMMYFUNCTION("""COMPUTED_VALUE"""),1359858.0)</f>
        <v>1359858</v>
      </c>
    </row>
    <row r="817">
      <c r="A817" s="2">
        <f>IFERROR(__xludf.DUMMYFUNCTION("""COMPUTED_VALUE"""),43192.64583333333)</f>
        <v>43192.64583</v>
      </c>
      <c r="B817" s="1">
        <f>IFERROR(__xludf.DUMMYFUNCTION("""COMPUTED_VALUE"""),5833.53)</f>
        <v>5833.53</v>
      </c>
      <c r="C817" s="1">
        <f>IFERROR(__xludf.DUMMYFUNCTION("""COMPUTED_VALUE"""),6591.98)</f>
        <v>6591.98</v>
      </c>
      <c r="D817" s="1">
        <f>IFERROR(__xludf.DUMMYFUNCTION("""COMPUTED_VALUE"""),5721.16)</f>
        <v>5721.16</v>
      </c>
      <c r="E817" s="1">
        <f>IFERROR(__xludf.DUMMYFUNCTION("""COMPUTED_VALUE"""),6320.44)</f>
        <v>6320.44</v>
      </c>
      <c r="F817" s="1">
        <f>IFERROR(__xludf.DUMMYFUNCTION("""COMPUTED_VALUE"""),8770458.0)</f>
        <v>8770458</v>
      </c>
    </row>
    <row r="818">
      <c r="A818" s="2">
        <f>IFERROR(__xludf.DUMMYFUNCTION("""COMPUTED_VALUE"""),43193.64583333333)</f>
        <v>43193.64583</v>
      </c>
      <c r="B818" s="1">
        <f>IFERROR(__xludf.DUMMYFUNCTION("""COMPUTED_VALUE"""),6198.71)</f>
        <v>6198.71</v>
      </c>
      <c r="C818" s="1">
        <f>IFERROR(__xludf.DUMMYFUNCTION("""COMPUTED_VALUE"""),6367.25)</f>
        <v>6367.25</v>
      </c>
      <c r="D818" s="1">
        <f>IFERROR(__xludf.DUMMYFUNCTION("""COMPUTED_VALUE"""),6067.62)</f>
        <v>6067.62</v>
      </c>
      <c r="E818" s="1">
        <f>IFERROR(__xludf.DUMMYFUNCTION("""COMPUTED_VALUE"""),6367.25)</f>
        <v>6367.25</v>
      </c>
      <c r="F818" s="1">
        <f>IFERROR(__xludf.DUMMYFUNCTION("""COMPUTED_VALUE"""),1668445.0)</f>
        <v>1668445</v>
      </c>
    </row>
    <row r="819">
      <c r="A819" s="2">
        <f>IFERROR(__xludf.DUMMYFUNCTION("""COMPUTED_VALUE"""),43194.64583333333)</f>
        <v>43194.64583</v>
      </c>
      <c r="B819" s="1">
        <f>IFERROR(__xludf.DUMMYFUNCTION("""COMPUTED_VALUE"""),6367.25)</f>
        <v>6367.25</v>
      </c>
      <c r="C819" s="1">
        <f>IFERROR(__xludf.DUMMYFUNCTION("""COMPUTED_VALUE"""),6376.62)</f>
        <v>6376.62</v>
      </c>
      <c r="D819" s="1">
        <f>IFERROR(__xludf.DUMMYFUNCTION("""COMPUTED_VALUE"""),6142.53)</f>
        <v>6142.53</v>
      </c>
      <c r="E819" s="1">
        <f>IFERROR(__xludf.DUMMYFUNCTION("""COMPUTED_VALUE"""),6273.62)</f>
        <v>6273.62</v>
      </c>
      <c r="F819" s="1">
        <f>IFERROR(__xludf.DUMMYFUNCTION("""COMPUTED_VALUE"""),1081179.0)</f>
        <v>1081179</v>
      </c>
    </row>
    <row r="820">
      <c r="A820" s="2">
        <f>IFERROR(__xludf.DUMMYFUNCTION("""COMPUTED_VALUE"""),43195.64583333333)</f>
        <v>43195.64583</v>
      </c>
      <c r="B820" s="1">
        <f>IFERROR(__xludf.DUMMYFUNCTION("""COMPUTED_VALUE"""),6414.07)</f>
        <v>6414.07</v>
      </c>
      <c r="C820" s="1">
        <f>IFERROR(__xludf.DUMMYFUNCTION("""COMPUTED_VALUE"""),6582.62)</f>
        <v>6582.62</v>
      </c>
      <c r="D820" s="1">
        <f>IFERROR(__xludf.DUMMYFUNCTION("""COMPUTED_VALUE"""),6179.98)</f>
        <v>6179.98</v>
      </c>
      <c r="E820" s="1">
        <f>IFERROR(__xludf.DUMMYFUNCTION("""COMPUTED_VALUE"""),6273.62)</f>
        <v>6273.62</v>
      </c>
      <c r="F820" s="1">
        <f>IFERROR(__xludf.DUMMYFUNCTION("""COMPUTED_VALUE"""),1987534.0)</f>
        <v>1987534</v>
      </c>
    </row>
    <row r="821">
      <c r="A821" s="2">
        <f>IFERROR(__xludf.DUMMYFUNCTION("""COMPUTED_VALUE"""),43196.64583333333)</f>
        <v>43196.64583</v>
      </c>
      <c r="B821" s="1">
        <f>IFERROR(__xludf.DUMMYFUNCTION("""COMPUTED_VALUE"""),6179.98)</f>
        <v>6179.98</v>
      </c>
      <c r="C821" s="1">
        <f>IFERROR(__xludf.DUMMYFUNCTION("""COMPUTED_VALUE"""),6329.8)</f>
        <v>6329.8</v>
      </c>
      <c r="D821" s="1">
        <f>IFERROR(__xludf.DUMMYFUNCTION("""COMPUTED_VALUE"""),5992.71)</f>
        <v>5992.71</v>
      </c>
      <c r="E821" s="1">
        <f>IFERROR(__xludf.DUMMYFUNCTION("""COMPUTED_VALUE"""),6208.07)</f>
        <v>6208.07</v>
      </c>
      <c r="F821" s="1">
        <f>IFERROR(__xludf.DUMMYFUNCTION("""COMPUTED_VALUE"""),1004046.0)</f>
        <v>1004046</v>
      </c>
    </row>
    <row r="822">
      <c r="A822" s="2">
        <f>IFERROR(__xludf.DUMMYFUNCTION("""COMPUTED_VALUE"""),43199.64583333333)</f>
        <v>43199.64583</v>
      </c>
      <c r="B822" s="1">
        <f>IFERROR(__xludf.DUMMYFUNCTION("""COMPUTED_VALUE"""),6414.07)</f>
        <v>6414.07</v>
      </c>
      <c r="C822" s="1">
        <f>IFERROR(__xludf.DUMMYFUNCTION("""COMPUTED_VALUE"""),8062.07)</f>
        <v>8062.07</v>
      </c>
      <c r="D822" s="1">
        <f>IFERROR(__xludf.DUMMYFUNCTION("""COMPUTED_VALUE"""),6339.16)</f>
        <v>6339.16</v>
      </c>
      <c r="E822" s="1">
        <f>IFERROR(__xludf.DUMMYFUNCTION("""COMPUTED_VALUE"""),8062.07)</f>
        <v>8062.07</v>
      </c>
      <c r="F822" s="1">
        <f>IFERROR(__xludf.DUMMYFUNCTION("""COMPUTED_VALUE"""),9444682.0)</f>
        <v>9444682</v>
      </c>
    </row>
    <row r="823">
      <c r="A823" s="2">
        <f>IFERROR(__xludf.DUMMYFUNCTION("""COMPUTED_VALUE"""),43200.64583333333)</f>
        <v>43200.64583</v>
      </c>
      <c r="B823" s="1">
        <f>IFERROR(__xludf.DUMMYFUNCTION("""COMPUTED_VALUE"""),8005.89)</f>
        <v>8005.89</v>
      </c>
      <c r="C823" s="1">
        <f>IFERROR(__xludf.DUMMYFUNCTION("""COMPUTED_VALUE"""),8801.79)</f>
        <v>8801.79</v>
      </c>
      <c r="D823" s="1">
        <f>IFERROR(__xludf.DUMMYFUNCTION("""COMPUTED_VALUE"""),7687.52)</f>
        <v>7687.52</v>
      </c>
      <c r="E823" s="1">
        <f>IFERROR(__xludf.DUMMYFUNCTION("""COMPUTED_VALUE"""),8146.34)</f>
        <v>8146.34</v>
      </c>
      <c r="F823" s="1">
        <f>IFERROR(__xludf.DUMMYFUNCTION("""COMPUTED_VALUE"""),6758678.0)</f>
        <v>6758678</v>
      </c>
    </row>
    <row r="824">
      <c r="A824" s="2">
        <f>IFERROR(__xludf.DUMMYFUNCTION("""COMPUTED_VALUE"""),43201.64583333333)</f>
        <v>43201.64583</v>
      </c>
      <c r="B824" s="1">
        <f>IFERROR(__xludf.DUMMYFUNCTION("""COMPUTED_VALUE"""),8258.7)</f>
        <v>8258.7</v>
      </c>
      <c r="C824" s="1">
        <f>IFERROR(__xludf.DUMMYFUNCTION("""COMPUTED_VALUE"""),8708.16)</f>
        <v>8708.16</v>
      </c>
      <c r="D824" s="1">
        <f>IFERROR(__xludf.DUMMYFUNCTION("""COMPUTED_VALUE"""),8080.79)</f>
        <v>8080.79</v>
      </c>
      <c r="E824" s="1">
        <f>IFERROR(__xludf.DUMMYFUNCTION("""COMPUTED_VALUE"""),8361.7)</f>
        <v>8361.7</v>
      </c>
      <c r="F824" s="1">
        <f>IFERROR(__xludf.DUMMYFUNCTION("""COMPUTED_VALUE"""),3073186.0)</f>
        <v>3073186</v>
      </c>
    </row>
    <row r="825">
      <c r="A825" s="2">
        <f>IFERROR(__xludf.DUMMYFUNCTION("""COMPUTED_VALUE"""),43202.64583333333)</f>
        <v>43202.64583</v>
      </c>
      <c r="B825" s="1">
        <f>IFERROR(__xludf.DUMMYFUNCTION("""COMPUTED_VALUE"""),8408.52)</f>
        <v>8408.52</v>
      </c>
      <c r="C825" s="1">
        <f>IFERROR(__xludf.DUMMYFUNCTION("""COMPUTED_VALUE"""),8586.43)</f>
        <v>8586.43</v>
      </c>
      <c r="D825" s="1">
        <f>IFERROR(__xludf.DUMMYFUNCTION("""COMPUTED_VALUE"""),7790.52)</f>
        <v>7790.52</v>
      </c>
      <c r="E825" s="1">
        <f>IFERROR(__xludf.DUMMYFUNCTION("""COMPUTED_VALUE"""),8389.79)</f>
        <v>8389.79</v>
      </c>
      <c r="F825" s="1">
        <f>IFERROR(__xludf.DUMMYFUNCTION("""COMPUTED_VALUE"""),1946993.0)</f>
        <v>1946993</v>
      </c>
    </row>
    <row r="826">
      <c r="A826" s="2">
        <f>IFERROR(__xludf.DUMMYFUNCTION("""COMPUTED_VALUE"""),43203.64583333333)</f>
        <v>43203.64583</v>
      </c>
      <c r="B826" s="1">
        <f>IFERROR(__xludf.DUMMYFUNCTION("""COMPUTED_VALUE"""),8502.16)</f>
        <v>8502.16</v>
      </c>
      <c r="C826" s="1">
        <f>IFERROR(__xludf.DUMMYFUNCTION("""COMPUTED_VALUE"""),8698.79)</f>
        <v>8698.79</v>
      </c>
      <c r="D826" s="1">
        <f>IFERROR(__xludf.DUMMYFUNCTION("""COMPUTED_VALUE"""),8183.79)</f>
        <v>8183.79</v>
      </c>
      <c r="E826" s="1">
        <f>IFERROR(__xludf.DUMMYFUNCTION("""COMPUTED_VALUE"""),8661.34)</f>
        <v>8661.34</v>
      </c>
      <c r="F826" s="1">
        <f>IFERROR(__xludf.DUMMYFUNCTION("""COMPUTED_VALUE"""),1581617.0)</f>
        <v>1581617</v>
      </c>
    </row>
    <row r="827">
      <c r="A827" s="2">
        <f>IFERROR(__xludf.DUMMYFUNCTION("""COMPUTED_VALUE"""),43206.64583333333)</f>
        <v>43206.64583</v>
      </c>
      <c r="B827" s="1">
        <f>IFERROR(__xludf.DUMMYFUNCTION("""COMPUTED_VALUE"""),8942.25)</f>
        <v>8942.25</v>
      </c>
      <c r="C827" s="1">
        <f>IFERROR(__xludf.DUMMYFUNCTION("""COMPUTED_VALUE"""),9784.97)</f>
        <v>9784.97</v>
      </c>
      <c r="D827" s="1">
        <f>IFERROR(__xludf.DUMMYFUNCTION("""COMPUTED_VALUE"""),7312.98)</f>
        <v>7312.98</v>
      </c>
      <c r="E827" s="1">
        <f>IFERROR(__xludf.DUMMYFUNCTION("""COMPUTED_VALUE"""),7902.89)</f>
        <v>7902.89</v>
      </c>
      <c r="F827" s="1">
        <f>IFERROR(__xludf.DUMMYFUNCTION("""COMPUTED_VALUE"""),1.2818134E7)</f>
        <v>12818134</v>
      </c>
    </row>
    <row r="828">
      <c r="A828" s="2">
        <f>IFERROR(__xludf.DUMMYFUNCTION("""COMPUTED_VALUE"""),43207.64583333333)</f>
        <v>43207.64583</v>
      </c>
      <c r="B828" s="1">
        <f>IFERROR(__xludf.DUMMYFUNCTION("""COMPUTED_VALUE"""),7940.34)</f>
        <v>7940.34</v>
      </c>
      <c r="C828" s="1">
        <f>IFERROR(__xludf.DUMMYFUNCTION("""COMPUTED_VALUE"""),7940.34)</f>
        <v>7940.34</v>
      </c>
      <c r="D828" s="1">
        <f>IFERROR(__xludf.DUMMYFUNCTION("""COMPUTED_VALUE"""),7397.25)</f>
        <v>7397.25</v>
      </c>
      <c r="E828" s="1">
        <f>IFERROR(__xludf.DUMMYFUNCTION("""COMPUTED_VALUE"""),7565.8)</f>
        <v>7565.8</v>
      </c>
      <c r="F828" s="1">
        <f>IFERROR(__xludf.DUMMYFUNCTION("""COMPUTED_VALUE"""),2155068.0)</f>
        <v>2155068</v>
      </c>
    </row>
    <row r="829">
      <c r="A829" s="2">
        <f>IFERROR(__xludf.DUMMYFUNCTION("""COMPUTED_VALUE"""),43208.64583333333)</f>
        <v>43208.64583</v>
      </c>
      <c r="B829" s="1">
        <f>IFERROR(__xludf.DUMMYFUNCTION("""COMPUTED_VALUE"""),7556.43)</f>
        <v>7556.43</v>
      </c>
      <c r="C829" s="1">
        <f>IFERROR(__xludf.DUMMYFUNCTION("""COMPUTED_VALUE"""),7781.16)</f>
        <v>7781.16</v>
      </c>
      <c r="D829" s="1">
        <f>IFERROR(__xludf.DUMMYFUNCTION("""COMPUTED_VALUE"""),7406.61)</f>
        <v>7406.61</v>
      </c>
      <c r="E829" s="1">
        <f>IFERROR(__xludf.DUMMYFUNCTION("""COMPUTED_VALUE"""),7462.8)</f>
        <v>7462.8</v>
      </c>
      <c r="F829" s="1">
        <f>IFERROR(__xludf.DUMMYFUNCTION("""COMPUTED_VALUE"""),1313217.0)</f>
        <v>1313217</v>
      </c>
    </row>
    <row r="830">
      <c r="A830" s="2">
        <f>IFERROR(__xludf.DUMMYFUNCTION("""COMPUTED_VALUE"""),43209.64583333333)</f>
        <v>43209.64583</v>
      </c>
      <c r="B830" s="1">
        <f>IFERROR(__xludf.DUMMYFUNCTION("""COMPUTED_VALUE"""),7378.52)</f>
        <v>7378.52</v>
      </c>
      <c r="C830" s="1">
        <f>IFERROR(__xludf.DUMMYFUNCTION("""COMPUTED_VALUE"""),7472.16)</f>
        <v>7472.16</v>
      </c>
      <c r="D830" s="1">
        <f>IFERROR(__xludf.DUMMYFUNCTION("""COMPUTED_VALUE"""),7022.71)</f>
        <v>7022.71</v>
      </c>
      <c r="E830" s="1">
        <f>IFERROR(__xludf.DUMMYFUNCTION("""COMPUTED_VALUE"""),7125.71)</f>
        <v>7125.71</v>
      </c>
      <c r="F830" s="1">
        <f>IFERROR(__xludf.DUMMYFUNCTION("""COMPUTED_VALUE"""),1149645.0)</f>
        <v>1149645</v>
      </c>
    </row>
    <row r="831">
      <c r="A831" s="2">
        <f>IFERROR(__xludf.DUMMYFUNCTION("""COMPUTED_VALUE"""),43210.64583333333)</f>
        <v>43210.64583</v>
      </c>
      <c r="B831" s="1">
        <f>IFERROR(__xludf.DUMMYFUNCTION("""COMPUTED_VALUE"""),7032.07)</f>
        <v>7032.07</v>
      </c>
      <c r="C831" s="1">
        <f>IFERROR(__xludf.DUMMYFUNCTION("""COMPUTED_VALUE"""),7668.8)</f>
        <v>7668.8</v>
      </c>
      <c r="D831" s="1">
        <f>IFERROR(__xludf.DUMMYFUNCTION("""COMPUTED_VALUE"""),7032.07)</f>
        <v>7032.07</v>
      </c>
      <c r="E831" s="1">
        <f>IFERROR(__xludf.DUMMYFUNCTION("""COMPUTED_VALUE"""),7509.61)</f>
        <v>7509.61</v>
      </c>
      <c r="F831" s="1">
        <f>IFERROR(__xludf.DUMMYFUNCTION("""COMPUTED_VALUE"""),1471349.0)</f>
        <v>1471349</v>
      </c>
    </row>
    <row r="832">
      <c r="A832" s="2">
        <f>IFERROR(__xludf.DUMMYFUNCTION("""COMPUTED_VALUE"""),43213.64583333333)</f>
        <v>43213.64583</v>
      </c>
      <c r="B832" s="1">
        <f>IFERROR(__xludf.DUMMYFUNCTION("""COMPUTED_VALUE"""),7565.8)</f>
        <v>7565.8</v>
      </c>
      <c r="C832" s="1">
        <f>IFERROR(__xludf.DUMMYFUNCTION("""COMPUTED_VALUE"""),7809.25)</f>
        <v>7809.25</v>
      </c>
      <c r="D832" s="1">
        <f>IFERROR(__xludf.DUMMYFUNCTION("""COMPUTED_VALUE"""),7444.07)</f>
        <v>7444.07</v>
      </c>
      <c r="E832" s="1">
        <f>IFERROR(__xludf.DUMMYFUNCTION("""COMPUTED_VALUE"""),7631.34)</f>
        <v>7631.34</v>
      </c>
      <c r="F832" s="1">
        <f>IFERROR(__xludf.DUMMYFUNCTION("""COMPUTED_VALUE"""),1611785.0)</f>
        <v>1611785</v>
      </c>
    </row>
    <row r="833">
      <c r="A833" s="2">
        <f>IFERROR(__xludf.DUMMYFUNCTION("""COMPUTED_VALUE"""),43214.64583333333)</f>
        <v>43214.64583</v>
      </c>
      <c r="B833" s="1">
        <f>IFERROR(__xludf.DUMMYFUNCTION("""COMPUTED_VALUE"""),7565.8)</f>
        <v>7565.8</v>
      </c>
      <c r="C833" s="1">
        <f>IFERROR(__xludf.DUMMYFUNCTION("""COMPUTED_VALUE"""),7706.25)</f>
        <v>7706.25</v>
      </c>
      <c r="D833" s="1">
        <f>IFERROR(__xludf.DUMMYFUNCTION("""COMPUTED_VALUE"""),7415.98)</f>
        <v>7415.98</v>
      </c>
      <c r="E833" s="1">
        <f>IFERROR(__xludf.DUMMYFUNCTION("""COMPUTED_VALUE"""),7415.98)</f>
        <v>7415.98</v>
      </c>
      <c r="F833" s="1">
        <f>IFERROR(__xludf.DUMMYFUNCTION("""COMPUTED_VALUE"""),698651.0)</f>
        <v>698651</v>
      </c>
    </row>
    <row r="834">
      <c r="A834" s="2">
        <f>IFERROR(__xludf.DUMMYFUNCTION("""COMPUTED_VALUE"""),43215.64583333333)</f>
        <v>43215.64583</v>
      </c>
      <c r="B834" s="1">
        <f>IFERROR(__xludf.DUMMYFUNCTION("""COMPUTED_VALUE"""),7312.98)</f>
        <v>7312.98</v>
      </c>
      <c r="C834" s="1">
        <f>IFERROR(__xludf.DUMMYFUNCTION("""COMPUTED_VALUE"""),7687.52)</f>
        <v>7687.52</v>
      </c>
      <c r="D834" s="1">
        <f>IFERROR(__xludf.DUMMYFUNCTION("""COMPUTED_VALUE"""),7312.98)</f>
        <v>7312.98</v>
      </c>
      <c r="E834" s="1">
        <f>IFERROR(__xludf.DUMMYFUNCTION("""COMPUTED_VALUE"""),7425.34)</f>
        <v>7425.34</v>
      </c>
      <c r="F834" s="1">
        <f>IFERROR(__xludf.DUMMYFUNCTION("""COMPUTED_VALUE"""),681142.0)</f>
        <v>681142</v>
      </c>
    </row>
    <row r="835">
      <c r="A835" s="2">
        <f>IFERROR(__xludf.DUMMYFUNCTION("""COMPUTED_VALUE"""),43216.64583333333)</f>
        <v>43216.64583</v>
      </c>
      <c r="B835" s="1">
        <f>IFERROR(__xludf.DUMMYFUNCTION("""COMPUTED_VALUE"""),7509.61)</f>
        <v>7509.61</v>
      </c>
      <c r="C835" s="1">
        <f>IFERROR(__xludf.DUMMYFUNCTION("""COMPUTED_VALUE"""),7603.25)</f>
        <v>7603.25</v>
      </c>
      <c r="D835" s="1">
        <f>IFERROR(__xludf.DUMMYFUNCTION("""COMPUTED_VALUE"""),7397.25)</f>
        <v>7397.25</v>
      </c>
      <c r="E835" s="1">
        <f>IFERROR(__xludf.DUMMYFUNCTION("""COMPUTED_VALUE"""),7415.98)</f>
        <v>7415.98</v>
      </c>
      <c r="F835" s="1">
        <f>IFERROR(__xludf.DUMMYFUNCTION("""COMPUTED_VALUE"""),382539.0)</f>
        <v>382539</v>
      </c>
    </row>
    <row r="836">
      <c r="A836" s="2">
        <f>IFERROR(__xludf.DUMMYFUNCTION("""COMPUTED_VALUE"""),43217.64583333333)</f>
        <v>43217.64583</v>
      </c>
      <c r="B836" s="1">
        <f>IFERROR(__xludf.DUMMYFUNCTION("""COMPUTED_VALUE"""),7444.07)</f>
        <v>7444.07</v>
      </c>
      <c r="C836" s="1">
        <f>IFERROR(__xludf.DUMMYFUNCTION("""COMPUTED_VALUE"""),7537.7)</f>
        <v>7537.7</v>
      </c>
      <c r="D836" s="1">
        <f>IFERROR(__xludf.DUMMYFUNCTION("""COMPUTED_VALUE"""),6826.07)</f>
        <v>6826.07</v>
      </c>
      <c r="E836" s="1">
        <f>IFERROR(__xludf.DUMMYFUNCTION("""COMPUTED_VALUE"""),6826.07)</f>
        <v>6826.07</v>
      </c>
      <c r="F836" s="1">
        <f>IFERROR(__xludf.DUMMYFUNCTION("""COMPUTED_VALUE"""),974456.0)</f>
        <v>974456</v>
      </c>
    </row>
    <row r="837">
      <c r="A837" s="2">
        <f>IFERROR(__xludf.DUMMYFUNCTION("""COMPUTED_VALUE"""),43220.64583333333)</f>
        <v>43220.64583</v>
      </c>
      <c r="B837" s="1">
        <f>IFERROR(__xludf.DUMMYFUNCTION("""COMPUTED_VALUE"""),6816.71)</f>
        <v>6816.71</v>
      </c>
      <c r="C837" s="1">
        <f>IFERROR(__xludf.DUMMYFUNCTION("""COMPUTED_VALUE"""),6882.25)</f>
        <v>6882.25</v>
      </c>
      <c r="D837" s="1">
        <f>IFERROR(__xludf.DUMMYFUNCTION("""COMPUTED_VALUE"""),6348.53)</f>
        <v>6348.53</v>
      </c>
      <c r="E837" s="1">
        <f>IFERROR(__xludf.DUMMYFUNCTION("""COMPUTED_VALUE"""),6610.71)</f>
        <v>6610.71</v>
      </c>
      <c r="F837" s="1">
        <f>IFERROR(__xludf.DUMMYFUNCTION("""COMPUTED_VALUE"""),1474569.0)</f>
        <v>1474569</v>
      </c>
    </row>
    <row r="838">
      <c r="A838" s="2">
        <f>IFERROR(__xludf.DUMMYFUNCTION("""COMPUTED_VALUE"""),43222.64583333333)</f>
        <v>43222.64583</v>
      </c>
      <c r="B838" s="1">
        <f>IFERROR(__xludf.DUMMYFUNCTION("""COMPUTED_VALUE"""),6554.53)</f>
        <v>6554.53</v>
      </c>
      <c r="C838" s="1">
        <f>IFERROR(__xludf.DUMMYFUNCTION("""COMPUTED_VALUE"""),6741.8)</f>
        <v>6741.8</v>
      </c>
      <c r="D838" s="1">
        <f>IFERROR(__xludf.DUMMYFUNCTION("""COMPUTED_VALUE"""),6376.62)</f>
        <v>6376.62</v>
      </c>
      <c r="E838" s="1">
        <f>IFERROR(__xludf.DUMMYFUNCTION("""COMPUTED_VALUE"""),6526.44)</f>
        <v>6526.44</v>
      </c>
      <c r="F838" s="1">
        <f>IFERROR(__xludf.DUMMYFUNCTION("""COMPUTED_VALUE"""),682406.0)</f>
        <v>682406</v>
      </c>
    </row>
    <row r="839">
      <c r="A839" s="2">
        <f>IFERROR(__xludf.DUMMYFUNCTION("""COMPUTED_VALUE"""),43223.64583333333)</f>
        <v>43223.64583</v>
      </c>
      <c r="B839" s="1">
        <f>IFERROR(__xludf.DUMMYFUNCTION("""COMPUTED_VALUE"""),6554.53)</f>
        <v>6554.53</v>
      </c>
      <c r="C839" s="1">
        <f>IFERROR(__xludf.DUMMYFUNCTION("""COMPUTED_VALUE"""),6610.71)</f>
        <v>6610.71</v>
      </c>
      <c r="D839" s="1">
        <f>IFERROR(__xludf.DUMMYFUNCTION("""COMPUTED_VALUE"""),6357.89)</f>
        <v>6357.89</v>
      </c>
      <c r="E839" s="1">
        <f>IFERROR(__xludf.DUMMYFUNCTION("""COMPUTED_VALUE"""),6357.89)</f>
        <v>6357.89</v>
      </c>
      <c r="F839" s="1">
        <f>IFERROR(__xludf.DUMMYFUNCTION("""COMPUTED_VALUE"""),453875.0)</f>
        <v>453875</v>
      </c>
    </row>
    <row r="840">
      <c r="A840" s="2">
        <f>IFERROR(__xludf.DUMMYFUNCTION("""COMPUTED_VALUE"""),43224.64583333333)</f>
        <v>43224.64583</v>
      </c>
      <c r="B840" s="1">
        <f>IFERROR(__xludf.DUMMYFUNCTION("""COMPUTED_VALUE"""),6357.89)</f>
        <v>6357.89</v>
      </c>
      <c r="C840" s="1">
        <f>IFERROR(__xludf.DUMMYFUNCTION("""COMPUTED_VALUE"""),6442.16)</f>
        <v>6442.16</v>
      </c>
      <c r="D840" s="1">
        <f>IFERROR(__xludf.DUMMYFUNCTION("""COMPUTED_VALUE"""),6133.16)</f>
        <v>6133.16</v>
      </c>
      <c r="E840" s="1">
        <f>IFERROR(__xludf.DUMMYFUNCTION("""COMPUTED_VALUE"""),6161.25)</f>
        <v>6161.25</v>
      </c>
      <c r="F840" s="1">
        <f>IFERROR(__xludf.DUMMYFUNCTION("""COMPUTED_VALUE"""),573631.0)</f>
        <v>573631</v>
      </c>
    </row>
    <row r="841">
      <c r="A841" s="2">
        <f>IFERROR(__xludf.DUMMYFUNCTION("""COMPUTED_VALUE"""),43228.64583333333)</f>
        <v>43228.64583</v>
      </c>
      <c r="B841" s="1">
        <f>IFERROR(__xludf.DUMMYFUNCTION("""COMPUTED_VALUE"""),6179.98)</f>
        <v>6179.98</v>
      </c>
      <c r="C841" s="1">
        <f>IFERROR(__xludf.DUMMYFUNCTION("""COMPUTED_VALUE"""),6292.35)</f>
        <v>6292.35</v>
      </c>
      <c r="D841" s="1">
        <f>IFERROR(__xludf.DUMMYFUNCTION("""COMPUTED_VALUE"""),5852.26)</f>
        <v>5852.26</v>
      </c>
      <c r="E841" s="1">
        <f>IFERROR(__xludf.DUMMYFUNCTION("""COMPUTED_VALUE"""),5852.26)</f>
        <v>5852.26</v>
      </c>
      <c r="F841" s="1">
        <f>IFERROR(__xludf.DUMMYFUNCTION("""COMPUTED_VALUE"""),486385.0)</f>
        <v>486385</v>
      </c>
    </row>
    <row r="842">
      <c r="A842" s="2">
        <f>IFERROR(__xludf.DUMMYFUNCTION("""COMPUTED_VALUE"""),43229.64583333333)</f>
        <v>43229.64583</v>
      </c>
      <c r="B842" s="1">
        <f>IFERROR(__xludf.DUMMYFUNCTION("""COMPUTED_VALUE"""),5908.44)</f>
        <v>5908.44</v>
      </c>
      <c r="C842" s="1">
        <f>IFERROR(__xludf.DUMMYFUNCTION("""COMPUTED_VALUE"""),6179.98)</f>
        <v>6179.98</v>
      </c>
      <c r="D842" s="1">
        <f>IFERROR(__xludf.DUMMYFUNCTION("""COMPUTED_VALUE"""),5805.44)</f>
        <v>5805.44</v>
      </c>
      <c r="E842" s="1">
        <f>IFERROR(__xludf.DUMMYFUNCTION("""COMPUTED_VALUE"""),6105.07)</f>
        <v>6105.07</v>
      </c>
      <c r="F842" s="1">
        <f>IFERROR(__xludf.DUMMYFUNCTION("""COMPUTED_VALUE"""),700287.0)</f>
        <v>700287</v>
      </c>
    </row>
    <row r="843">
      <c r="A843" s="2">
        <f>IFERROR(__xludf.DUMMYFUNCTION("""COMPUTED_VALUE"""),43230.64583333333)</f>
        <v>43230.64583</v>
      </c>
      <c r="B843" s="1">
        <f>IFERROR(__xludf.DUMMYFUNCTION("""COMPUTED_VALUE"""),6151.89)</f>
        <v>6151.89</v>
      </c>
      <c r="C843" s="1">
        <f>IFERROR(__xludf.DUMMYFUNCTION("""COMPUTED_VALUE"""),6517.07)</f>
        <v>6517.07</v>
      </c>
      <c r="D843" s="1">
        <f>IFERROR(__xludf.DUMMYFUNCTION("""COMPUTED_VALUE"""),6123.8)</f>
        <v>6123.8</v>
      </c>
      <c r="E843" s="1">
        <f>IFERROR(__xludf.DUMMYFUNCTION("""COMPUTED_VALUE"""),6161.25)</f>
        <v>6161.25</v>
      </c>
      <c r="F843" s="1">
        <f>IFERROR(__xludf.DUMMYFUNCTION("""COMPUTED_VALUE"""),916380.0)</f>
        <v>916380</v>
      </c>
    </row>
    <row r="844">
      <c r="A844" s="2">
        <f>IFERROR(__xludf.DUMMYFUNCTION("""COMPUTED_VALUE"""),43231.64583333333)</f>
        <v>43231.64583</v>
      </c>
      <c r="B844" s="1">
        <f>IFERROR(__xludf.DUMMYFUNCTION("""COMPUTED_VALUE"""),6189.35)</f>
        <v>6189.35</v>
      </c>
      <c r="C844" s="1">
        <f>IFERROR(__xludf.DUMMYFUNCTION("""COMPUTED_VALUE"""),6282.98)</f>
        <v>6282.98</v>
      </c>
      <c r="D844" s="1">
        <f>IFERROR(__xludf.DUMMYFUNCTION("""COMPUTED_VALUE"""),6020.8)</f>
        <v>6020.8</v>
      </c>
      <c r="E844" s="1">
        <f>IFERROR(__xludf.DUMMYFUNCTION("""COMPUTED_VALUE"""),6039.53)</f>
        <v>6039.53</v>
      </c>
      <c r="F844" s="1">
        <f>IFERROR(__xludf.DUMMYFUNCTION("""COMPUTED_VALUE"""),434682.0)</f>
        <v>434682</v>
      </c>
    </row>
    <row r="845">
      <c r="A845" s="2">
        <f>IFERROR(__xludf.DUMMYFUNCTION("""COMPUTED_VALUE"""),43234.64583333333)</f>
        <v>43234.64583</v>
      </c>
      <c r="B845" s="1">
        <f>IFERROR(__xludf.DUMMYFUNCTION("""COMPUTED_VALUE"""),6058.25)</f>
        <v>6058.25</v>
      </c>
      <c r="C845" s="1">
        <f>IFERROR(__xludf.DUMMYFUNCTION("""COMPUTED_VALUE"""),6133.16)</f>
        <v>6133.16</v>
      </c>
      <c r="D845" s="1">
        <f>IFERROR(__xludf.DUMMYFUNCTION("""COMPUTED_VALUE"""),5664.98)</f>
        <v>5664.98</v>
      </c>
      <c r="E845" s="1">
        <f>IFERROR(__xludf.DUMMYFUNCTION("""COMPUTED_VALUE"""),5711.8)</f>
        <v>5711.8</v>
      </c>
      <c r="F845" s="1">
        <f>IFERROR(__xludf.DUMMYFUNCTION("""COMPUTED_VALUE"""),783947.0)</f>
        <v>783947</v>
      </c>
    </row>
    <row r="846">
      <c r="A846" s="2">
        <f>IFERROR(__xludf.DUMMYFUNCTION("""COMPUTED_VALUE"""),43235.64583333333)</f>
        <v>43235.64583</v>
      </c>
      <c r="B846" s="1">
        <f>IFERROR(__xludf.DUMMYFUNCTION("""COMPUTED_VALUE"""),5730.53)</f>
        <v>5730.53</v>
      </c>
      <c r="C846" s="1">
        <f>IFERROR(__xludf.DUMMYFUNCTION("""COMPUTED_VALUE"""),6142.53)</f>
        <v>6142.53</v>
      </c>
      <c r="D846" s="1">
        <f>IFERROR(__xludf.DUMMYFUNCTION("""COMPUTED_VALUE"""),5730.53)</f>
        <v>5730.53</v>
      </c>
      <c r="E846" s="1">
        <f>IFERROR(__xludf.DUMMYFUNCTION("""COMPUTED_VALUE"""),5730.53)</f>
        <v>5730.53</v>
      </c>
      <c r="F846" s="1">
        <f>IFERROR(__xludf.DUMMYFUNCTION("""COMPUTED_VALUE"""),575041.0)</f>
        <v>575041</v>
      </c>
    </row>
    <row r="847">
      <c r="A847" s="2">
        <f>IFERROR(__xludf.DUMMYFUNCTION("""COMPUTED_VALUE"""),43236.64583333333)</f>
        <v>43236.64583</v>
      </c>
      <c r="B847" s="1">
        <f>IFERROR(__xludf.DUMMYFUNCTION("""COMPUTED_VALUE"""),5711.8)</f>
        <v>5711.8</v>
      </c>
      <c r="C847" s="1">
        <f>IFERROR(__xludf.DUMMYFUNCTION("""COMPUTED_VALUE"""),5870.98)</f>
        <v>5870.98</v>
      </c>
      <c r="D847" s="1">
        <f>IFERROR(__xludf.DUMMYFUNCTION("""COMPUTED_VALUE"""),5393.44)</f>
        <v>5393.44</v>
      </c>
      <c r="E847" s="1">
        <f>IFERROR(__xludf.DUMMYFUNCTION("""COMPUTED_VALUE"""),5393.44)</f>
        <v>5393.44</v>
      </c>
      <c r="F847" s="1">
        <f>IFERROR(__xludf.DUMMYFUNCTION("""COMPUTED_VALUE"""),713096.0)</f>
        <v>713096</v>
      </c>
    </row>
    <row r="848">
      <c r="A848" s="2">
        <f>IFERROR(__xludf.DUMMYFUNCTION("""COMPUTED_VALUE"""),43237.64583333333)</f>
        <v>43237.64583</v>
      </c>
      <c r="B848" s="1">
        <f>IFERROR(__xludf.DUMMYFUNCTION("""COMPUTED_VALUE"""),5524.53)</f>
        <v>5524.53</v>
      </c>
      <c r="C848" s="1">
        <f>IFERROR(__xludf.DUMMYFUNCTION("""COMPUTED_VALUE"""),5702.44)</f>
        <v>5702.44</v>
      </c>
      <c r="D848" s="1">
        <f>IFERROR(__xludf.DUMMYFUNCTION("""COMPUTED_VALUE"""),5412.17)</f>
        <v>5412.17</v>
      </c>
      <c r="E848" s="1">
        <f>IFERROR(__xludf.DUMMYFUNCTION("""COMPUTED_VALUE"""),5524.53)</f>
        <v>5524.53</v>
      </c>
      <c r="F848" s="1">
        <f>IFERROR(__xludf.DUMMYFUNCTION("""COMPUTED_VALUE"""),547218.0)</f>
        <v>547218</v>
      </c>
    </row>
    <row r="849">
      <c r="A849" s="2">
        <f>IFERROR(__xludf.DUMMYFUNCTION("""COMPUTED_VALUE"""),43238.64583333333)</f>
        <v>43238.64583</v>
      </c>
      <c r="B849" s="1">
        <f>IFERROR(__xludf.DUMMYFUNCTION("""COMPUTED_VALUE"""),5505.8)</f>
        <v>5505.8</v>
      </c>
      <c r="C849" s="1">
        <f>IFERROR(__xludf.DUMMYFUNCTION("""COMPUTED_VALUE"""),5852.26)</f>
        <v>5852.26</v>
      </c>
      <c r="D849" s="1">
        <f>IFERROR(__xludf.DUMMYFUNCTION("""COMPUTED_VALUE"""),5496.44)</f>
        <v>5496.44</v>
      </c>
      <c r="E849" s="1">
        <f>IFERROR(__xludf.DUMMYFUNCTION("""COMPUTED_VALUE"""),5693.07)</f>
        <v>5693.07</v>
      </c>
      <c r="F849" s="1">
        <f>IFERROR(__xludf.DUMMYFUNCTION("""COMPUTED_VALUE"""),583973.0)</f>
        <v>583973</v>
      </c>
    </row>
    <row r="850">
      <c r="A850" s="2">
        <f>IFERROR(__xludf.DUMMYFUNCTION("""COMPUTED_VALUE"""),43241.64583333333)</f>
        <v>43241.64583</v>
      </c>
      <c r="B850" s="1">
        <f>IFERROR(__xludf.DUMMYFUNCTION("""COMPUTED_VALUE"""),5767.98)</f>
        <v>5767.98</v>
      </c>
      <c r="C850" s="1">
        <f>IFERROR(__xludf.DUMMYFUNCTION("""COMPUTED_VALUE"""),5861.62)</f>
        <v>5861.62</v>
      </c>
      <c r="D850" s="1">
        <f>IFERROR(__xludf.DUMMYFUNCTION("""COMPUTED_VALUE"""),5636.89)</f>
        <v>5636.89</v>
      </c>
      <c r="E850" s="1">
        <f>IFERROR(__xludf.DUMMYFUNCTION("""COMPUTED_VALUE"""),5636.89)</f>
        <v>5636.89</v>
      </c>
      <c r="F850" s="1">
        <f>IFERROR(__xludf.DUMMYFUNCTION("""COMPUTED_VALUE"""),358760.0)</f>
        <v>358760</v>
      </c>
    </row>
    <row r="851">
      <c r="A851" s="2">
        <f>IFERROR(__xludf.DUMMYFUNCTION("""COMPUTED_VALUE"""),43243.64583333333)</f>
        <v>43243.64583</v>
      </c>
      <c r="B851" s="1">
        <f>IFERROR(__xludf.DUMMYFUNCTION("""COMPUTED_VALUE"""),5749.26)</f>
        <v>5749.26</v>
      </c>
      <c r="C851" s="1">
        <f>IFERROR(__xludf.DUMMYFUNCTION("""COMPUTED_VALUE"""),5749.26)</f>
        <v>5749.26</v>
      </c>
      <c r="D851" s="1">
        <f>IFERROR(__xludf.DUMMYFUNCTION("""COMPUTED_VALUE"""),5458.98)</f>
        <v>5458.98</v>
      </c>
      <c r="E851" s="1">
        <f>IFERROR(__xludf.DUMMYFUNCTION("""COMPUTED_VALUE"""),5477.71)</f>
        <v>5477.71</v>
      </c>
      <c r="F851" s="1">
        <f>IFERROR(__xludf.DUMMYFUNCTION("""COMPUTED_VALUE"""),363734.0)</f>
        <v>363734</v>
      </c>
    </row>
    <row r="852">
      <c r="A852" s="2">
        <f>IFERROR(__xludf.DUMMYFUNCTION("""COMPUTED_VALUE"""),43244.64583333333)</f>
        <v>43244.64583</v>
      </c>
      <c r="B852" s="1">
        <f>IFERROR(__xludf.DUMMYFUNCTION("""COMPUTED_VALUE"""),5496.44)</f>
        <v>5496.44</v>
      </c>
      <c r="C852" s="1">
        <f>IFERROR(__xludf.DUMMYFUNCTION("""COMPUTED_VALUE"""),5767.98)</f>
        <v>5767.98</v>
      </c>
      <c r="D852" s="1">
        <f>IFERROR(__xludf.DUMMYFUNCTION("""COMPUTED_VALUE"""),5496.44)</f>
        <v>5496.44</v>
      </c>
      <c r="E852" s="1">
        <f>IFERROR(__xludf.DUMMYFUNCTION("""COMPUTED_VALUE"""),5543.26)</f>
        <v>5543.26</v>
      </c>
      <c r="F852" s="1">
        <f>IFERROR(__xludf.DUMMYFUNCTION("""COMPUTED_VALUE"""),396879.0)</f>
        <v>396879</v>
      </c>
    </row>
    <row r="853">
      <c r="A853" s="2">
        <f>IFERROR(__xludf.DUMMYFUNCTION("""COMPUTED_VALUE"""),43245.64583333333)</f>
        <v>43245.64583</v>
      </c>
      <c r="B853" s="1">
        <f>IFERROR(__xludf.DUMMYFUNCTION("""COMPUTED_VALUE"""),5412.17)</f>
        <v>5412.17</v>
      </c>
      <c r="C853" s="1">
        <f>IFERROR(__xludf.DUMMYFUNCTION("""COMPUTED_VALUE"""),5655.62)</f>
        <v>5655.62</v>
      </c>
      <c r="D853" s="1">
        <f>IFERROR(__xludf.DUMMYFUNCTION("""COMPUTED_VALUE"""),5412.17)</f>
        <v>5412.17</v>
      </c>
      <c r="E853" s="1">
        <f>IFERROR(__xludf.DUMMYFUNCTION("""COMPUTED_VALUE"""),5458.98)</f>
        <v>5458.98</v>
      </c>
      <c r="F853" s="1">
        <f>IFERROR(__xludf.DUMMYFUNCTION("""COMPUTED_VALUE"""),422384.0)</f>
        <v>422384</v>
      </c>
    </row>
    <row r="854">
      <c r="A854" s="2">
        <f>IFERROR(__xludf.DUMMYFUNCTION("""COMPUTED_VALUE"""),43248.64583333333)</f>
        <v>43248.64583</v>
      </c>
      <c r="B854" s="1">
        <f>IFERROR(__xludf.DUMMYFUNCTION("""COMPUTED_VALUE"""),5458.98)</f>
        <v>5458.98</v>
      </c>
      <c r="C854" s="1">
        <f>IFERROR(__xludf.DUMMYFUNCTION("""COMPUTED_VALUE"""),5964.62)</f>
        <v>5964.62</v>
      </c>
      <c r="D854" s="1">
        <f>IFERROR(__xludf.DUMMYFUNCTION("""COMPUTED_VALUE"""),5337.26)</f>
        <v>5337.26</v>
      </c>
      <c r="E854" s="1">
        <f>IFERROR(__xludf.DUMMYFUNCTION("""COMPUTED_VALUE"""),5899.07)</f>
        <v>5899.07</v>
      </c>
      <c r="F854" s="1">
        <f>IFERROR(__xludf.DUMMYFUNCTION("""COMPUTED_VALUE"""),1159202.0)</f>
        <v>1159202</v>
      </c>
    </row>
    <row r="855">
      <c r="A855" s="2">
        <f>IFERROR(__xludf.DUMMYFUNCTION("""COMPUTED_VALUE"""),43249.64583333333)</f>
        <v>43249.64583</v>
      </c>
      <c r="B855" s="1">
        <f>IFERROR(__xludf.DUMMYFUNCTION("""COMPUTED_VALUE"""),5992.71)</f>
        <v>5992.71</v>
      </c>
      <c r="C855" s="1">
        <f>IFERROR(__xludf.DUMMYFUNCTION("""COMPUTED_VALUE"""),6067.62)</f>
        <v>6067.62</v>
      </c>
      <c r="D855" s="1">
        <f>IFERROR(__xludf.DUMMYFUNCTION("""COMPUTED_VALUE"""),5711.8)</f>
        <v>5711.8</v>
      </c>
      <c r="E855" s="1">
        <f>IFERROR(__xludf.DUMMYFUNCTION("""COMPUTED_VALUE"""),5711.8)</f>
        <v>5711.8</v>
      </c>
      <c r="F855" s="1">
        <f>IFERROR(__xludf.DUMMYFUNCTION("""COMPUTED_VALUE"""),657252.0)</f>
        <v>657252</v>
      </c>
    </row>
    <row r="856">
      <c r="A856" s="2">
        <f>IFERROR(__xludf.DUMMYFUNCTION("""COMPUTED_VALUE"""),43250.64583333333)</f>
        <v>43250.64583</v>
      </c>
      <c r="B856" s="1">
        <f>IFERROR(__xludf.DUMMYFUNCTION("""COMPUTED_VALUE"""),5777.35)</f>
        <v>5777.35</v>
      </c>
      <c r="C856" s="1">
        <f>IFERROR(__xludf.DUMMYFUNCTION("""COMPUTED_VALUE"""),5777.35)</f>
        <v>5777.35</v>
      </c>
      <c r="D856" s="1">
        <f>IFERROR(__xludf.DUMMYFUNCTION("""COMPUTED_VALUE"""),5524.53)</f>
        <v>5524.53</v>
      </c>
      <c r="E856" s="1">
        <f>IFERROR(__xludf.DUMMYFUNCTION("""COMPUTED_VALUE"""),5571.35)</f>
        <v>5571.35</v>
      </c>
      <c r="F856" s="1">
        <f>IFERROR(__xludf.DUMMYFUNCTION("""COMPUTED_VALUE"""),557692.0)</f>
        <v>557692</v>
      </c>
    </row>
    <row r="857">
      <c r="A857" s="2">
        <f>IFERROR(__xludf.DUMMYFUNCTION("""COMPUTED_VALUE"""),43251.64583333333)</f>
        <v>43251.64583</v>
      </c>
      <c r="B857" s="1">
        <f>IFERROR(__xludf.DUMMYFUNCTION("""COMPUTED_VALUE"""),5711.8)</f>
        <v>5711.8</v>
      </c>
      <c r="C857" s="1">
        <f>IFERROR(__xludf.DUMMYFUNCTION("""COMPUTED_VALUE"""),5777.35)</f>
        <v>5777.35</v>
      </c>
      <c r="D857" s="1">
        <f>IFERROR(__xludf.DUMMYFUNCTION("""COMPUTED_VALUE"""),5384.07)</f>
        <v>5384.07</v>
      </c>
      <c r="E857" s="1">
        <f>IFERROR(__xludf.DUMMYFUNCTION("""COMPUTED_VALUE"""),5402.8)</f>
        <v>5402.8</v>
      </c>
      <c r="F857" s="1">
        <f>IFERROR(__xludf.DUMMYFUNCTION("""COMPUTED_VALUE"""),1194537.0)</f>
        <v>1194537</v>
      </c>
    </row>
    <row r="858">
      <c r="A858" s="2">
        <f>IFERROR(__xludf.DUMMYFUNCTION("""COMPUTED_VALUE"""),43252.64583333333)</f>
        <v>43252.64583</v>
      </c>
      <c r="B858" s="1">
        <f>IFERROR(__xludf.DUMMYFUNCTION("""COMPUTED_VALUE"""),5402.8)</f>
        <v>5402.8</v>
      </c>
      <c r="C858" s="1">
        <f>IFERROR(__xludf.DUMMYFUNCTION("""COMPUTED_VALUE"""),5543.26)</f>
        <v>5543.26</v>
      </c>
      <c r="D858" s="1">
        <f>IFERROR(__xludf.DUMMYFUNCTION("""COMPUTED_VALUE"""),5393.44)</f>
        <v>5393.44</v>
      </c>
      <c r="E858" s="1">
        <f>IFERROR(__xludf.DUMMYFUNCTION("""COMPUTED_VALUE"""),5440.26)</f>
        <v>5440.26</v>
      </c>
      <c r="F858" s="1">
        <f>IFERROR(__xludf.DUMMYFUNCTION("""COMPUTED_VALUE"""),398968.0)</f>
        <v>398968</v>
      </c>
    </row>
    <row r="859">
      <c r="A859" s="2">
        <f>IFERROR(__xludf.DUMMYFUNCTION("""COMPUTED_VALUE"""),43255.64583333333)</f>
        <v>43255.64583</v>
      </c>
      <c r="B859" s="1">
        <f>IFERROR(__xludf.DUMMYFUNCTION("""COMPUTED_VALUE"""),5458.98)</f>
        <v>5458.98</v>
      </c>
      <c r="C859" s="1">
        <f>IFERROR(__xludf.DUMMYFUNCTION("""COMPUTED_VALUE"""),5590.07)</f>
        <v>5590.07</v>
      </c>
      <c r="D859" s="1">
        <f>IFERROR(__xludf.DUMMYFUNCTION("""COMPUTED_VALUE"""),5355.98)</f>
        <v>5355.98</v>
      </c>
      <c r="E859" s="1">
        <f>IFERROR(__xludf.DUMMYFUNCTION("""COMPUTED_VALUE"""),5412.17)</f>
        <v>5412.17</v>
      </c>
      <c r="F859" s="1">
        <f>IFERROR(__xludf.DUMMYFUNCTION("""COMPUTED_VALUE"""),323518.0)</f>
        <v>323518</v>
      </c>
    </row>
    <row r="860">
      <c r="A860" s="2">
        <f>IFERROR(__xludf.DUMMYFUNCTION("""COMPUTED_VALUE"""),43256.64583333333)</f>
        <v>43256.64583</v>
      </c>
      <c r="B860" s="1">
        <f>IFERROR(__xludf.DUMMYFUNCTION("""COMPUTED_VALUE"""),5365.35)</f>
        <v>5365.35</v>
      </c>
      <c r="C860" s="1">
        <f>IFERROR(__xludf.DUMMYFUNCTION("""COMPUTED_VALUE"""),5477.71)</f>
        <v>5477.71</v>
      </c>
      <c r="D860" s="1">
        <f>IFERROR(__xludf.DUMMYFUNCTION("""COMPUTED_VALUE"""),5299.8)</f>
        <v>5299.8</v>
      </c>
      <c r="E860" s="1">
        <f>IFERROR(__xludf.DUMMYFUNCTION("""COMPUTED_VALUE"""),5299.8)</f>
        <v>5299.8</v>
      </c>
      <c r="F860" s="1">
        <f>IFERROR(__xludf.DUMMYFUNCTION("""COMPUTED_VALUE"""),302380.0)</f>
        <v>302380</v>
      </c>
    </row>
    <row r="861">
      <c r="A861" s="2">
        <f>IFERROR(__xludf.DUMMYFUNCTION("""COMPUTED_VALUE"""),43259.64583333333)</f>
        <v>43259.64583</v>
      </c>
      <c r="B861" s="1">
        <f>IFERROR(__xludf.DUMMYFUNCTION("""COMPUTED_VALUE"""),5365.35)</f>
        <v>5365.35</v>
      </c>
      <c r="C861" s="1">
        <f>IFERROR(__xludf.DUMMYFUNCTION("""COMPUTED_VALUE"""),5440.26)</f>
        <v>5440.26</v>
      </c>
      <c r="D861" s="1">
        <f>IFERROR(__xludf.DUMMYFUNCTION("""COMPUTED_VALUE"""),5318.53)</f>
        <v>5318.53</v>
      </c>
      <c r="E861" s="1">
        <f>IFERROR(__xludf.DUMMYFUNCTION("""COMPUTED_VALUE"""),5355.98)</f>
        <v>5355.98</v>
      </c>
      <c r="F861" s="1">
        <f>IFERROR(__xludf.DUMMYFUNCTION("""COMPUTED_VALUE"""),235928.0)</f>
        <v>235928</v>
      </c>
    </row>
    <row r="862">
      <c r="A862" s="2">
        <f>IFERROR(__xludf.DUMMYFUNCTION("""COMPUTED_VALUE"""),43262.64583333333)</f>
        <v>43262.64583</v>
      </c>
      <c r="B862" s="1">
        <f>IFERROR(__xludf.DUMMYFUNCTION("""COMPUTED_VALUE"""),5533.89)</f>
        <v>5533.89</v>
      </c>
      <c r="C862" s="1">
        <f>IFERROR(__xludf.DUMMYFUNCTION("""COMPUTED_VALUE"""),6114.44)</f>
        <v>6114.44</v>
      </c>
      <c r="D862" s="1">
        <f>IFERROR(__xludf.DUMMYFUNCTION("""COMPUTED_VALUE"""),5477.71)</f>
        <v>5477.71</v>
      </c>
      <c r="E862" s="1">
        <f>IFERROR(__xludf.DUMMYFUNCTION("""COMPUTED_VALUE"""),5477.71)</f>
        <v>5477.71</v>
      </c>
      <c r="F862" s="1">
        <f>IFERROR(__xludf.DUMMYFUNCTION("""COMPUTED_VALUE"""),4402197.0)</f>
        <v>4402197</v>
      </c>
    </row>
    <row r="863">
      <c r="A863" s="2">
        <f>IFERROR(__xludf.DUMMYFUNCTION("""COMPUTED_VALUE"""),43263.64583333333)</f>
        <v>43263.64583</v>
      </c>
      <c r="B863" s="1">
        <f>IFERROR(__xludf.DUMMYFUNCTION("""COMPUTED_VALUE"""),5533.89)</f>
        <v>5533.89</v>
      </c>
      <c r="C863" s="1">
        <f>IFERROR(__xludf.DUMMYFUNCTION("""COMPUTED_VALUE"""),5655.62)</f>
        <v>5655.62</v>
      </c>
      <c r="D863" s="1">
        <f>IFERROR(__xludf.DUMMYFUNCTION("""COMPUTED_VALUE"""),5365.35)</f>
        <v>5365.35</v>
      </c>
      <c r="E863" s="1">
        <f>IFERROR(__xludf.DUMMYFUNCTION("""COMPUTED_VALUE"""),5430.89)</f>
        <v>5430.89</v>
      </c>
      <c r="F863" s="1">
        <f>IFERROR(__xludf.DUMMYFUNCTION("""COMPUTED_VALUE"""),618015.0)</f>
        <v>618015</v>
      </c>
    </row>
    <row r="864">
      <c r="A864" s="2">
        <f>IFERROR(__xludf.DUMMYFUNCTION("""COMPUTED_VALUE"""),43266.64583333333)</f>
        <v>43266.64583</v>
      </c>
      <c r="B864" s="1">
        <f>IFERROR(__xludf.DUMMYFUNCTION("""COMPUTED_VALUE"""),5103.17)</f>
        <v>5103.17</v>
      </c>
      <c r="C864" s="1">
        <f>IFERROR(__xludf.DUMMYFUNCTION("""COMPUTED_VALUE"""),5215.53)</f>
        <v>5215.53</v>
      </c>
      <c r="D864" s="1">
        <f>IFERROR(__xludf.DUMMYFUNCTION("""COMPUTED_VALUE"""),4766.08)</f>
        <v>4766.08</v>
      </c>
      <c r="E864" s="1">
        <f>IFERROR(__xludf.DUMMYFUNCTION("""COMPUTED_VALUE"""),4775.44)</f>
        <v>4775.44</v>
      </c>
      <c r="F864" s="1">
        <f>IFERROR(__xludf.DUMMYFUNCTION("""COMPUTED_VALUE"""),625221.0)</f>
        <v>625221</v>
      </c>
    </row>
    <row r="865">
      <c r="A865" s="2">
        <f>IFERROR(__xludf.DUMMYFUNCTION("""COMPUTED_VALUE"""),43269.64583333333)</f>
        <v>43269.64583</v>
      </c>
      <c r="B865" s="1">
        <f>IFERROR(__xludf.DUMMYFUNCTION("""COMPUTED_VALUE"""),4728.62)</f>
        <v>4728.62</v>
      </c>
      <c r="C865" s="1">
        <f>IFERROR(__xludf.DUMMYFUNCTION("""COMPUTED_VALUE"""),4859.71)</f>
        <v>4859.71</v>
      </c>
      <c r="D865" s="1">
        <f>IFERROR(__xludf.DUMMYFUNCTION("""COMPUTED_VALUE"""),4597.53)</f>
        <v>4597.53</v>
      </c>
      <c r="E865" s="1">
        <f>IFERROR(__xludf.DUMMYFUNCTION("""COMPUTED_VALUE"""),4639.67)</f>
        <v>4639.67</v>
      </c>
      <c r="F865" s="1">
        <f>IFERROR(__xludf.DUMMYFUNCTION("""COMPUTED_VALUE"""),436120.0)</f>
        <v>436120</v>
      </c>
    </row>
    <row r="866">
      <c r="A866" s="2">
        <f>IFERROR(__xludf.DUMMYFUNCTION("""COMPUTED_VALUE"""),43270.64583333333)</f>
        <v>43270.64583</v>
      </c>
      <c r="B866" s="1">
        <f>IFERROR(__xludf.DUMMYFUNCTION("""COMPUTED_VALUE"""),4597.53)</f>
        <v>4597.53</v>
      </c>
      <c r="C866" s="1">
        <f>IFERROR(__xludf.DUMMYFUNCTION("""COMPUTED_VALUE"""),4681.8)</f>
        <v>4681.8</v>
      </c>
      <c r="D866" s="1">
        <f>IFERROR(__xludf.DUMMYFUNCTION("""COMPUTED_VALUE"""),4447.71)</f>
        <v>4447.71</v>
      </c>
      <c r="E866" s="1">
        <f>IFERROR(__xludf.DUMMYFUNCTION("""COMPUTED_VALUE"""),4461.76)</f>
        <v>4461.76</v>
      </c>
      <c r="F866" s="1">
        <f>IFERROR(__xludf.DUMMYFUNCTION("""COMPUTED_VALUE"""),344588.0)</f>
        <v>344588</v>
      </c>
    </row>
    <row r="867">
      <c r="A867" s="2">
        <f>IFERROR(__xludf.DUMMYFUNCTION("""COMPUTED_VALUE"""),43271.64583333333)</f>
        <v>43271.64583</v>
      </c>
      <c r="B867" s="1">
        <f>IFERROR(__xludf.DUMMYFUNCTION("""COMPUTED_VALUE"""),4419.62)</f>
        <v>4419.62</v>
      </c>
      <c r="C867" s="1">
        <f>IFERROR(__xludf.DUMMYFUNCTION("""COMPUTED_VALUE"""),5599.44)</f>
        <v>5599.44</v>
      </c>
      <c r="D867" s="1">
        <f>IFERROR(__xludf.DUMMYFUNCTION("""COMPUTED_VALUE"""),4419.62)</f>
        <v>4419.62</v>
      </c>
      <c r="E867" s="1">
        <f>IFERROR(__xludf.DUMMYFUNCTION("""COMPUTED_VALUE"""),4737.99)</f>
        <v>4737.99</v>
      </c>
      <c r="F867" s="1">
        <f>IFERROR(__xludf.DUMMYFUNCTION("""COMPUTED_VALUE"""),6972264.0)</f>
        <v>6972264</v>
      </c>
    </row>
    <row r="868">
      <c r="A868" s="2">
        <f>IFERROR(__xludf.DUMMYFUNCTION("""COMPUTED_VALUE"""),43272.64583333333)</f>
        <v>43272.64583</v>
      </c>
      <c r="B868" s="1">
        <f>IFERROR(__xludf.DUMMYFUNCTION("""COMPUTED_VALUE"""),4794.17)</f>
        <v>4794.17</v>
      </c>
      <c r="C868" s="1">
        <f>IFERROR(__xludf.DUMMYFUNCTION("""COMPUTED_VALUE"""),5224.89)</f>
        <v>5224.89</v>
      </c>
      <c r="D868" s="1">
        <f>IFERROR(__xludf.DUMMYFUNCTION("""COMPUTED_VALUE"""),4700.53)</f>
        <v>4700.53</v>
      </c>
      <c r="E868" s="1">
        <f>IFERROR(__xludf.DUMMYFUNCTION("""COMPUTED_VALUE"""),4747.35)</f>
        <v>4747.35</v>
      </c>
      <c r="F868" s="1">
        <f>IFERROR(__xludf.DUMMYFUNCTION("""COMPUTED_VALUE"""),1954693.0)</f>
        <v>1954693</v>
      </c>
    </row>
    <row r="869">
      <c r="A869" s="2">
        <f>IFERROR(__xludf.DUMMYFUNCTION("""COMPUTED_VALUE"""),43273.64583333333)</f>
        <v>43273.64583</v>
      </c>
      <c r="B869" s="1">
        <f>IFERROR(__xludf.DUMMYFUNCTION("""COMPUTED_VALUE"""),4719.26)</f>
        <v>4719.26</v>
      </c>
      <c r="C869" s="1">
        <f>IFERROR(__xludf.DUMMYFUNCTION("""COMPUTED_VALUE"""),4812.89)</f>
        <v>4812.89</v>
      </c>
      <c r="D869" s="1">
        <f>IFERROR(__xludf.DUMMYFUNCTION("""COMPUTED_VALUE"""),4499.21)</f>
        <v>4499.21</v>
      </c>
      <c r="E869" s="1">
        <f>IFERROR(__xludf.DUMMYFUNCTION("""COMPUTED_VALUE"""),4583.49)</f>
        <v>4583.49</v>
      </c>
      <c r="F869" s="1">
        <f>IFERROR(__xludf.DUMMYFUNCTION("""COMPUTED_VALUE"""),395689.0)</f>
        <v>395689</v>
      </c>
    </row>
    <row r="870">
      <c r="A870" s="2">
        <f>IFERROR(__xludf.DUMMYFUNCTION("""COMPUTED_VALUE"""),43276.64583333333)</f>
        <v>43276.64583</v>
      </c>
      <c r="B870" s="1">
        <f>IFERROR(__xludf.DUMMYFUNCTION("""COMPUTED_VALUE"""),4499.21)</f>
        <v>4499.21</v>
      </c>
      <c r="C870" s="1">
        <f>IFERROR(__xludf.DUMMYFUNCTION("""COMPUTED_VALUE"""),4531.99)</f>
        <v>4531.99</v>
      </c>
      <c r="D870" s="1">
        <f>IFERROR(__xludf.DUMMYFUNCTION("""COMPUTED_VALUE"""),4288.53)</f>
        <v>4288.53</v>
      </c>
      <c r="E870" s="1">
        <f>IFERROR(__xludf.DUMMYFUNCTION("""COMPUTED_VALUE"""),4335.35)</f>
        <v>4335.35</v>
      </c>
      <c r="F870" s="1">
        <f>IFERROR(__xludf.DUMMYFUNCTION("""COMPUTED_VALUE"""),668135.0)</f>
        <v>668135</v>
      </c>
    </row>
    <row r="871">
      <c r="A871" s="2">
        <f>IFERROR(__xludf.DUMMYFUNCTION("""COMPUTED_VALUE"""),43277.64583333333)</f>
        <v>43277.64583</v>
      </c>
      <c r="B871" s="1">
        <f>IFERROR(__xludf.DUMMYFUNCTION("""COMPUTED_VALUE"""),4213.62)</f>
        <v>4213.62</v>
      </c>
      <c r="C871" s="1">
        <f>IFERROR(__xludf.DUMMYFUNCTION("""COMPUTED_VALUE"""),4443.03)</f>
        <v>4443.03</v>
      </c>
      <c r="D871" s="1">
        <f>IFERROR(__xludf.DUMMYFUNCTION("""COMPUTED_VALUE"""),4208.94)</f>
        <v>4208.94</v>
      </c>
      <c r="E871" s="1">
        <f>IFERROR(__xludf.DUMMYFUNCTION("""COMPUTED_VALUE"""),4293.21)</f>
        <v>4293.21</v>
      </c>
      <c r="F871" s="1">
        <f>IFERROR(__xludf.DUMMYFUNCTION("""COMPUTED_VALUE"""),358805.0)</f>
        <v>358805</v>
      </c>
    </row>
    <row r="872">
      <c r="A872" s="2">
        <f>IFERROR(__xludf.DUMMYFUNCTION("""COMPUTED_VALUE"""),43278.64583333333)</f>
        <v>43278.64583</v>
      </c>
      <c r="B872" s="1">
        <f>IFERROR(__xludf.DUMMYFUNCTION("""COMPUTED_VALUE"""),4293.21)</f>
        <v>4293.21</v>
      </c>
      <c r="C872" s="1">
        <f>IFERROR(__xludf.DUMMYFUNCTION("""COMPUTED_VALUE"""),4452.4)</f>
        <v>4452.4</v>
      </c>
      <c r="D872" s="1">
        <f>IFERROR(__xludf.DUMMYFUNCTION("""COMPUTED_VALUE"""),4293.21)</f>
        <v>4293.21</v>
      </c>
      <c r="E872" s="1">
        <f>IFERROR(__xludf.DUMMYFUNCTION("""COMPUTED_VALUE"""),4424.31)</f>
        <v>4424.31</v>
      </c>
      <c r="F872" s="1">
        <f>IFERROR(__xludf.DUMMYFUNCTION("""COMPUTED_VALUE"""),365591.0)</f>
        <v>365591</v>
      </c>
    </row>
    <row r="873">
      <c r="A873" s="2">
        <f>IFERROR(__xludf.DUMMYFUNCTION("""COMPUTED_VALUE"""),43279.64583333333)</f>
        <v>43279.64583</v>
      </c>
      <c r="B873" s="1">
        <f>IFERROR(__xludf.DUMMYFUNCTION("""COMPUTED_VALUE"""),4410.26)</f>
        <v>4410.26</v>
      </c>
      <c r="C873" s="1">
        <f>IFERROR(__xludf.DUMMYFUNCTION("""COMPUTED_VALUE"""),4428.99)</f>
        <v>4428.99</v>
      </c>
      <c r="D873" s="1">
        <f>IFERROR(__xludf.DUMMYFUNCTION("""COMPUTED_VALUE"""),4096.58)</f>
        <v>4096.58</v>
      </c>
      <c r="E873" s="1">
        <f>IFERROR(__xludf.DUMMYFUNCTION("""COMPUTED_VALUE"""),4110.62)</f>
        <v>4110.62</v>
      </c>
      <c r="F873" s="1">
        <f>IFERROR(__xludf.DUMMYFUNCTION("""COMPUTED_VALUE"""),307849.0)</f>
        <v>307849</v>
      </c>
    </row>
    <row r="874">
      <c r="A874" s="2">
        <f>IFERROR(__xludf.DUMMYFUNCTION("""COMPUTED_VALUE"""),43280.64583333333)</f>
        <v>43280.64583</v>
      </c>
      <c r="B874" s="1">
        <f>IFERROR(__xludf.DUMMYFUNCTION("""COMPUTED_VALUE"""),4110.62)</f>
        <v>4110.62</v>
      </c>
      <c r="C874" s="1">
        <f>IFERROR(__xludf.DUMMYFUNCTION("""COMPUTED_VALUE"""),4354.08)</f>
        <v>4354.08</v>
      </c>
      <c r="D874" s="1">
        <f>IFERROR(__xludf.DUMMYFUNCTION("""COMPUTED_VALUE"""),4110.62)</f>
        <v>4110.62</v>
      </c>
      <c r="E874" s="1">
        <f>IFERROR(__xludf.DUMMYFUNCTION("""COMPUTED_VALUE"""),4227.67)</f>
        <v>4227.67</v>
      </c>
      <c r="F874" s="1">
        <f>IFERROR(__xludf.DUMMYFUNCTION("""COMPUTED_VALUE"""),276701.0)</f>
        <v>276701</v>
      </c>
    </row>
    <row r="875">
      <c r="A875" s="2">
        <f>IFERROR(__xludf.DUMMYFUNCTION("""COMPUTED_VALUE"""),43283.64583333333)</f>
        <v>43283.64583</v>
      </c>
      <c r="B875" s="1">
        <f>IFERROR(__xludf.DUMMYFUNCTION("""COMPUTED_VALUE"""),4260.44)</f>
        <v>4260.44</v>
      </c>
      <c r="C875" s="1">
        <f>IFERROR(__xludf.DUMMYFUNCTION("""COMPUTED_VALUE"""),4452.4)</f>
        <v>4452.4</v>
      </c>
      <c r="D875" s="1">
        <f>IFERROR(__xludf.DUMMYFUNCTION("""COMPUTED_VALUE"""),4124.67)</f>
        <v>4124.67</v>
      </c>
      <c r="E875" s="1">
        <f>IFERROR(__xludf.DUMMYFUNCTION("""COMPUTED_VALUE"""),4166.81)</f>
        <v>4166.81</v>
      </c>
      <c r="F875" s="1">
        <f>IFERROR(__xludf.DUMMYFUNCTION("""COMPUTED_VALUE"""),326848.0)</f>
        <v>326848</v>
      </c>
    </row>
    <row r="876">
      <c r="A876" s="2">
        <f>IFERROR(__xludf.DUMMYFUNCTION("""COMPUTED_VALUE"""),43284.64583333333)</f>
        <v>43284.64583</v>
      </c>
      <c r="B876" s="1">
        <f>IFERROR(__xludf.DUMMYFUNCTION("""COMPUTED_VALUE"""),4129.35)</f>
        <v>4129.35</v>
      </c>
      <c r="C876" s="1">
        <f>IFERROR(__xludf.DUMMYFUNCTION("""COMPUTED_VALUE"""),4330.67)</f>
        <v>4330.67</v>
      </c>
      <c r="D876" s="1">
        <f>IFERROR(__xludf.DUMMYFUNCTION("""COMPUTED_VALUE"""),4045.08)</f>
        <v>4045.08</v>
      </c>
      <c r="E876" s="1">
        <f>IFERROR(__xludf.DUMMYFUNCTION("""COMPUTED_VALUE"""),4138.72)</f>
        <v>4138.72</v>
      </c>
      <c r="F876" s="1">
        <f>IFERROR(__xludf.DUMMYFUNCTION("""COMPUTED_VALUE"""),304745.0)</f>
        <v>304745</v>
      </c>
    </row>
    <row r="877">
      <c r="A877" s="2">
        <f>IFERROR(__xludf.DUMMYFUNCTION("""COMPUTED_VALUE"""),43285.64583333333)</f>
        <v>43285.64583</v>
      </c>
      <c r="B877" s="1">
        <f>IFERROR(__xludf.DUMMYFUNCTION("""COMPUTED_VALUE"""),4222.99)</f>
        <v>4222.99</v>
      </c>
      <c r="C877" s="1">
        <f>IFERROR(__xludf.DUMMYFUNCTION("""COMPUTED_VALUE"""),4405.58)</f>
        <v>4405.58</v>
      </c>
      <c r="D877" s="1">
        <f>IFERROR(__xludf.DUMMYFUNCTION("""COMPUTED_VALUE"""),4152.76)</f>
        <v>4152.76</v>
      </c>
      <c r="E877" s="1">
        <f>IFERROR(__xludf.DUMMYFUNCTION("""COMPUTED_VALUE"""),4372.81)</f>
        <v>4372.81</v>
      </c>
      <c r="F877" s="1">
        <f>IFERROR(__xludf.DUMMYFUNCTION("""COMPUTED_VALUE"""),434973.0)</f>
        <v>434973</v>
      </c>
    </row>
    <row r="878">
      <c r="A878" s="2">
        <f>IFERROR(__xludf.DUMMYFUNCTION("""COMPUTED_VALUE"""),43286.64583333333)</f>
        <v>43286.64583</v>
      </c>
      <c r="B878" s="1">
        <f>IFERROR(__xludf.DUMMYFUNCTION("""COMPUTED_VALUE"""),4400.9)</f>
        <v>4400.9</v>
      </c>
      <c r="C878" s="1">
        <f>IFERROR(__xludf.DUMMYFUNCTION("""COMPUTED_VALUE"""),4424.31)</f>
        <v>4424.31</v>
      </c>
      <c r="D878" s="1">
        <f>IFERROR(__xludf.DUMMYFUNCTION("""COMPUTED_VALUE"""),4213.62)</f>
        <v>4213.62</v>
      </c>
      <c r="E878" s="1">
        <f>IFERROR(__xludf.DUMMYFUNCTION("""COMPUTED_VALUE"""),4274.49)</f>
        <v>4274.49</v>
      </c>
      <c r="F878" s="1">
        <f>IFERROR(__xludf.DUMMYFUNCTION("""COMPUTED_VALUE"""),331495.0)</f>
        <v>331495</v>
      </c>
    </row>
    <row r="879">
      <c r="A879" s="2">
        <f>IFERROR(__xludf.DUMMYFUNCTION("""COMPUTED_VALUE"""),43287.64583333333)</f>
        <v>43287.64583</v>
      </c>
      <c r="B879" s="1">
        <f>IFERROR(__xludf.DUMMYFUNCTION("""COMPUTED_VALUE"""),4316.62)</f>
        <v>4316.62</v>
      </c>
      <c r="C879" s="1">
        <f>IFERROR(__xludf.DUMMYFUNCTION("""COMPUTED_VALUE"""),4321.31)</f>
        <v>4321.31</v>
      </c>
      <c r="D879" s="1">
        <f>IFERROR(__xludf.DUMMYFUNCTION("""COMPUTED_VALUE"""),4162.12)</f>
        <v>4162.12</v>
      </c>
      <c r="E879" s="1">
        <f>IFERROR(__xludf.DUMMYFUNCTION("""COMPUTED_VALUE"""),4307.26)</f>
        <v>4307.26</v>
      </c>
      <c r="F879" s="1">
        <f>IFERROR(__xludf.DUMMYFUNCTION("""COMPUTED_VALUE"""),257392.0)</f>
        <v>257392</v>
      </c>
    </row>
    <row r="880">
      <c r="A880" s="2">
        <f>IFERROR(__xludf.DUMMYFUNCTION("""COMPUTED_VALUE"""),43290.64583333333)</f>
        <v>43290.64583</v>
      </c>
      <c r="B880" s="1">
        <f>IFERROR(__xludf.DUMMYFUNCTION("""COMPUTED_VALUE"""),4325.99)</f>
        <v>4325.99</v>
      </c>
      <c r="C880" s="1">
        <f>IFERROR(__xludf.DUMMYFUNCTION("""COMPUTED_VALUE"""),4634.99)</f>
        <v>4634.99</v>
      </c>
      <c r="D880" s="1">
        <f>IFERROR(__xludf.DUMMYFUNCTION("""COMPUTED_VALUE"""),4316.62)</f>
        <v>4316.62</v>
      </c>
      <c r="E880" s="1">
        <f>IFERROR(__xludf.DUMMYFUNCTION("""COMPUTED_VALUE"""),4475.8)</f>
        <v>4475.8</v>
      </c>
      <c r="F880" s="1">
        <f>IFERROR(__xludf.DUMMYFUNCTION("""COMPUTED_VALUE"""),1391939.0)</f>
        <v>1391939</v>
      </c>
    </row>
    <row r="881">
      <c r="A881" s="2">
        <f>IFERROR(__xludf.DUMMYFUNCTION("""COMPUTED_VALUE"""),43291.64583333333)</f>
        <v>43291.64583</v>
      </c>
      <c r="B881" s="1">
        <f>IFERROR(__xludf.DUMMYFUNCTION("""COMPUTED_VALUE"""),4508.58)</f>
        <v>4508.58</v>
      </c>
      <c r="C881" s="1">
        <f>IFERROR(__xludf.DUMMYFUNCTION("""COMPUTED_VALUE"""),4508.58)</f>
        <v>4508.58</v>
      </c>
      <c r="D881" s="1">
        <f>IFERROR(__xludf.DUMMYFUNCTION("""COMPUTED_VALUE"""),4372.81)</f>
        <v>4372.81</v>
      </c>
      <c r="E881" s="1">
        <f>IFERROR(__xludf.DUMMYFUNCTION("""COMPUTED_VALUE"""),4414.94)</f>
        <v>4414.94</v>
      </c>
      <c r="F881" s="1">
        <f>IFERROR(__xludf.DUMMYFUNCTION("""COMPUTED_VALUE"""),325719.0)</f>
        <v>325719</v>
      </c>
    </row>
    <row r="882">
      <c r="A882" s="2">
        <f>IFERROR(__xludf.DUMMYFUNCTION("""COMPUTED_VALUE"""),43292.64583333333)</f>
        <v>43292.64583</v>
      </c>
      <c r="B882" s="1">
        <f>IFERROR(__xludf.DUMMYFUNCTION("""COMPUTED_VALUE"""),4400.9)</f>
        <v>4400.9</v>
      </c>
      <c r="C882" s="1">
        <f>IFERROR(__xludf.DUMMYFUNCTION("""COMPUTED_VALUE"""),4424.31)</f>
        <v>4424.31</v>
      </c>
      <c r="D882" s="1">
        <f>IFERROR(__xludf.DUMMYFUNCTION("""COMPUTED_VALUE"""),4283.85)</f>
        <v>4283.85</v>
      </c>
      <c r="E882" s="1">
        <f>IFERROR(__xludf.DUMMYFUNCTION("""COMPUTED_VALUE"""),4321.31)</f>
        <v>4321.31</v>
      </c>
      <c r="F882" s="1">
        <f>IFERROR(__xludf.DUMMYFUNCTION("""COMPUTED_VALUE"""),280600.0)</f>
        <v>280600</v>
      </c>
    </row>
    <row r="883">
      <c r="A883" s="2">
        <f>IFERROR(__xludf.DUMMYFUNCTION("""COMPUTED_VALUE"""),43293.64583333333)</f>
        <v>43293.64583</v>
      </c>
      <c r="B883" s="1">
        <f>IFERROR(__xludf.DUMMYFUNCTION("""COMPUTED_VALUE"""),4269.81)</f>
        <v>4269.81</v>
      </c>
      <c r="C883" s="1">
        <f>IFERROR(__xludf.DUMMYFUNCTION("""COMPUTED_VALUE"""),4489.85)</f>
        <v>4489.85</v>
      </c>
      <c r="D883" s="1">
        <f>IFERROR(__xludf.DUMMYFUNCTION("""COMPUTED_VALUE"""),4241.71)</f>
        <v>4241.71</v>
      </c>
      <c r="E883" s="1">
        <f>IFERROR(__xludf.DUMMYFUNCTION("""COMPUTED_VALUE"""),4419.62)</f>
        <v>4419.62</v>
      </c>
      <c r="F883" s="1">
        <f>IFERROR(__xludf.DUMMYFUNCTION("""COMPUTED_VALUE"""),306401.0)</f>
        <v>306401</v>
      </c>
    </row>
    <row r="884">
      <c r="A884" s="2">
        <f>IFERROR(__xludf.DUMMYFUNCTION("""COMPUTED_VALUE"""),43294.64583333333)</f>
        <v>43294.64583</v>
      </c>
      <c r="B884" s="1">
        <f>IFERROR(__xludf.DUMMYFUNCTION("""COMPUTED_VALUE"""),4461.76)</f>
        <v>4461.76</v>
      </c>
      <c r="C884" s="1">
        <f>IFERROR(__xludf.DUMMYFUNCTION("""COMPUTED_VALUE"""),4536.67)</f>
        <v>4536.67</v>
      </c>
      <c r="D884" s="1">
        <f>IFERROR(__xludf.DUMMYFUNCTION("""COMPUTED_VALUE"""),4400.9)</f>
        <v>4400.9</v>
      </c>
      <c r="E884" s="1">
        <f>IFERROR(__xludf.DUMMYFUNCTION("""COMPUTED_VALUE"""),4424.31)</f>
        <v>4424.31</v>
      </c>
      <c r="F884" s="1">
        <f>IFERROR(__xludf.DUMMYFUNCTION("""COMPUTED_VALUE"""),209907.0)</f>
        <v>209907</v>
      </c>
    </row>
    <row r="885">
      <c r="A885" s="2">
        <f>IFERROR(__xludf.DUMMYFUNCTION("""COMPUTED_VALUE"""),43297.64583333333)</f>
        <v>43297.64583</v>
      </c>
      <c r="B885" s="1">
        <f>IFERROR(__xludf.DUMMYFUNCTION("""COMPUTED_VALUE"""),4428.99)</f>
        <v>4428.99</v>
      </c>
      <c r="C885" s="1">
        <f>IFERROR(__xludf.DUMMYFUNCTION("""COMPUTED_VALUE"""),4438.35)</f>
        <v>4438.35</v>
      </c>
      <c r="D885" s="1">
        <f>IFERROR(__xludf.DUMMYFUNCTION("""COMPUTED_VALUE"""),4307.26)</f>
        <v>4307.26</v>
      </c>
      <c r="E885" s="1">
        <f>IFERROR(__xludf.DUMMYFUNCTION("""COMPUTED_VALUE"""),4325.99)</f>
        <v>4325.99</v>
      </c>
      <c r="F885" s="1">
        <f>IFERROR(__xludf.DUMMYFUNCTION("""COMPUTED_VALUE"""),198375.0)</f>
        <v>198375</v>
      </c>
    </row>
    <row r="886">
      <c r="A886" s="2">
        <f>IFERROR(__xludf.DUMMYFUNCTION("""COMPUTED_VALUE"""),43298.64583333333)</f>
        <v>43298.64583</v>
      </c>
      <c r="B886" s="1">
        <f>IFERROR(__xludf.DUMMYFUNCTION("""COMPUTED_VALUE"""),4325.99)</f>
        <v>4325.99</v>
      </c>
      <c r="C886" s="1">
        <f>IFERROR(__xludf.DUMMYFUNCTION("""COMPUTED_VALUE"""),4485.17)</f>
        <v>4485.17</v>
      </c>
      <c r="D886" s="1">
        <f>IFERROR(__xludf.DUMMYFUNCTION("""COMPUTED_VALUE"""),4293.21)</f>
        <v>4293.21</v>
      </c>
      <c r="E886" s="1">
        <f>IFERROR(__xludf.DUMMYFUNCTION("""COMPUTED_VALUE"""),4461.76)</f>
        <v>4461.76</v>
      </c>
      <c r="F886" s="1">
        <f>IFERROR(__xludf.DUMMYFUNCTION("""COMPUTED_VALUE"""),272133.0)</f>
        <v>272133</v>
      </c>
    </row>
    <row r="887">
      <c r="A887" s="2">
        <f>IFERROR(__xludf.DUMMYFUNCTION("""COMPUTED_VALUE"""),43299.64583333333)</f>
        <v>43299.64583</v>
      </c>
      <c r="B887" s="1">
        <f>IFERROR(__xludf.DUMMYFUNCTION("""COMPUTED_VALUE"""),4546.03)</f>
        <v>4546.03</v>
      </c>
      <c r="C887" s="1">
        <f>IFERROR(__xludf.DUMMYFUNCTION("""COMPUTED_VALUE"""),5187.44)</f>
        <v>5187.44</v>
      </c>
      <c r="D887" s="1">
        <f>IFERROR(__xludf.DUMMYFUNCTION("""COMPUTED_VALUE"""),4527.3)</f>
        <v>4527.3</v>
      </c>
      <c r="E887" s="1">
        <f>IFERROR(__xludf.DUMMYFUNCTION("""COMPUTED_VALUE"""),4775.44)</f>
        <v>4775.44</v>
      </c>
      <c r="F887" s="1">
        <f>IFERROR(__xludf.DUMMYFUNCTION("""COMPUTED_VALUE"""),6949800.0)</f>
        <v>6949800</v>
      </c>
    </row>
    <row r="888">
      <c r="A888" s="2">
        <f>IFERROR(__xludf.DUMMYFUNCTION("""COMPUTED_VALUE"""),43300.64583333333)</f>
        <v>43300.64583</v>
      </c>
      <c r="B888" s="1">
        <f>IFERROR(__xludf.DUMMYFUNCTION("""COMPUTED_VALUE"""),4775.44)</f>
        <v>4775.44</v>
      </c>
      <c r="C888" s="1">
        <f>IFERROR(__xludf.DUMMYFUNCTION("""COMPUTED_VALUE"""),4906.53)</f>
        <v>4906.53</v>
      </c>
      <c r="D888" s="1">
        <f>IFERROR(__xludf.DUMMYFUNCTION("""COMPUTED_VALUE"""),4611.58)</f>
        <v>4611.58</v>
      </c>
      <c r="E888" s="1">
        <f>IFERROR(__xludf.DUMMYFUNCTION("""COMPUTED_VALUE"""),4859.71)</f>
        <v>4859.71</v>
      </c>
      <c r="F888" s="1">
        <f>IFERROR(__xludf.DUMMYFUNCTION("""COMPUTED_VALUE"""),1148955.0)</f>
        <v>1148955</v>
      </c>
    </row>
    <row r="889">
      <c r="A889" s="2">
        <f>IFERROR(__xludf.DUMMYFUNCTION("""COMPUTED_VALUE"""),43301.64583333333)</f>
        <v>43301.64583</v>
      </c>
      <c r="B889" s="1">
        <f>IFERROR(__xludf.DUMMYFUNCTION("""COMPUTED_VALUE"""),4859.71)</f>
        <v>4859.71</v>
      </c>
      <c r="C889" s="1">
        <f>IFERROR(__xludf.DUMMYFUNCTION("""COMPUTED_VALUE"""),5140.62)</f>
        <v>5140.62</v>
      </c>
      <c r="D889" s="1">
        <f>IFERROR(__xludf.DUMMYFUNCTION("""COMPUTED_VALUE"""),4766.08)</f>
        <v>4766.08</v>
      </c>
      <c r="E889" s="1">
        <f>IFERROR(__xludf.DUMMYFUNCTION("""COMPUTED_VALUE"""),4784.8)</f>
        <v>4784.8</v>
      </c>
      <c r="F889" s="1">
        <f>IFERROR(__xludf.DUMMYFUNCTION("""COMPUTED_VALUE"""),2008533.0)</f>
        <v>2008533</v>
      </c>
    </row>
    <row r="890">
      <c r="A890" s="2">
        <f>IFERROR(__xludf.DUMMYFUNCTION("""COMPUTED_VALUE"""),43304.64583333333)</f>
        <v>43304.64583</v>
      </c>
      <c r="B890" s="1">
        <f>IFERROR(__xludf.DUMMYFUNCTION("""COMPUTED_VALUE"""),4812.89)</f>
        <v>4812.89</v>
      </c>
      <c r="C890" s="1">
        <f>IFERROR(__xludf.DUMMYFUNCTION("""COMPUTED_VALUE"""),5018.89)</f>
        <v>5018.89</v>
      </c>
      <c r="D890" s="1">
        <f>IFERROR(__xludf.DUMMYFUNCTION("""COMPUTED_VALUE"""),4747.35)</f>
        <v>4747.35</v>
      </c>
      <c r="E890" s="1">
        <f>IFERROR(__xludf.DUMMYFUNCTION("""COMPUTED_VALUE"""),4822.26)</f>
        <v>4822.26</v>
      </c>
      <c r="F890" s="1">
        <f>IFERROR(__xludf.DUMMYFUNCTION("""COMPUTED_VALUE"""),994559.0)</f>
        <v>994559</v>
      </c>
    </row>
    <row r="891">
      <c r="A891" s="2">
        <f>IFERROR(__xludf.DUMMYFUNCTION("""COMPUTED_VALUE"""),43305.64583333333)</f>
        <v>43305.64583</v>
      </c>
      <c r="B891" s="1">
        <f>IFERROR(__xludf.DUMMYFUNCTION("""COMPUTED_VALUE"""),4850.35)</f>
        <v>4850.35</v>
      </c>
      <c r="C891" s="1">
        <f>IFERROR(__xludf.DUMMYFUNCTION("""COMPUTED_VALUE"""),5009.53)</f>
        <v>5009.53</v>
      </c>
      <c r="D891" s="1">
        <f>IFERROR(__xludf.DUMMYFUNCTION("""COMPUTED_VALUE"""),4850.35)</f>
        <v>4850.35</v>
      </c>
      <c r="E891" s="1">
        <f>IFERROR(__xludf.DUMMYFUNCTION("""COMPUTED_VALUE"""),5000.17)</f>
        <v>5000.17</v>
      </c>
      <c r="F891" s="1">
        <f>IFERROR(__xludf.DUMMYFUNCTION("""COMPUTED_VALUE"""),932993.0)</f>
        <v>932993</v>
      </c>
    </row>
    <row r="892">
      <c r="A892" s="2">
        <f>IFERROR(__xludf.DUMMYFUNCTION("""COMPUTED_VALUE"""),43306.64583333333)</f>
        <v>43306.64583</v>
      </c>
      <c r="B892" s="1">
        <f>IFERROR(__xludf.DUMMYFUNCTION("""COMPUTED_VALUE"""),5000.17)</f>
        <v>5000.17</v>
      </c>
      <c r="C892" s="1">
        <f>IFERROR(__xludf.DUMMYFUNCTION("""COMPUTED_VALUE"""),5402.8)</f>
        <v>5402.8</v>
      </c>
      <c r="D892" s="1">
        <f>IFERROR(__xludf.DUMMYFUNCTION("""COMPUTED_VALUE"""),4990.8)</f>
        <v>4990.8</v>
      </c>
      <c r="E892" s="1">
        <f>IFERROR(__xludf.DUMMYFUNCTION("""COMPUTED_VALUE"""),5028.26)</f>
        <v>5028.26</v>
      </c>
      <c r="F892" s="1">
        <f>IFERROR(__xludf.DUMMYFUNCTION("""COMPUTED_VALUE"""),2488775.0)</f>
        <v>2488775</v>
      </c>
    </row>
    <row r="893">
      <c r="A893" s="2">
        <f>IFERROR(__xludf.DUMMYFUNCTION("""COMPUTED_VALUE"""),43307.64583333333)</f>
        <v>43307.64583</v>
      </c>
      <c r="B893" s="1">
        <f>IFERROR(__xludf.DUMMYFUNCTION("""COMPUTED_VALUE"""),5093.8)</f>
        <v>5093.8</v>
      </c>
      <c r="C893" s="1">
        <f>IFERROR(__xludf.DUMMYFUNCTION("""COMPUTED_VALUE"""),5159.35)</f>
        <v>5159.35</v>
      </c>
      <c r="D893" s="1">
        <f>IFERROR(__xludf.DUMMYFUNCTION("""COMPUTED_VALUE"""),4943.99)</f>
        <v>4943.99</v>
      </c>
      <c r="E893" s="1">
        <f>IFERROR(__xludf.DUMMYFUNCTION("""COMPUTED_VALUE"""),5046.99)</f>
        <v>5046.99</v>
      </c>
      <c r="F893" s="1">
        <f>IFERROR(__xludf.DUMMYFUNCTION("""COMPUTED_VALUE"""),662298.0)</f>
        <v>662298</v>
      </c>
    </row>
    <row r="894">
      <c r="A894" s="2">
        <f>IFERROR(__xludf.DUMMYFUNCTION("""COMPUTED_VALUE"""),43308.64583333333)</f>
        <v>43308.64583</v>
      </c>
      <c r="B894" s="1">
        <f>IFERROR(__xludf.DUMMYFUNCTION("""COMPUTED_VALUE"""),5140.62)</f>
        <v>5140.62</v>
      </c>
      <c r="C894" s="1">
        <f>IFERROR(__xludf.DUMMYFUNCTION("""COMPUTED_VALUE"""),5318.53)</f>
        <v>5318.53</v>
      </c>
      <c r="D894" s="1">
        <f>IFERROR(__xludf.DUMMYFUNCTION("""COMPUTED_VALUE"""),5056.35)</f>
        <v>5056.35</v>
      </c>
      <c r="E894" s="1">
        <f>IFERROR(__xludf.DUMMYFUNCTION("""COMPUTED_VALUE"""),5075.08)</f>
        <v>5075.08</v>
      </c>
      <c r="F894" s="1">
        <f>IFERROR(__xludf.DUMMYFUNCTION("""COMPUTED_VALUE"""),1437171.0)</f>
        <v>1437171</v>
      </c>
    </row>
    <row r="895">
      <c r="A895" s="2">
        <f>IFERROR(__xludf.DUMMYFUNCTION("""COMPUTED_VALUE"""),43311.64583333333)</f>
        <v>43311.64583</v>
      </c>
      <c r="B895" s="1">
        <f>IFERROR(__xludf.DUMMYFUNCTION("""COMPUTED_VALUE"""),5075.08)</f>
        <v>5075.08</v>
      </c>
      <c r="C895" s="1">
        <f>IFERROR(__xludf.DUMMYFUNCTION("""COMPUTED_VALUE"""),5196.8)</f>
        <v>5196.8</v>
      </c>
      <c r="D895" s="1">
        <f>IFERROR(__xludf.DUMMYFUNCTION("""COMPUTED_VALUE"""),4972.08)</f>
        <v>4972.08</v>
      </c>
      <c r="E895" s="1">
        <f>IFERROR(__xludf.DUMMYFUNCTION("""COMPUTED_VALUE"""),5187.44)</f>
        <v>5187.44</v>
      </c>
      <c r="F895" s="1">
        <f>IFERROR(__xludf.DUMMYFUNCTION("""COMPUTED_VALUE"""),742138.0)</f>
        <v>742138</v>
      </c>
    </row>
    <row r="896">
      <c r="A896" s="2">
        <f>IFERROR(__xludf.DUMMYFUNCTION("""COMPUTED_VALUE"""),43312.64583333333)</f>
        <v>43312.64583</v>
      </c>
      <c r="B896" s="1">
        <f>IFERROR(__xludf.DUMMYFUNCTION("""COMPUTED_VALUE"""),5449.62)</f>
        <v>5449.62</v>
      </c>
      <c r="C896" s="1">
        <f>IFERROR(__xludf.DUMMYFUNCTION("""COMPUTED_VALUE"""),5449.62)</f>
        <v>5449.62</v>
      </c>
      <c r="D896" s="1">
        <f>IFERROR(__xludf.DUMMYFUNCTION("""COMPUTED_VALUE"""),5018.89)</f>
        <v>5018.89</v>
      </c>
      <c r="E896" s="1">
        <f>IFERROR(__xludf.DUMMYFUNCTION("""COMPUTED_VALUE"""),5018.89)</f>
        <v>5018.89</v>
      </c>
      <c r="F896" s="1">
        <f>IFERROR(__xludf.DUMMYFUNCTION("""COMPUTED_VALUE"""),1414871.0)</f>
        <v>1414871</v>
      </c>
    </row>
    <row r="897">
      <c r="A897" s="2">
        <f>IFERROR(__xludf.DUMMYFUNCTION("""COMPUTED_VALUE"""),43313.64583333333)</f>
        <v>43313.64583</v>
      </c>
      <c r="B897" s="1">
        <f>IFERROR(__xludf.DUMMYFUNCTION("""COMPUTED_VALUE"""),5084.44)</f>
        <v>5084.44</v>
      </c>
      <c r="C897" s="1">
        <f>IFERROR(__xludf.DUMMYFUNCTION("""COMPUTED_VALUE"""),5140.62)</f>
        <v>5140.62</v>
      </c>
      <c r="D897" s="1">
        <f>IFERROR(__xludf.DUMMYFUNCTION("""COMPUTED_VALUE"""),4812.89)</f>
        <v>4812.89</v>
      </c>
      <c r="E897" s="1">
        <f>IFERROR(__xludf.DUMMYFUNCTION("""COMPUTED_VALUE"""),4972.08)</f>
        <v>4972.08</v>
      </c>
      <c r="F897" s="1">
        <f>IFERROR(__xludf.DUMMYFUNCTION("""COMPUTED_VALUE"""),605203.0)</f>
        <v>605203</v>
      </c>
    </row>
    <row r="898">
      <c r="A898" s="2">
        <f>IFERROR(__xludf.DUMMYFUNCTION("""COMPUTED_VALUE"""),43314.64583333333)</f>
        <v>43314.64583</v>
      </c>
      <c r="B898" s="1">
        <f>IFERROR(__xludf.DUMMYFUNCTION("""COMPUTED_VALUE"""),4934.62)</f>
        <v>4934.62</v>
      </c>
      <c r="C898" s="1">
        <f>IFERROR(__xludf.DUMMYFUNCTION("""COMPUTED_VALUE"""),4981.44)</f>
        <v>4981.44</v>
      </c>
      <c r="D898" s="1">
        <f>IFERROR(__xludf.DUMMYFUNCTION("""COMPUTED_VALUE"""),4812.89)</f>
        <v>4812.89</v>
      </c>
      <c r="E898" s="1">
        <f>IFERROR(__xludf.DUMMYFUNCTION("""COMPUTED_VALUE"""),4859.71)</f>
        <v>4859.71</v>
      </c>
      <c r="F898" s="1">
        <f>IFERROR(__xludf.DUMMYFUNCTION("""COMPUTED_VALUE"""),312870.0)</f>
        <v>312870</v>
      </c>
    </row>
    <row r="899">
      <c r="A899" s="2">
        <f>IFERROR(__xludf.DUMMYFUNCTION("""COMPUTED_VALUE"""),43315.64583333333)</f>
        <v>43315.64583</v>
      </c>
      <c r="B899" s="1">
        <f>IFERROR(__xludf.DUMMYFUNCTION("""COMPUTED_VALUE"""),4840.99)</f>
        <v>4840.99</v>
      </c>
      <c r="C899" s="1">
        <f>IFERROR(__xludf.DUMMYFUNCTION("""COMPUTED_VALUE"""),4934.62)</f>
        <v>4934.62</v>
      </c>
      <c r="D899" s="1">
        <f>IFERROR(__xludf.DUMMYFUNCTION("""COMPUTED_VALUE"""),4784.8)</f>
        <v>4784.8</v>
      </c>
      <c r="E899" s="1">
        <f>IFERROR(__xludf.DUMMYFUNCTION("""COMPUTED_VALUE"""),4869.08)</f>
        <v>4869.08</v>
      </c>
      <c r="F899" s="1">
        <f>IFERROR(__xludf.DUMMYFUNCTION("""COMPUTED_VALUE"""),283955.0)</f>
        <v>283955</v>
      </c>
    </row>
    <row r="900">
      <c r="A900" s="2">
        <f>IFERROR(__xludf.DUMMYFUNCTION("""COMPUTED_VALUE"""),43318.64583333333)</f>
        <v>43318.64583</v>
      </c>
      <c r="B900" s="1">
        <f>IFERROR(__xludf.DUMMYFUNCTION("""COMPUTED_VALUE"""),4878.44)</f>
        <v>4878.44</v>
      </c>
      <c r="C900" s="1">
        <f>IFERROR(__xludf.DUMMYFUNCTION("""COMPUTED_VALUE"""),5000.17)</f>
        <v>5000.17</v>
      </c>
      <c r="D900" s="1">
        <f>IFERROR(__xludf.DUMMYFUNCTION("""COMPUTED_VALUE"""),4840.99)</f>
        <v>4840.99</v>
      </c>
      <c r="E900" s="1">
        <f>IFERROR(__xludf.DUMMYFUNCTION("""COMPUTED_VALUE"""),4840.99)</f>
        <v>4840.99</v>
      </c>
      <c r="F900" s="1">
        <f>IFERROR(__xludf.DUMMYFUNCTION("""COMPUTED_VALUE"""),260453.0)</f>
        <v>260453</v>
      </c>
    </row>
    <row r="901">
      <c r="A901" s="2">
        <f>IFERROR(__xludf.DUMMYFUNCTION("""COMPUTED_VALUE"""),43320.64583333333)</f>
        <v>43320.64583</v>
      </c>
      <c r="B901" s="1">
        <f>IFERROR(__xludf.DUMMYFUNCTION("""COMPUTED_VALUE"""),5243.62)</f>
        <v>5243.62</v>
      </c>
      <c r="C901" s="1">
        <f>IFERROR(__xludf.DUMMYFUNCTION("""COMPUTED_VALUE"""),5243.62)</f>
        <v>5243.62</v>
      </c>
      <c r="D901" s="1">
        <f>IFERROR(__xludf.DUMMYFUNCTION("""COMPUTED_VALUE"""),4972.08)</f>
        <v>4972.08</v>
      </c>
      <c r="E901" s="1">
        <f>IFERROR(__xludf.DUMMYFUNCTION("""COMPUTED_VALUE"""),4972.08)</f>
        <v>4972.08</v>
      </c>
      <c r="F901" s="1">
        <f>IFERROR(__xludf.DUMMYFUNCTION("""COMPUTED_VALUE"""),834331.0)</f>
        <v>834331</v>
      </c>
    </row>
    <row r="902">
      <c r="A902" s="2">
        <f>IFERROR(__xludf.DUMMYFUNCTION("""COMPUTED_VALUE"""),43321.64583333333)</f>
        <v>43321.64583</v>
      </c>
      <c r="B902" s="1">
        <f>IFERROR(__xludf.DUMMYFUNCTION("""COMPUTED_VALUE"""),4943.99)</f>
        <v>4943.99</v>
      </c>
      <c r="C902" s="1">
        <f>IFERROR(__xludf.DUMMYFUNCTION("""COMPUTED_VALUE"""),5056.35)</f>
        <v>5056.35</v>
      </c>
      <c r="D902" s="1">
        <f>IFERROR(__xludf.DUMMYFUNCTION("""COMPUTED_VALUE"""),4869.08)</f>
        <v>4869.08</v>
      </c>
      <c r="E902" s="1">
        <f>IFERROR(__xludf.DUMMYFUNCTION("""COMPUTED_VALUE"""),4990.8)</f>
        <v>4990.8</v>
      </c>
      <c r="F902" s="1">
        <f>IFERROR(__xludf.DUMMYFUNCTION("""COMPUTED_VALUE"""),242818.0)</f>
        <v>242818</v>
      </c>
    </row>
    <row r="903">
      <c r="A903" s="2">
        <f>IFERROR(__xludf.DUMMYFUNCTION("""COMPUTED_VALUE"""),43322.64583333333)</f>
        <v>43322.64583</v>
      </c>
      <c r="B903" s="1">
        <f>IFERROR(__xludf.DUMMYFUNCTION("""COMPUTED_VALUE"""),4943.99)</f>
        <v>4943.99</v>
      </c>
      <c r="C903" s="1">
        <f>IFERROR(__xludf.DUMMYFUNCTION("""COMPUTED_VALUE"""),5524.53)</f>
        <v>5524.53</v>
      </c>
      <c r="D903" s="1">
        <f>IFERROR(__xludf.DUMMYFUNCTION("""COMPUTED_VALUE"""),4925.26)</f>
        <v>4925.26</v>
      </c>
      <c r="E903" s="1">
        <f>IFERROR(__xludf.DUMMYFUNCTION("""COMPUTED_VALUE"""),5149.98)</f>
        <v>5149.98</v>
      </c>
      <c r="F903" s="1">
        <f>IFERROR(__xludf.DUMMYFUNCTION("""COMPUTED_VALUE"""),2481920.0)</f>
        <v>2481920</v>
      </c>
    </row>
    <row r="904">
      <c r="A904" s="2">
        <f>IFERROR(__xludf.DUMMYFUNCTION("""COMPUTED_VALUE"""),43325.64583333333)</f>
        <v>43325.64583</v>
      </c>
      <c r="B904" s="1">
        <f>IFERROR(__xludf.DUMMYFUNCTION("""COMPUTED_VALUE"""),5168.71)</f>
        <v>5168.71</v>
      </c>
      <c r="C904" s="1">
        <f>IFERROR(__xludf.DUMMYFUNCTION("""COMPUTED_VALUE"""),5168.71)</f>
        <v>5168.71</v>
      </c>
      <c r="D904" s="1">
        <f>IFERROR(__xludf.DUMMYFUNCTION("""COMPUTED_VALUE"""),4953.35)</f>
        <v>4953.35</v>
      </c>
      <c r="E904" s="1">
        <f>IFERROR(__xludf.DUMMYFUNCTION("""COMPUTED_VALUE"""),4962.71)</f>
        <v>4962.71</v>
      </c>
      <c r="F904" s="1">
        <f>IFERROR(__xludf.DUMMYFUNCTION("""COMPUTED_VALUE"""),504133.0)</f>
        <v>504133</v>
      </c>
    </row>
    <row r="905">
      <c r="A905" s="2">
        <f>IFERROR(__xludf.DUMMYFUNCTION("""COMPUTED_VALUE"""),43326.64583333333)</f>
        <v>43326.64583</v>
      </c>
      <c r="B905" s="1">
        <f>IFERROR(__xludf.DUMMYFUNCTION("""COMPUTED_VALUE"""),4925.26)</f>
        <v>4925.26</v>
      </c>
      <c r="C905" s="1">
        <f>IFERROR(__xludf.DUMMYFUNCTION("""COMPUTED_VALUE"""),5103.17)</f>
        <v>5103.17</v>
      </c>
      <c r="D905" s="1">
        <f>IFERROR(__xludf.DUMMYFUNCTION("""COMPUTED_VALUE"""),4869.08)</f>
        <v>4869.08</v>
      </c>
      <c r="E905" s="1">
        <f>IFERROR(__xludf.DUMMYFUNCTION("""COMPUTED_VALUE"""),4869.08)</f>
        <v>4869.08</v>
      </c>
      <c r="F905" s="1">
        <f>IFERROR(__xludf.DUMMYFUNCTION("""COMPUTED_VALUE"""),513374.0)</f>
        <v>513374</v>
      </c>
    </row>
    <row r="906">
      <c r="A906" s="2">
        <f>IFERROR(__xludf.DUMMYFUNCTION("""COMPUTED_VALUE"""),43328.64583333333)</f>
        <v>43328.64583</v>
      </c>
      <c r="B906" s="1">
        <f>IFERROR(__xludf.DUMMYFUNCTION("""COMPUTED_VALUE"""),4747.35)</f>
        <v>4747.35</v>
      </c>
      <c r="C906" s="1">
        <f>IFERROR(__xludf.DUMMYFUNCTION("""COMPUTED_VALUE"""),4747.35)</f>
        <v>4747.35</v>
      </c>
      <c r="D906" s="1">
        <f>IFERROR(__xludf.DUMMYFUNCTION("""COMPUTED_VALUE"""),4443.03)</f>
        <v>4443.03</v>
      </c>
      <c r="E906" s="1">
        <f>IFERROR(__xludf.DUMMYFUNCTION("""COMPUTED_VALUE"""),4522.62)</f>
        <v>4522.62</v>
      </c>
      <c r="F906" s="1">
        <f>IFERROR(__xludf.DUMMYFUNCTION("""COMPUTED_VALUE"""),580114.0)</f>
        <v>580114</v>
      </c>
    </row>
    <row r="907">
      <c r="A907" s="2">
        <f>IFERROR(__xludf.DUMMYFUNCTION("""COMPUTED_VALUE"""),43329.64583333333)</f>
        <v>43329.64583</v>
      </c>
      <c r="B907" s="1">
        <f>IFERROR(__xludf.DUMMYFUNCTION("""COMPUTED_VALUE"""),4546.03)</f>
        <v>4546.03</v>
      </c>
      <c r="C907" s="1">
        <f>IFERROR(__xludf.DUMMYFUNCTION("""COMPUTED_VALUE"""),4620.94)</f>
        <v>4620.94</v>
      </c>
      <c r="D907" s="1">
        <f>IFERROR(__xludf.DUMMYFUNCTION("""COMPUTED_VALUE"""),4546.03)</f>
        <v>4546.03</v>
      </c>
      <c r="E907" s="1">
        <f>IFERROR(__xludf.DUMMYFUNCTION("""COMPUTED_VALUE"""),4569.44)</f>
        <v>4569.44</v>
      </c>
      <c r="F907" s="1">
        <f>IFERROR(__xludf.DUMMYFUNCTION("""COMPUTED_VALUE"""),241984.0)</f>
        <v>241984</v>
      </c>
    </row>
    <row r="908">
      <c r="A908" s="2">
        <f>IFERROR(__xludf.DUMMYFUNCTION("""COMPUTED_VALUE"""),43332.64583333333)</f>
        <v>43332.64583</v>
      </c>
      <c r="B908" s="1">
        <f>IFERROR(__xludf.DUMMYFUNCTION("""COMPUTED_VALUE"""),4541.35)</f>
        <v>4541.35</v>
      </c>
      <c r="C908" s="1">
        <f>IFERROR(__xludf.DUMMYFUNCTION("""COMPUTED_VALUE"""),4569.44)</f>
        <v>4569.44</v>
      </c>
      <c r="D908" s="1">
        <f>IFERROR(__xludf.DUMMYFUNCTION("""COMPUTED_VALUE"""),4400.9)</f>
        <v>4400.9</v>
      </c>
      <c r="E908" s="1">
        <f>IFERROR(__xludf.DUMMYFUNCTION("""COMPUTED_VALUE"""),4400.9)</f>
        <v>4400.9</v>
      </c>
      <c r="F908" s="1">
        <f>IFERROR(__xludf.DUMMYFUNCTION("""COMPUTED_VALUE"""),401129.0)</f>
        <v>401129</v>
      </c>
    </row>
    <row r="909">
      <c r="A909" s="2">
        <f>IFERROR(__xludf.DUMMYFUNCTION("""COMPUTED_VALUE"""),43333.64583333333)</f>
        <v>43333.64583</v>
      </c>
      <c r="B909" s="1">
        <f>IFERROR(__xludf.DUMMYFUNCTION("""COMPUTED_VALUE"""),4372.81)</f>
        <v>4372.81</v>
      </c>
      <c r="C909" s="1">
        <f>IFERROR(__xludf.DUMMYFUNCTION("""COMPUTED_VALUE"""),4531.99)</f>
        <v>4531.99</v>
      </c>
      <c r="D909" s="1">
        <f>IFERROR(__xludf.DUMMYFUNCTION("""COMPUTED_VALUE"""),4325.99)</f>
        <v>4325.99</v>
      </c>
      <c r="E909" s="1">
        <f>IFERROR(__xludf.DUMMYFUNCTION("""COMPUTED_VALUE"""),4531.99)</f>
        <v>4531.99</v>
      </c>
      <c r="F909" s="1">
        <f>IFERROR(__xludf.DUMMYFUNCTION("""COMPUTED_VALUE"""),283210.0)</f>
        <v>283210</v>
      </c>
    </row>
    <row r="910">
      <c r="A910" s="2">
        <f>IFERROR(__xludf.DUMMYFUNCTION("""COMPUTED_VALUE"""),43334.64583333333)</f>
        <v>43334.64583</v>
      </c>
      <c r="B910" s="1">
        <f>IFERROR(__xludf.DUMMYFUNCTION("""COMPUTED_VALUE"""),4531.99)</f>
        <v>4531.99</v>
      </c>
      <c r="C910" s="1">
        <f>IFERROR(__xludf.DUMMYFUNCTION("""COMPUTED_VALUE"""),4653.71)</f>
        <v>4653.71</v>
      </c>
      <c r="D910" s="1">
        <f>IFERROR(__xludf.DUMMYFUNCTION("""COMPUTED_VALUE"""),4428.99)</f>
        <v>4428.99</v>
      </c>
      <c r="E910" s="1">
        <f>IFERROR(__xludf.DUMMYFUNCTION("""COMPUTED_VALUE"""),4592.85)</f>
        <v>4592.85</v>
      </c>
      <c r="F910" s="1">
        <f>IFERROR(__xludf.DUMMYFUNCTION("""COMPUTED_VALUE"""),481612.0)</f>
        <v>481612</v>
      </c>
    </row>
    <row r="911">
      <c r="A911" s="2">
        <f>IFERROR(__xludf.DUMMYFUNCTION("""COMPUTED_VALUE"""),43335.64583333333)</f>
        <v>43335.64583</v>
      </c>
      <c r="B911" s="1">
        <f>IFERROR(__xludf.DUMMYFUNCTION("""COMPUTED_VALUE"""),4583.49)</f>
        <v>4583.49</v>
      </c>
      <c r="C911" s="1">
        <f>IFERROR(__xludf.DUMMYFUNCTION("""COMPUTED_VALUE"""),4583.49)</f>
        <v>4583.49</v>
      </c>
      <c r="D911" s="1">
        <f>IFERROR(__xludf.DUMMYFUNCTION("""COMPUTED_VALUE"""),4438.35)</f>
        <v>4438.35</v>
      </c>
      <c r="E911" s="1">
        <f>IFERROR(__xludf.DUMMYFUNCTION("""COMPUTED_VALUE"""),4485.17)</f>
        <v>4485.17</v>
      </c>
      <c r="F911" s="1">
        <f>IFERROR(__xludf.DUMMYFUNCTION("""COMPUTED_VALUE"""),281141.0)</f>
        <v>281141</v>
      </c>
    </row>
    <row r="912">
      <c r="A912" s="2">
        <f>IFERROR(__xludf.DUMMYFUNCTION("""COMPUTED_VALUE"""),43336.64583333333)</f>
        <v>43336.64583</v>
      </c>
      <c r="B912" s="1">
        <f>IFERROR(__xludf.DUMMYFUNCTION("""COMPUTED_VALUE"""),4494.53)</f>
        <v>4494.53</v>
      </c>
      <c r="C912" s="1">
        <f>IFERROR(__xludf.DUMMYFUNCTION("""COMPUTED_VALUE"""),4756.71)</f>
        <v>4756.71</v>
      </c>
      <c r="D912" s="1">
        <f>IFERROR(__xludf.DUMMYFUNCTION("""COMPUTED_VALUE"""),4466.44)</f>
        <v>4466.44</v>
      </c>
      <c r="E912" s="1">
        <f>IFERROR(__xludf.DUMMYFUNCTION("""COMPUTED_VALUE"""),4667.76)</f>
        <v>4667.76</v>
      </c>
      <c r="F912" s="1">
        <f>IFERROR(__xludf.DUMMYFUNCTION("""COMPUTED_VALUE"""),793293.0)</f>
        <v>793293</v>
      </c>
    </row>
    <row r="913">
      <c r="A913" s="2">
        <f>IFERROR(__xludf.DUMMYFUNCTION("""COMPUTED_VALUE"""),43339.64583333333)</f>
        <v>43339.64583</v>
      </c>
      <c r="B913" s="1">
        <f>IFERROR(__xludf.DUMMYFUNCTION("""COMPUTED_VALUE"""),4588.17)</f>
        <v>4588.17</v>
      </c>
      <c r="C913" s="1">
        <f>IFERROR(__xludf.DUMMYFUNCTION("""COMPUTED_VALUE"""),4756.71)</f>
        <v>4756.71</v>
      </c>
      <c r="D913" s="1">
        <f>IFERROR(__xludf.DUMMYFUNCTION("""COMPUTED_VALUE"""),4578.8)</f>
        <v>4578.8</v>
      </c>
      <c r="E913" s="1">
        <f>IFERROR(__xludf.DUMMYFUNCTION("""COMPUTED_VALUE"""),4592.85)</f>
        <v>4592.85</v>
      </c>
      <c r="F913" s="1">
        <f>IFERROR(__xludf.DUMMYFUNCTION("""COMPUTED_VALUE"""),384652.0)</f>
        <v>384652</v>
      </c>
    </row>
    <row r="914">
      <c r="A914" s="2">
        <f>IFERROR(__xludf.DUMMYFUNCTION("""COMPUTED_VALUE"""),43340.64583333333)</f>
        <v>43340.64583</v>
      </c>
      <c r="B914" s="1">
        <f>IFERROR(__xludf.DUMMYFUNCTION("""COMPUTED_VALUE"""),4667.76)</f>
        <v>4667.76</v>
      </c>
      <c r="C914" s="1">
        <f>IFERROR(__xludf.DUMMYFUNCTION("""COMPUTED_VALUE"""),4756.71)</f>
        <v>4756.71</v>
      </c>
      <c r="D914" s="1">
        <f>IFERROR(__xludf.DUMMYFUNCTION("""COMPUTED_VALUE"""),4522.62)</f>
        <v>4522.62</v>
      </c>
      <c r="E914" s="1">
        <f>IFERROR(__xludf.DUMMYFUNCTION("""COMPUTED_VALUE"""),4522.62)</f>
        <v>4522.62</v>
      </c>
      <c r="F914" s="1">
        <f>IFERROR(__xludf.DUMMYFUNCTION("""COMPUTED_VALUE"""),423285.0)</f>
        <v>423285</v>
      </c>
    </row>
    <row r="915">
      <c r="A915" s="2">
        <f>IFERROR(__xludf.DUMMYFUNCTION("""COMPUTED_VALUE"""),43341.64583333333)</f>
        <v>43341.64583</v>
      </c>
      <c r="B915" s="1">
        <f>IFERROR(__xludf.DUMMYFUNCTION("""COMPUTED_VALUE"""),4560.08)</f>
        <v>4560.08</v>
      </c>
      <c r="C915" s="1">
        <f>IFERROR(__xludf.DUMMYFUNCTION("""COMPUTED_VALUE"""),4700.53)</f>
        <v>4700.53</v>
      </c>
      <c r="D915" s="1">
        <f>IFERROR(__xludf.DUMMYFUNCTION("""COMPUTED_VALUE"""),4499.21)</f>
        <v>4499.21</v>
      </c>
      <c r="E915" s="1">
        <f>IFERROR(__xludf.DUMMYFUNCTION("""COMPUTED_VALUE"""),4588.17)</f>
        <v>4588.17</v>
      </c>
      <c r="F915" s="1">
        <f>IFERROR(__xludf.DUMMYFUNCTION("""COMPUTED_VALUE"""),286074.0)</f>
        <v>286074</v>
      </c>
    </row>
    <row r="916">
      <c r="A916" s="2">
        <f>IFERROR(__xludf.DUMMYFUNCTION("""COMPUTED_VALUE"""),43343.64583333333)</f>
        <v>43343.64583</v>
      </c>
      <c r="B916" s="1">
        <f>IFERROR(__xludf.DUMMYFUNCTION("""COMPUTED_VALUE"""),4555.4)</f>
        <v>4555.4</v>
      </c>
      <c r="C916" s="1">
        <f>IFERROR(__xludf.DUMMYFUNCTION("""COMPUTED_VALUE"""),4606.9)</f>
        <v>4606.9</v>
      </c>
      <c r="D916" s="1">
        <f>IFERROR(__xludf.DUMMYFUNCTION("""COMPUTED_VALUE"""),4513.26)</f>
        <v>4513.26</v>
      </c>
      <c r="E916" s="1">
        <f>IFERROR(__xludf.DUMMYFUNCTION("""COMPUTED_VALUE"""),4541.35)</f>
        <v>4541.35</v>
      </c>
      <c r="F916" s="1">
        <f>IFERROR(__xludf.DUMMYFUNCTION("""COMPUTED_VALUE"""),171011.0)</f>
        <v>171011</v>
      </c>
    </row>
    <row r="917">
      <c r="A917" s="2">
        <f>IFERROR(__xludf.DUMMYFUNCTION("""COMPUTED_VALUE"""),43346.64583333333)</f>
        <v>43346.64583</v>
      </c>
      <c r="B917" s="1">
        <f>IFERROR(__xludf.DUMMYFUNCTION("""COMPUTED_VALUE"""),4578.8)</f>
        <v>4578.8</v>
      </c>
      <c r="C917" s="1">
        <f>IFERROR(__xludf.DUMMYFUNCTION("""COMPUTED_VALUE"""),4597.53)</f>
        <v>4597.53</v>
      </c>
      <c r="D917" s="1">
        <f>IFERROR(__xludf.DUMMYFUNCTION("""COMPUTED_VALUE"""),4452.4)</f>
        <v>4452.4</v>
      </c>
      <c r="E917" s="1">
        <f>IFERROR(__xludf.DUMMYFUNCTION("""COMPUTED_VALUE"""),4541.35)</f>
        <v>4541.35</v>
      </c>
      <c r="F917" s="1">
        <f>IFERROR(__xludf.DUMMYFUNCTION("""COMPUTED_VALUE"""),238389.0)</f>
        <v>238389</v>
      </c>
    </row>
    <row r="918">
      <c r="A918" s="2">
        <f>IFERROR(__xludf.DUMMYFUNCTION("""COMPUTED_VALUE"""),43347.64583333333)</f>
        <v>43347.64583</v>
      </c>
      <c r="B918" s="1">
        <f>IFERROR(__xludf.DUMMYFUNCTION("""COMPUTED_VALUE"""),4517.94)</f>
        <v>4517.94</v>
      </c>
      <c r="C918" s="1">
        <f>IFERROR(__xludf.DUMMYFUNCTION("""COMPUTED_VALUE"""),4597.53)</f>
        <v>4597.53</v>
      </c>
      <c r="D918" s="1">
        <f>IFERROR(__xludf.DUMMYFUNCTION("""COMPUTED_VALUE"""),4513.26)</f>
        <v>4513.26</v>
      </c>
      <c r="E918" s="1">
        <f>IFERROR(__xludf.DUMMYFUNCTION("""COMPUTED_VALUE"""),4578.8)</f>
        <v>4578.8</v>
      </c>
      <c r="F918" s="1">
        <f>IFERROR(__xludf.DUMMYFUNCTION("""COMPUTED_VALUE"""),201173.0)</f>
        <v>201173</v>
      </c>
    </row>
    <row r="919">
      <c r="A919" s="2">
        <f>IFERROR(__xludf.DUMMYFUNCTION("""COMPUTED_VALUE"""),43348.64583333333)</f>
        <v>43348.64583</v>
      </c>
      <c r="B919" s="1">
        <f>IFERROR(__xludf.DUMMYFUNCTION("""COMPUTED_VALUE"""),4583.49)</f>
        <v>4583.49</v>
      </c>
      <c r="C919" s="1">
        <f>IFERROR(__xludf.DUMMYFUNCTION("""COMPUTED_VALUE"""),4616.26)</f>
        <v>4616.26</v>
      </c>
      <c r="D919" s="1">
        <f>IFERROR(__xludf.DUMMYFUNCTION("""COMPUTED_VALUE"""),4499.21)</f>
        <v>4499.21</v>
      </c>
      <c r="E919" s="1">
        <f>IFERROR(__xludf.DUMMYFUNCTION("""COMPUTED_VALUE"""),4522.62)</f>
        <v>4522.62</v>
      </c>
      <c r="F919" s="1">
        <f>IFERROR(__xludf.DUMMYFUNCTION("""COMPUTED_VALUE"""),212931.0)</f>
        <v>212931</v>
      </c>
    </row>
    <row r="920">
      <c r="A920" s="2">
        <f>IFERROR(__xludf.DUMMYFUNCTION("""COMPUTED_VALUE"""),43349.64583333333)</f>
        <v>43349.64583</v>
      </c>
      <c r="B920" s="1">
        <f>IFERROR(__xludf.DUMMYFUNCTION("""COMPUTED_VALUE"""),4522.62)</f>
        <v>4522.62</v>
      </c>
      <c r="C920" s="1">
        <f>IFERROR(__xludf.DUMMYFUNCTION("""COMPUTED_VALUE"""),4560.08)</f>
        <v>4560.08</v>
      </c>
      <c r="D920" s="1">
        <f>IFERROR(__xludf.DUMMYFUNCTION("""COMPUTED_VALUE"""),4410.26)</f>
        <v>4410.26</v>
      </c>
      <c r="E920" s="1">
        <f>IFERROR(__xludf.DUMMYFUNCTION("""COMPUTED_VALUE"""),4452.4)</f>
        <v>4452.4</v>
      </c>
      <c r="F920" s="1">
        <f>IFERROR(__xludf.DUMMYFUNCTION("""COMPUTED_VALUE"""),268219.0)</f>
        <v>268219</v>
      </c>
    </row>
    <row r="921">
      <c r="A921" s="2">
        <f>IFERROR(__xludf.DUMMYFUNCTION("""COMPUTED_VALUE"""),43350.64583333333)</f>
        <v>43350.64583</v>
      </c>
      <c r="B921" s="1">
        <f>IFERROR(__xludf.DUMMYFUNCTION("""COMPUTED_VALUE"""),4447.71)</f>
        <v>4447.71</v>
      </c>
      <c r="C921" s="1">
        <f>IFERROR(__xludf.DUMMYFUNCTION("""COMPUTED_VALUE"""),4466.44)</f>
        <v>4466.44</v>
      </c>
      <c r="D921" s="1">
        <f>IFERROR(__xludf.DUMMYFUNCTION("""COMPUTED_VALUE"""),4297.9)</f>
        <v>4297.9</v>
      </c>
      <c r="E921" s="1">
        <f>IFERROR(__xludf.DUMMYFUNCTION("""COMPUTED_VALUE"""),4344.71)</f>
        <v>4344.71</v>
      </c>
      <c r="F921" s="1">
        <f>IFERROR(__xludf.DUMMYFUNCTION("""COMPUTED_VALUE"""),235263.0)</f>
        <v>235263</v>
      </c>
    </row>
    <row r="922">
      <c r="A922" s="2">
        <f>IFERROR(__xludf.DUMMYFUNCTION("""COMPUTED_VALUE"""),43353.64583333333)</f>
        <v>43353.64583</v>
      </c>
      <c r="B922" s="1">
        <f>IFERROR(__xludf.DUMMYFUNCTION("""COMPUTED_VALUE"""),4340.03)</f>
        <v>4340.03</v>
      </c>
      <c r="C922" s="1">
        <f>IFERROR(__xludf.DUMMYFUNCTION("""COMPUTED_VALUE"""),4494.53)</f>
        <v>4494.53</v>
      </c>
      <c r="D922" s="1">
        <f>IFERROR(__xludf.DUMMYFUNCTION("""COMPUTED_VALUE"""),4279.17)</f>
        <v>4279.17</v>
      </c>
      <c r="E922" s="1">
        <f>IFERROR(__xludf.DUMMYFUNCTION("""COMPUTED_VALUE"""),4391.53)</f>
        <v>4391.53</v>
      </c>
      <c r="F922" s="1">
        <f>IFERROR(__xludf.DUMMYFUNCTION("""COMPUTED_VALUE"""),391500.0)</f>
        <v>391500</v>
      </c>
    </row>
    <row r="923">
      <c r="A923" s="2">
        <f>IFERROR(__xludf.DUMMYFUNCTION("""COMPUTED_VALUE"""),43354.64583333333)</f>
        <v>43354.64583</v>
      </c>
      <c r="B923" s="1">
        <f>IFERROR(__xludf.DUMMYFUNCTION("""COMPUTED_VALUE"""),4386.85)</f>
        <v>4386.85</v>
      </c>
      <c r="C923" s="1">
        <f>IFERROR(__xludf.DUMMYFUNCTION("""COMPUTED_VALUE"""),4461.76)</f>
        <v>4461.76</v>
      </c>
      <c r="D923" s="1">
        <f>IFERROR(__xludf.DUMMYFUNCTION("""COMPUTED_VALUE"""),4372.81)</f>
        <v>4372.81</v>
      </c>
      <c r="E923" s="1">
        <f>IFERROR(__xludf.DUMMYFUNCTION("""COMPUTED_VALUE"""),4438.35)</f>
        <v>4438.35</v>
      </c>
      <c r="F923" s="1">
        <f>IFERROR(__xludf.DUMMYFUNCTION("""COMPUTED_VALUE"""),133144.0)</f>
        <v>133144</v>
      </c>
    </row>
    <row r="924">
      <c r="A924" s="2">
        <f>IFERROR(__xludf.DUMMYFUNCTION("""COMPUTED_VALUE"""),43355.64583333333)</f>
        <v>43355.64583</v>
      </c>
      <c r="B924" s="1">
        <f>IFERROR(__xludf.DUMMYFUNCTION("""COMPUTED_VALUE"""),4424.31)</f>
        <v>4424.31</v>
      </c>
      <c r="C924" s="1">
        <f>IFERROR(__xludf.DUMMYFUNCTION("""COMPUTED_VALUE"""),4466.44)</f>
        <v>4466.44</v>
      </c>
      <c r="D924" s="1">
        <f>IFERROR(__xludf.DUMMYFUNCTION("""COMPUTED_VALUE"""),4368.12)</f>
        <v>4368.12</v>
      </c>
      <c r="E924" s="1">
        <f>IFERROR(__xludf.DUMMYFUNCTION("""COMPUTED_VALUE"""),4391.53)</f>
        <v>4391.53</v>
      </c>
      <c r="F924" s="1">
        <f>IFERROR(__xludf.DUMMYFUNCTION("""COMPUTED_VALUE"""),154344.0)</f>
        <v>154344</v>
      </c>
    </row>
    <row r="925">
      <c r="A925" s="2">
        <f>IFERROR(__xludf.DUMMYFUNCTION("""COMPUTED_VALUE"""),43356.64583333333)</f>
        <v>43356.64583</v>
      </c>
      <c r="B925" s="1">
        <f>IFERROR(__xludf.DUMMYFUNCTION("""COMPUTED_VALUE"""),4386.85)</f>
        <v>4386.85</v>
      </c>
      <c r="C925" s="1">
        <f>IFERROR(__xludf.DUMMYFUNCTION("""COMPUTED_VALUE"""),4428.99)</f>
        <v>4428.99</v>
      </c>
      <c r="D925" s="1">
        <f>IFERROR(__xludf.DUMMYFUNCTION("""COMPUTED_VALUE"""),4344.71)</f>
        <v>4344.71</v>
      </c>
      <c r="E925" s="1">
        <f>IFERROR(__xludf.DUMMYFUNCTION("""COMPUTED_VALUE"""),4410.26)</f>
        <v>4410.26</v>
      </c>
      <c r="F925" s="1">
        <f>IFERROR(__xludf.DUMMYFUNCTION("""COMPUTED_VALUE"""),125847.0)</f>
        <v>125847</v>
      </c>
    </row>
    <row r="926">
      <c r="A926" s="2">
        <f>IFERROR(__xludf.DUMMYFUNCTION("""COMPUTED_VALUE"""),43357.64583333333)</f>
        <v>43357.64583</v>
      </c>
      <c r="B926" s="1">
        <f>IFERROR(__xludf.DUMMYFUNCTION("""COMPUTED_VALUE"""),4438.35)</f>
        <v>4438.35</v>
      </c>
      <c r="C926" s="1">
        <f>IFERROR(__xludf.DUMMYFUNCTION("""COMPUTED_VALUE"""),4452.4)</f>
        <v>4452.4</v>
      </c>
      <c r="D926" s="1">
        <f>IFERROR(__xludf.DUMMYFUNCTION("""COMPUTED_VALUE"""),4358.76)</f>
        <v>4358.76</v>
      </c>
      <c r="E926" s="1">
        <f>IFERROR(__xludf.DUMMYFUNCTION("""COMPUTED_VALUE"""),4368.12)</f>
        <v>4368.12</v>
      </c>
      <c r="F926" s="1">
        <f>IFERROR(__xludf.DUMMYFUNCTION("""COMPUTED_VALUE"""),200113.0)</f>
        <v>200113</v>
      </c>
    </row>
    <row r="927">
      <c r="A927" s="2">
        <f>IFERROR(__xludf.DUMMYFUNCTION("""COMPUTED_VALUE"""),43360.64583333333)</f>
        <v>43360.64583</v>
      </c>
      <c r="B927" s="1">
        <f>IFERROR(__xludf.DUMMYFUNCTION("""COMPUTED_VALUE"""),4368.12)</f>
        <v>4368.12</v>
      </c>
      <c r="C927" s="1">
        <f>IFERROR(__xludf.DUMMYFUNCTION("""COMPUTED_VALUE"""),4368.12)</f>
        <v>4368.12</v>
      </c>
      <c r="D927" s="1">
        <f>IFERROR(__xludf.DUMMYFUNCTION("""COMPUTED_VALUE"""),4293.21)</f>
        <v>4293.21</v>
      </c>
      <c r="E927" s="1">
        <f>IFERROR(__xludf.DUMMYFUNCTION("""COMPUTED_VALUE"""),4293.21)</f>
        <v>4293.21</v>
      </c>
      <c r="F927" s="1">
        <f>IFERROR(__xludf.DUMMYFUNCTION("""COMPUTED_VALUE"""),147502.0)</f>
        <v>147502</v>
      </c>
    </row>
    <row r="928">
      <c r="A928" s="2">
        <f>IFERROR(__xludf.DUMMYFUNCTION("""COMPUTED_VALUE"""),43361.64583333333)</f>
        <v>43361.64583</v>
      </c>
      <c r="B928" s="1">
        <f>IFERROR(__xludf.DUMMYFUNCTION("""COMPUTED_VALUE"""),4293.21)</f>
        <v>4293.21</v>
      </c>
      <c r="C928" s="1">
        <f>IFERROR(__xludf.DUMMYFUNCTION("""COMPUTED_VALUE"""),4293.21)</f>
        <v>4293.21</v>
      </c>
      <c r="D928" s="1">
        <f>IFERROR(__xludf.DUMMYFUNCTION("""COMPUTED_VALUE"""),4213.62)</f>
        <v>4213.62</v>
      </c>
      <c r="E928" s="1">
        <f>IFERROR(__xludf.DUMMYFUNCTION("""COMPUTED_VALUE"""),4222.99)</f>
        <v>4222.99</v>
      </c>
      <c r="F928" s="1">
        <f>IFERROR(__xludf.DUMMYFUNCTION("""COMPUTED_VALUE"""),231359.0)</f>
        <v>231359</v>
      </c>
    </row>
    <row r="929">
      <c r="A929" s="2">
        <f>IFERROR(__xludf.DUMMYFUNCTION("""COMPUTED_VALUE"""),43362.64583333333)</f>
        <v>43362.64583</v>
      </c>
      <c r="B929" s="1">
        <f>IFERROR(__xludf.DUMMYFUNCTION("""COMPUTED_VALUE"""),4237.03)</f>
        <v>4237.03</v>
      </c>
      <c r="C929" s="1">
        <f>IFERROR(__xludf.DUMMYFUNCTION("""COMPUTED_VALUE"""),4265.12)</f>
        <v>4265.12</v>
      </c>
      <c r="D929" s="1">
        <f>IFERROR(__xludf.DUMMYFUNCTION("""COMPUTED_VALUE"""),4194.9)</f>
        <v>4194.9</v>
      </c>
      <c r="E929" s="1">
        <f>IFERROR(__xludf.DUMMYFUNCTION("""COMPUTED_VALUE"""),4199.58)</f>
        <v>4199.58</v>
      </c>
      <c r="F929" s="1">
        <f>IFERROR(__xludf.DUMMYFUNCTION("""COMPUTED_VALUE"""),179280.0)</f>
        <v>179280</v>
      </c>
    </row>
    <row r="930">
      <c r="A930" s="2">
        <f>IFERROR(__xludf.DUMMYFUNCTION("""COMPUTED_VALUE"""),43363.64583333333)</f>
        <v>43363.64583</v>
      </c>
      <c r="B930" s="1">
        <f>IFERROR(__xludf.DUMMYFUNCTION("""COMPUTED_VALUE"""),4157.44)</f>
        <v>4157.44</v>
      </c>
      <c r="C930" s="1">
        <f>IFERROR(__xludf.DUMMYFUNCTION("""COMPUTED_VALUE"""),4237.03)</f>
        <v>4237.03</v>
      </c>
      <c r="D930" s="1">
        <f>IFERROR(__xludf.DUMMYFUNCTION("""COMPUTED_VALUE"""),4082.53)</f>
        <v>4082.53</v>
      </c>
      <c r="E930" s="1">
        <f>IFERROR(__xludf.DUMMYFUNCTION("""COMPUTED_VALUE"""),4087.22)</f>
        <v>4087.22</v>
      </c>
      <c r="F930" s="1">
        <f>IFERROR(__xludf.DUMMYFUNCTION("""COMPUTED_VALUE"""),263310.0)</f>
        <v>263310</v>
      </c>
    </row>
    <row r="931">
      <c r="A931" s="2">
        <f>IFERROR(__xludf.DUMMYFUNCTION("""COMPUTED_VALUE"""),43364.64583333333)</f>
        <v>43364.64583</v>
      </c>
      <c r="B931" s="1">
        <f>IFERROR(__xludf.DUMMYFUNCTION("""COMPUTED_VALUE"""),4143.4)</f>
        <v>4143.4</v>
      </c>
      <c r="C931" s="1">
        <f>IFERROR(__xludf.DUMMYFUNCTION("""COMPUTED_VALUE"""),4143.4)</f>
        <v>4143.4</v>
      </c>
      <c r="D931" s="1">
        <f>IFERROR(__xludf.DUMMYFUNCTION("""COMPUTED_VALUE"""),4082.53)</f>
        <v>4082.53</v>
      </c>
      <c r="E931" s="1">
        <f>IFERROR(__xludf.DUMMYFUNCTION("""COMPUTED_VALUE"""),4082.53)</f>
        <v>4082.53</v>
      </c>
      <c r="F931" s="1">
        <f>IFERROR(__xludf.DUMMYFUNCTION("""COMPUTED_VALUE"""),106300.0)</f>
        <v>106300</v>
      </c>
    </row>
    <row r="932">
      <c r="A932" s="2">
        <f>IFERROR(__xludf.DUMMYFUNCTION("""COMPUTED_VALUE"""),43370.64583333333)</f>
        <v>43370.64583</v>
      </c>
      <c r="B932" s="1">
        <f>IFERROR(__xludf.DUMMYFUNCTION("""COMPUTED_VALUE"""),4087.22)</f>
        <v>4087.22</v>
      </c>
      <c r="C932" s="1">
        <f>IFERROR(__xludf.DUMMYFUNCTION("""COMPUTED_VALUE"""),4124.67)</f>
        <v>4124.67</v>
      </c>
      <c r="D932" s="1">
        <f>IFERROR(__xludf.DUMMYFUNCTION("""COMPUTED_VALUE"""),4031.03)</f>
        <v>4031.03</v>
      </c>
      <c r="E932" s="1">
        <f>IFERROR(__xludf.DUMMYFUNCTION("""COMPUTED_VALUE"""),4096.58)</f>
        <v>4096.58</v>
      </c>
      <c r="F932" s="1">
        <f>IFERROR(__xludf.DUMMYFUNCTION("""COMPUTED_VALUE"""),164868.0)</f>
        <v>164868</v>
      </c>
    </row>
    <row r="933">
      <c r="A933" s="2">
        <f>IFERROR(__xludf.DUMMYFUNCTION("""COMPUTED_VALUE"""),43371.64583333333)</f>
        <v>43371.64583</v>
      </c>
      <c r="B933" s="1">
        <f>IFERROR(__xludf.DUMMYFUNCTION("""COMPUTED_VALUE"""),4049.76)</f>
        <v>4049.76</v>
      </c>
      <c r="C933" s="1">
        <f>IFERROR(__xludf.DUMMYFUNCTION("""COMPUTED_VALUE"""),4115.31)</f>
        <v>4115.31</v>
      </c>
      <c r="D933" s="1">
        <f>IFERROR(__xludf.DUMMYFUNCTION("""COMPUTED_VALUE"""),3979.53)</f>
        <v>3979.53</v>
      </c>
      <c r="E933" s="1">
        <f>IFERROR(__xludf.DUMMYFUNCTION("""COMPUTED_VALUE"""),3984.22)</f>
        <v>3984.22</v>
      </c>
      <c r="F933" s="1">
        <f>IFERROR(__xludf.DUMMYFUNCTION("""COMPUTED_VALUE"""),201842.0)</f>
        <v>201842</v>
      </c>
    </row>
    <row r="934">
      <c r="A934" s="2">
        <f>IFERROR(__xludf.DUMMYFUNCTION("""COMPUTED_VALUE"""),43374.64583333333)</f>
        <v>43374.64583</v>
      </c>
      <c r="B934" s="1">
        <f>IFERROR(__xludf.DUMMYFUNCTION("""COMPUTED_VALUE"""),3974.85)</f>
        <v>3974.85</v>
      </c>
      <c r="C934" s="1">
        <f>IFERROR(__xludf.DUMMYFUNCTION("""COMPUTED_VALUE"""),4016.99)</f>
        <v>4016.99</v>
      </c>
      <c r="D934" s="1">
        <f>IFERROR(__xludf.DUMMYFUNCTION("""COMPUTED_VALUE"""),3932.72)</f>
        <v>3932.72</v>
      </c>
      <c r="E934" s="1">
        <f>IFERROR(__xludf.DUMMYFUNCTION("""COMPUTED_VALUE"""),3942.08)</f>
        <v>3942.08</v>
      </c>
      <c r="F934" s="1">
        <f>IFERROR(__xludf.DUMMYFUNCTION("""COMPUTED_VALUE"""),103178.0)</f>
        <v>103178</v>
      </c>
    </row>
    <row r="935">
      <c r="A935" s="2">
        <f>IFERROR(__xludf.DUMMYFUNCTION("""COMPUTED_VALUE"""),43375.64583333333)</f>
        <v>43375.64583</v>
      </c>
      <c r="B935" s="1">
        <f>IFERROR(__xludf.DUMMYFUNCTION("""COMPUTED_VALUE"""),3942.08)</f>
        <v>3942.08</v>
      </c>
      <c r="C935" s="1">
        <f>IFERROR(__xludf.DUMMYFUNCTION("""COMPUTED_VALUE"""),3979.53)</f>
        <v>3979.53</v>
      </c>
      <c r="D935" s="1">
        <f>IFERROR(__xludf.DUMMYFUNCTION("""COMPUTED_VALUE"""),3853.12)</f>
        <v>3853.12</v>
      </c>
      <c r="E935" s="1">
        <f>IFERROR(__xludf.DUMMYFUNCTION("""COMPUTED_VALUE"""),3857.81)</f>
        <v>3857.81</v>
      </c>
      <c r="F935" s="1">
        <f>IFERROR(__xludf.DUMMYFUNCTION("""COMPUTED_VALUE"""),111900.0)</f>
        <v>111900</v>
      </c>
    </row>
    <row r="936">
      <c r="A936" s="2">
        <f>IFERROR(__xludf.DUMMYFUNCTION("""COMPUTED_VALUE"""),43377.64583333333)</f>
        <v>43377.64583</v>
      </c>
      <c r="B936" s="1">
        <f>IFERROR(__xludf.DUMMYFUNCTION("""COMPUTED_VALUE"""),3857.81)</f>
        <v>3857.81</v>
      </c>
      <c r="C936" s="1">
        <f>IFERROR(__xludf.DUMMYFUNCTION("""COMPUTED_VALUE"""),3932.72)</f>
        <v>3932.72</v>
      </c>
      <c r="D936" s="1">
        <f>IFERROR(__xludf.DUMMYFUNCTION("""COMPUTED_VALUE"""),3848.44)</f>
        <v>3848.44</v>
      </c>
      <c r="E936" s="1">
        <f>IFERROR(__xludf.DUMMYFUNCTION("""COMPUTED_VALUE"""),3848.44)</f>
        <v>3848.44</v>
      </c>
      <c r="F936" s="1">
        <f>IFERROR(__xludf.DUMMYFUNCTION("""COMPUTED_VALUE"""),119571.0)</f>
        <v>119571</v>
      </c>
    </row>
    <row r="937">
      <c r="A937" s="2">
        <f>IFERROR(__xludf.DUMMYFUNCTION("""COMPUTED_VALUE"""),43378.64583333333)</f>
        <v>43378.64583</v>
      </c>
      <c r="B937" s="1">
        <f>IFERROR(__xludf.DUMMYFUNCTION("""COMPUTED_VALUE"""),3750.13)</f>
        <v>3750.13</v>
      </c>
      <c r="C937" s="1">
        <f>IFERROR(__xludf.DUMMYFUNCTION("""COMPUTED_VALUE"""),3792.26)</f>
        <v>3792.26</v>
      </c>
      <c r="D937" s="1">
        <f>IFERROR(__xludf.DUMMYFUNCTION("""COMPUTED_VALUE"""),3600.31)</f>
        <v>3600.31</v>
      </c>
      <c r="E937" s="1">
        <f>IFERROR(__xludf.DUMMYFUNCTION("""COMPUTED_VALUE"""),3623.72)</f>
        <v>3623.72</v>
      </c>
      <c r="F937" s="1">
        <f>IFERROR(__xludf.DUMMYFUNCTION("""COMPUTED_VALUE"""),241906.0)</f>
        <v>241906</v>
      </c>
    </row>
    <row r="938">
      <c r="A938" s="2">
        <f>IFERROR(__xludf.DUMMYFUNCTION("""COMPUTED_VALUE"""),43381.64583333333)</f>
        <v>43381.64583</v>
      </c>
      <c r="B938" s="1">
        <f>IFERROR(__xludf.DUMMYFUNCTION("""COMPUTED_VALUE"""),3600.31)</f>
        <v>3600.31</v>
      </c>
      <c r="C938" s="1">
        <f>IFERROR(__xludf.DUMMYFUNCTION("""COMPUTED_VALUE"""),3717.35)</f>
        <v>3717.35</v>
      </c>
      <c r="D938" s="1">
        <f>IFERROR(__xludf.DUMMYFUNCTION("""COMPUTED_VALUE"""),3600.31)</f>
        <v>3600.31</v>
      </c>
      <c r="E938" s="1">
        <f>IFERROR(__xludf.DUMMYFUNCTION("""COMPUTED_VALUE"""),3614.35)</f>
        <v>3614.35</v>
      </c>
      <c r="F938" s="1">
        <f>IFERROR(__xludf.DUMMYFUNCTION("""COMPUTED_VALUE"""),97070.0)</f>
        <v>97070</v>
      </c>
    </row>
    <row r="939">
      <c r="A939" s="2">
        <f>IFERROR(__xludf.DUMMYFUNCTION("""COMPUTED_VALUE"""),43383.64583333333)</f>
        <v>43383.64583</v>
      </c>
      <c r="B939" s="1">
        <f>IFERROR(__xludf.DUMMYFUNCTION("""COMPUTED_VALUE"""),3553.49)</f>
        <v>3553.49</v>
      </c>
      <c r="C939" s="1">
        <f>IFERROR(__xludf.DUMMYFUNCTION("""COMPUTED_VALUE"""),3614.35)</f>
        <v>3614.35</v>
      </c>
      <c r="D939" s="1">
        <f>IFERROR(__xludf.DUMMYFUNCTION("""COMPUTED_VALUE"""),3352.17)</f>
        <v>3352.17</v>
      </c>
      <c r="E939" s="1">
        <f>IFERROR(__xludf.DUMMYFUNCTION("""COMPUTED_VALUE"""),3356.85)</f>
        <v>3356.85</v>
      </c>
      <c r="F939" s="1">
        <f>IFERROR(__xludf.DUMMYFUNCTION("""COMPUTED_VALUE"""),232534.0)</f>
        <v>232534</v>
      </c>
    </row>
    <row r="940">
      <c r="A940" s="2">
        <f>IFERROR(__xludf.DUMMYFUNCTION("""COMPUTED_VALUE"""),43384.64583333333)</f>
        <v>43384.64583</v>
      </c>
      <c r="B940" s="1">
        <f>IFERROR(__xludf.DUMMYFUNCTION("""COMPUTED_VALUE"""),3122.76)</f>
        <v>3122.76</v>
      </c>
      <c r="C940" s="1">
        <f>IFERROR(__xludf.DUMMYFUNCTION("""COMPUTED_VALUE"""),3319.4)</f>
        <v>3319.4</v>
      </c>
      <c r="D940" s="1">
        <f>IFERROR(__xludf.DUMMYFUNCTION("""COMPUTED_VALUE"""),3122.76)</f>
        <v>3122.76</v>
      </c>
      <c r="E940" s="1">
        <f>IFERROR(__xludf.DUMMYFUNCTION("""COMPUTED_VALUE"""),3136.81)</f>
        <v>3136.81</v>
      </c>
      <c r="F940" s="1">
        <f>IFERROR(__xludf.DUMMYFUNCTION("""COMPUTED_VALUE"""),281207.0)</f>
        <v>281207</v>
      </c>
    </row>
    <row r="941">
      <c r="A941" s="2">
        <f>IFERROR(__xludf.DUMMYFUNCTION("""COMPUTED_VALUE"""),43385.64583333333)</f>
        <v>43385.64583</v>
      </c>
      <c r="B941" s="1">
        <f>IFERROR(__xludf.DUMMYFUNCTION("""COMPUTED_VALUE"""),3052.54)</f>
        <v>3052.54</v>
      </c>
      <c r="C941" s="1">
        <f>IFERROR(__xludf.DUMMYFUNCTION("""COMPUTED_VALUE"""),3286.63)</f>
        <v>3286.63</v>
      </c>
      <c r="D941" s="1">
        <f>IFERROR(__xludf.DUMMYFUNCTION("""COMPUTED_VALUE"""),3052.54)</f>
        <v>3052.54</v>
      </c>
      <c r="E941" s="1">
        <f>IFERROR(__xludf.DUMMYFUNCTION("""COMPUTED_VALUE"""),3249.17)</f>
        <v>3249.17</v>
      </c>
      <c r="F941" s="1">
        <f>IFERROR(__xludf.DUMMYFUNCTION("""COMPUTED_VALUE"""),210921.0)</f>
        <v>210921</v>
      </c>
    </row>
    <row r="942">
      <c r="A942" s="2">
        <f>IFERROR(__xludf.DUMMYFUNCTION("""COMPUTED_VALUE"""),43388.64583333333)</f>
        <v>43388.64583</v>
      </c>
      <c r="B942" s="1">
        <f>IFERROR(__xludf.DUMMYFUNCTION("""COMPUTED_VALUE"""),3221.08)</f>
        <v>3221.08</v>
      </c>
      <c r="C942" s="1">
        <f>IFERROR(__xludf.DUMMYFUNCTION("""COMPUTED_VALUE"""),3338.13)</f>
        <v>3338.13</v>
      </c>
      <c r="D942" s="1">
        <f>IFERROR(__xludf.DUMMYFUNCTION("""COMPUTED_VALUE"""),3221.08)</f>
        <v>3221.08</v>
      </c>
      <c r="E942" s="1">
        <f>IFERROR(__xludf.DUMMYFUNCTION("""COMPUTED_VALUE"""),3281.94)</f>
        <v>3281.94</v>
      </c>
      <c r="F942" s="1">
        <f>IFERROR(__xludf.DUMMYFUNCTION("""COMPUTED_VALUE"""),108128.0)</f>
        <v>108128</v>
      </c>
    </row>
    <row r="943">
      <c r="A943" s="2">
        <f>IFERROR(__xludf.DUMMYFUNCTION("""COMPUTED_VALUE"""),43389.64583333333)</f>
        <v>43389.64583</v>
      </c>
      <c r="B943" s="1">
        <f>IFERROR(__xludf.DUMMYFUNCTION("""COMPUTED_VALUE"""),3403.67)</f>
        <v>3403.67</v>
      </c>
      <c r="C943" s="1">
        <f>IFERROR(__xludf.DUMMYFUNCTION("""COMPUTED_VALUE"""),3881.22)</f>
        <v>3881.22</v>
      </c>
      <c r="D943" s="1">
        <f>IFERROR(__xludf.DUMMYFUNCTION("""COMPUTED_VALUE"""),3347.49)</f>
        <v>3347.49</v>
      </c>
      <c r="E943" s="1">
        <f>IFERROR(__xludf.DUMMYFUNCTION("""COMPUTED_VALUE"""),3370.9)</f>
        <v>3370.9</v>
      </c>
      <c r="F943" s="1">
        <f>IFERROR(__xludf.DUMMYFUNCTION("""COMPUTED_VALUE"""),1951249.0)</f>
        <v>1951249</v>
      </c>
    </row>
    <row r="944">
      <c r="A944" s="2">
        <f>IFERROR(__xludf.DUMMYFUNCTION("""COMPUTED_VALUE"""),43390.64583333333)</f>
        <v>43390.64583</v>
      </c>
      <c r="B944" s="1">
        <f>IFERROR(__xludf.DUMMYFUNCTION("""COMPUTED_VALUE"""),3394.31)</f>
        <v>3394.31</v>
      </c>
      <c r="C944" s="1">
        <f>IFERROR(__xludf.DUMMYFUNCTION("""COMPUTED_VALUE"""),3422.4)</f>
        <v>3422.4</v>
      </c>
      <c r="D944" s="1">
        <f>IFERROR(__xludf.DUMMYFUNCTION("""COMPUTED_VALUE"""),3328.76)</f>
        <v>3328.76</v>
      </c>
      <c r="E944" s="1">
        <f>IFERROR(__xludf.DUMMYFUNCTION("""COMPUTED_VALUE"""),3361.54)</f>
        <v>3361.54</v>
      </c>
      <c r="F944" s="1">
        <f>IFERROR(__xludf.DUMMYFUNCTION("""COMPUTED_VALUE"""),252942.0)</f>
        <v>252942</v>
      </c>
    </row>
    <row r="945">
      <c r="A945" s="2">
        <f>IFERROR(__xludf.DUMMYFUNCTION("""COMPUTED_VALUE"""),43391.64583333333)</f>
        <v>43391.64583</v>
      </c>
      <c r="B945" s="1">
        <f>IFERROR(__xludf.DUMMYFUNCTION("""COMPUTED_VALUE"""),3370.9)</f>
        <v>3370.9</v>
      </c>
      <c r="C945" s="1">
        <f>IFERROR(__xludf.DUMMYFUNCTION("""COMPUTED_VALUE"""),3520.72)</f>
        <v>3520.72</v>
      </c>
      <c r="D945" s="1">
        <f>IFERROR(__xludf.DUMMYFUNCTION("""COMPUTED_VALUE"""),3356.85)</f>
        <v>3356.85</v>
      </c>
      <c r="E945" s="1">
        <f>IFERROR(__xludf.DUMMYFUNCTION("""COMPUTED_VALUE"""),3422.4)</f>
        <v>3422.4</v>
      </c>
      <c r="F945" s="1">
        <f>IFERROR(__xludf.DUMMYFUNCTION("""COMPUTED_VALUE"""),279565.0)</f>
        <v>279565</v>
      </c>
    </row>
    <row r="946">
      <c r="A946" s="2">
        <f>IFERROR(__xludf.DUMMYFUNCTION("""COMPUTED_VALUE"""),43392.64583333333)</f>
        <v>43392.64583</v>
      </c>
      <c r="B946" s="1">
        <f>IFERROR(__xludf.DUMMYFUNCTION("""COMPUTED_VALUE"""),3370.9)</f>
        <v>3370.9</v>
      </c>
      <c r="C946" s="1">
        <f>IFERROR(__xludf.DUMMYFUNCTION("""COMPUTED_VALUE"""),3408.35)</f>
        <v>3408.35</v>
      </c>
      <c r="D946" s="1">
        <f>IFERROR(__xludf.DUMMYFUNCTION("""COMPUTED_VALUE"""),3150.85)</f>
        <v>3150.85</v>
      </c>
      <c r="E946" s="1">
        <f>IFERROR(__xludf.DUMMYFUNCTION("""COMPUTED_VALUE"""),3305.35)</f>
        <v>3305.35</v>
      </c>
      <c r="F946" s="1">
        <f>IFERROR(__xludf.DUMMYFUNCTION("""COMPUTED_VALUE"""),178798.0)</f>
        <v>178798</v>
      </c>
    </row>
    <row r="947">
      <c r="A947" s="2">
        <f>IFERROR(__xludf.DUMMYFUNCTION("""COMPUTED_VALUE"""),43395.64583333333)</f>
        <v>43395.64583</v>
      </c>
      <c r="B947" s="1">
        <f>IFERROR(__xludf.DUMMYFUNCTION("""COMPUTED_VALUE"""),3286.63)</f>
        <v>3286.63</v>
      </c>
      <c r="C947" s="1">
        <f>IFERROR(__xludf.DUMMYFUNCTION("""COMPUTED_VALUE"""),3291.31)</f>
        <v>3291.31</v>
      </c>
      <c r="D947" s="1">
        <f>IFERROR(__xludf.DUMMYFUNCTION("""COMPUTED_VALUE"""),3192.99)</f>
        <v>3192.99</v>
      </c>
      <c r="E947" s="1">
        <f>IFERROR(__xludf.DUMMYFUNCTION("""COMPUTED_VALUE"""),3263.22)</f>
        <v>3263.22</v>
      </c>
      <c r="F947" s="1">
        <f>IFERROR(__xludf.DUMMYFUNCTION("""COMPUTED_VALUE"""),86457.0)</f>
        <v>86457</v>
      </c>
    </row>
    <row r="948">
      <c r="A948" s="2">
        <f>IFERROR(__xludf.DUMMYFUNCTION("""COMPUTED_VALUE"""),43396.64583333333)</f>
        <v>43396.64583</v>
      </c>
      <c r="B948" s="1">
        <f>IFERROR(__xludf.DUMMYFUNCTION("""COMPUTED_VALUE"""),3211.72)</f>
        <v>3211.72</v>
      </c>
      <c r="C948" s="1">
        <f>IFERROR(__xludf.DUMMYFUNCTION("""COMPUTED_VALUE"""),3277.26)</f>
        <v>3277.26</v>
      </c>
      <c r="D948" s="1">
        <f>IFERROR(__xludf.DUMMYFUNCTION("""COMPUTED_VALUE"""),3136.81)</f>
        <v>3136.81</v>
      </c>
      <c r="E948" s="1">
        <f>IFERROR(__xludf.DUMMYFUNCTION("""COMPUTED_VALUE"""),3164.9)</f>
        <v>3164.9</v>
      </c>
      <c r="F948" s="1">
        <f>IFERROR(__xludf.DUMMYFUNCTION("""COMPUTED_VALUE"""),156282.0)</f>
        <v>156282</v>
      </c>
    </row>
    <row r="949">
      <c r="A949" s="2">
        <f>IFERROR(__xludf.DUMMYFUNCTION("""COMPUTED_VALUE"""),43397.64583333333)</f>
        <v>43397.64583</v>
      </c>
      <c r="B949" s="1">
        <f>IFERROR(__xludf.DUMMYFUNCTION("""COMPUTED_VALUE"""),3164.9)</f>
        <v>3164.9</v>
      </c>
      <c r="C949" s="1">
        <f>IFERROR(__xludf.DUMMYFUNCTION("""COMPUTED_VALUE"""),3192.99)</f>
        <v>3192.99</v>
      </c>
      <c r="D949" s="1">
        <f>IFERROR(__xludf.DUMMYFUNCTION("""COMPUTED_VALUE"""),2958.9)</f>
        <v>2958.9</v>
      </c>
      <c r="E949" s="1">
        <f>IFERROR(__xludf.DUMMYFUNCTION("""COMPUTED_VALUE"""),2958.9)</f>
        <v>2958.9</v>
      </c>
      <c r="F949" s="1">
        <f>IFERROR(__xludf.DUMMYFUNCTION("""COMPUTED_VALUE"""),184125.0)</f>
        <v>184125</v>
      </c>
    </row>
    <row r="950">
      <c r="A950" s="2">
        <f>IFERROR(__xludf.DUMMYFUNCTION("""COMPUTED_VALUE"""),43398.64583333333)</f>
        <v>43398.64583</v>
      </c>
      <c r="B950" s="1">
        <f>IFERROR(__xludf.DUMMYFUNCTION("""COMPUTED_VALUE"""),2818.45)</f>
        <v>2818.45</v>
      </c>
      <c r="C950" s="1">
        <f>IFERROR(__xludf.DUMMYFUNCTION("""COMPUTED_VALUE"""),2907.4)</f>
        <v>2907.4</v>
      </c>
      <c r="D950" s="1">
        <f>IFERROR(__xludf.DUMMYFUNCTION("""COMPUTED_VALUE"""),2780.99)</f>
        <v>2780.99</v>
      </c>
      <c r="E950" s="1">
        <f>IFERROR(__xludf.DUMMYFUNCTION("""COMPUTED_VALUE"""),2804.4)</f>
        <v>2804.4</v>
      </c>
      <c r="F950" s="1">
        <f>IFERROR(__xludf.DUMMYFUNCTION("""COMPUTED_VALUE"""),196971.0)</f>
        <v>196971</v>
      </c>
    </row>
    <row r="951">
      <c r="A951" s="2">
        <f>IFERROR(__xludf.DUMMYFUNCTION("""COMPUTED_VALUE"""),43399.64583333333)</f>
        <v>43399.64583</v>
      </c>
      <c r="B951" s="1">
        <f>IFERROR(__xludf.DUMMYFUNCTION("""COMPUTED_VALUE"""),2804.4)</f>
        <v>2804.4</v>
      </c>
      <c r="C951" s="1">
        <f>IFERROR(__xludf.DUMMYFUNCTION("""COMPUTED_VALUE"""),2888.67)</f>
        <v>2888.67</v>
      </c>
      <c r="D951" s="1">
        <f>IFERROR(__xludf.DUMMYFUNCTION("""COMPUTED_VALUE"""),2537.54)</f>
        <v>2537.54</v>
      </c>
      <c r="E951" s="1">
        <f>IFERROR(__xludf.DUMMYFUNCTION("""COMPUTED_VALUE"""),2612.45)</f>
        <v>2612.45</v>
      </c>
      <c r="F951" s="1">
        <f>IFERROR(__xludf.DUMMYFUNCTION("""COMPUTED_VALUE"""),391921.0)</f>
        <v>391921</v>
      </c>
    </row>
    <row r="952">
      <c r="A952" s="2">
        <f>IFERROR(__xludf.DUMMYFUNCTION("""COMPUTED_VALUE"""),43403.64583333333)</f>
        <v>43403.64583</v>
      </c>
      <c r="B952" s="1">
        <f>IFERROR(__xludf.DUMMYFUNCTION("""COMPUTED_VALUE"""),2298.77)</f>
        <v>2298.77</v>
      </c>
      <c r="C952" s="1">
        <f>IFERROR(__xludf.DUMMYFUNCTION("""COMPUTED_VALUE"""),2621.81)</f>
        <v>2621.81</v>
      </c>
      <c r="D952" s="1">
        <f>IFERROR(__xludf.DUMMYFUNCTION("""COMPUTED_VALUE"""),2298.77)</f>
        <v>2298.77</v>
      </c>
      <c r="E952" s="1">
        <f>IFERROR(__xludf.DUMMYFUNCTION("""COMPUTED_VALUE"""),2584.36)</f>
        <v>2584.36</v>
      </c>
      <c r="F952" s="1">
        <f>IFERROR(__xludf.DUMMYFUNCTION("""COMPUTED_VALUE"""),300823.0)</f>
        <v>300823</v>
      </c>
    </row>
    <row r="953">
      <c r="A953" s="2">
        <f>IFERROR(__xludf.DUMMYFUNCTION("""COMPUTED_VALUE"""),43404.64583333333)</f>
        <v>43404.64583</v>
      </c>
      <c r="B953" s="1">
        <f>IFERROR(__xludf.DUMMYFUNCTION("""COMPUTED_VALUE"""),2560.95)</f>
        <v>2560.95</v>
      </c>
      <c r="C953" s="1">
        <f>IFERROR(__xludf.DUMMYFUNCTION("""COMPUTED_VALUE"""),2748.22)</f>
        <v>2748.22</v>
      </c>
      <c r="D953" s="1">
        <f>IFERROR(__xludf.DUMMYFUNCTION("""COMPUTED_VALUE"""),2560.95)</f>
        <v>2560.95</v>
      </c>
      <c r="E953" s="1">
        <f>IFERROR(__xludf.DUMMYFUNCTION("""COMPUTED_VALUE"""),2677.99)</f>
        <v>2677.99</v>
      </c>
      <c r="F953" s="1">
        <f>IFERROR(__xludf.DUMMYFUNCTION("""COMPUTED_VALUE"""),133068.0)</f>
        <v>133068</v>
      </c>
    </row>
    <row r="954">
      <c r="A954" s="2">
        <f>IFERROR(__xludf.DUMMYFUNCTION("""COMPUTED_VALUE"""),43405.64583333333)</f>
        <v>43405.64583</v>
      </c>
      <c r="B954" s="1">
        <f>IFERROR(__xludf.DUMMYFUNCTION("""COMPUTED_VALUE"""),2677.99)</f>
        <v>2677.99</v>
      </c>
      <c r="C954" s="1">
        <f>IFERROR(__xludf.DUMMYFUNCTION("""COMPUTED_VALUE"""),2813.76)</f>
        <v>2813.76</v>
      </c>
      <c r="D954" s="1">
        <f>IFERROR(__xludf.DUMMYFUNCTION("""COMPUTED_VALUE"""),2677.99)</f>
        <v>2677.99</v>
      </c>
      <c r="E954" s="1">
        <f>IFERROR(__xludf.DUMMYFUNCTION("""COMPUTED_VALUE"""),2706.08)</f>
        <v>2706.08</v>
      </c>
      <c r="F954" s="1">
        <f>IFERROR(__xludf.DUMMYFUNCTION("""COMPUTED_VALUE"""),133292.0)</f>
        <v>133292</v>
      </c>
    </row>
    <row r="955">
      <c r="A955" s="2">
        <f>IFERROR(__xludf.DUMMYFUNCTION("""COMPUTED_VALUE"""),43406.64583333333)</f>
        <v>43406.64583</v>
      </c>
      <c r="B955" s="1">
        <f>IFERROR(__xludf.DUMMYFUNCTION("""COMPUTED_VALUE"""),2738.86)</f>
        <v>2738.86</v>
      </c>
      <c r="C955" s="1">
        <f>IFERROR(__xludf.DUMMYFUNCTION("""COMPUTED_VALUE"""),2851.22)</f>
        <v>2851.22</v>
      </c>
      <c r="D955" s="1">
        <f>IFERROR(__xludf.DUMMYFUNCTION("""COMPUTED_VALUE"""),2738.86)</f>
        <v>2738.86</v>
      </c>
      <c r="E955" s="1">
        <f>IFERROR(__xludf.DUMMYFUNCTION("""COMPUTED_VALUE"""),2851.22)</f>
        <v>2851.22</v>
      </c>
      <c r="F955" s="1">
        <f>IFERROR(__xludf.DUMMYFUNCTION("""COMPUTED_VALUE"""),126609.0)</f>
        <v>126609</v>
      </c>
    </row>
    <row r="956">
      <c r="A956" s="2">
        <f>IFERROR(__xludf.DUMMYFUNCTION("""COMPUTED_VALUE"""),43409.64583333333)</f>
        <v>43409.64583</v>
      </c>
      <c r="B956" s="1">
        <f>IFERROR(__xludf.DUMMYFUNCTION("""COMPUTED_VALUE"""),2841.86)</f>
        <v>2841.86</v>
      </c>
      <c r="C956" s="1">
        <f>IFERROR(__xludf.DUMMYFUNCTION("""COMPUTED_VALUE"""),2874.63)</f>
        <v>2874.63</v>
      </c>
      <c r="D956" s="1">
        <f>IFERROR(__xludf.DUMMYFUNCTION("""COMPUTED_VALUE"""),2762.26)</f>
        <v>2762.26</v>
      </c>
      <c r="E956" s="1">
        <f>IFERROR(__xludf.DUMMYFUNCTION("""COMPUTED_VALUE"""),2874.63)</f>
        <v>2874.63</v>
      </c>
      <c r="F956" s="1">
        <f>IFERROR(__xludf.DUMMYFUNCTION("""COMPUTED_VALUE"""),104688.0)</f>
        <v>104688</v>
      </c>
    </row>
    <row r="957">
      <c r="A957" s="2">
        <f>IFERROR(__xludf.DUMMYFUNCTION("""COMPUTED_VALUE"""),43410.64583333333)</f>
        <v>43410.64583</v>
      </c>
      <c r="B957" s="1">
        <f>IFERROR(__xludf.DUMMYFUNCTION("""COMPUTED_VALUE"""),2879.31)</f>
        <v>2879.31</v>
      </c>
      <c r="C957" s="1">
        <f>IFERROR(__xludf.DUMMYFUNCTION("""COMPUTED_VALUE"""),2879.31)</f>
        <v>2879.31</v>
      </c>
      <c r="D957" s="1">
        <f>IFERROR(__xludf.DUMMYFUNCTION("""COMPUTED_VALUE"""),2790.36)</f>
        <v>2790.36</v>
      </c>
      <c r="E957" s="1">
        <f>IFERROR(__xludf.DUMMYFUNCTION("""COMPUTED_VALUE"""),2809.08)</f>
        <v>2809.08</v>
      </c>
      <c r="F957" s="1">
        <f>IFERROR(__xludf.DUMMYFUNCTION("""COMPUTED_VALUE"""),138022.0)</f>
        <v>138022</v>
      </c>
    </row>
    <row r="958">
      <c r="A958" s="2">
        <f>IFERROR(__xludf.DUMMYFUNCTION("""COMPUTED_VALUE"""),43411.64583333333)</f>
        <v>43411.64583</v>
      </c>
      <c r="B958" s="1">
        <f>IFERROR(__xludf.DUMMYFUNCTION("""COMPUTED_VALUE"""),2851.22)</f>
        <v>2851.22</v>
      </c>
      <c r="C958" s="1">
        <f>IFERROR(__xludf.DUMMYFUNCTION("""COMPUTED_VALUE"""),3178.95)</f>
        <v>3178.95</v>
      </c>
      <c r="D958" s="1">
        <f>IFERROR(__xludf.DUMMYFUNCTION("""COMPUTED_VALUE"""),2799.72)</f>
        <v>2799.72</v>
      </c>
      <c r="E958" s="1">
        <f>IFERROR(__xludf.DUMMYFUNCTION("""COMPUTED_VALUE"""),2846.54)</f>
        <v>2846.54</v>
      </c>
      <c r="F958" s="1">
        <f>IFERROR(__xludf.DUMMYFUNCTION("""COMPUTED_VALUE"""),665545.0)</f>
        <v>665545</v>
      </c>
    </row>
    <row r="959">
      <c r="A959" s="2">
        <f>IFERROR(__xludf.DUMMYFUNCTION("""COMPUTED_VALUE"""),43412.64583333333)</f>
        <v>43412.64583</v>
      </c>
      <c r="B959" s="1">
        <f>IFERROR(__xludf.DUMMYFUNCTION("""COMPUTED_VALUE"""),2893.36)</f>
        <v>2893.36</v>
      </c>
      <c r="C959" s="1">
        <f>IFERROR(__xludf.DUMMYFUNCTION("""COMPUTED_VALUE"""),2954.22)</f>
        <v>2954.22</v>
      </c>
      <c r="D959" s="1">
        <f>IFERROR(__xludf.DUMMYFUNCTION("""COMPUTED_VALUE"""),2851.22)</f>
        <v>2851.22</v>
      </c>
      <c r="E959" s="1">
        <f>IFERROR(__xludf.DUMMYFUNCTION("""COMPUTED_VALUE"""),2912.08)</f>
        <v>2912.08</v>
      </c>
      <c r="F959" s="1">
        <f>IFERROR(__xludf.DUMMYFUNCTION("""COMPUTED_VALUE"""),171532.0)</f>
        <v>171532</v>
      </c>
    </row>
    <row r="960">
      <c r="A960" s="2">
        <f>IFERROR(__xludf.DUMMYFUNCTION("""COMPUTED_VALUE"""),43413.64583333333)</f>
        <v>43413.64583</v>
      </c>
      <c r="B960" s="1">
        <f>IFERROR(__xludf.DUMMYFUNCTION("""COMPUTED_VALUE"""),2916.76)</f>
        <v>2916.76</v>
      </c>
      <c r="C960" s="1">
        <f>IFERROR(__xludf.DUMMYFUNCTION("""COMPUTED_VALUE"""),2916.76)</f>
        <v>2916.76</v>
      </c>
      <c r="D960" s="1">
        <f>IFERROR(__xludf.DUMMYFUNCTION("""COMPUTED_VALUE"""),2823.13)</f>
        <v>2823.13</v>
      </c>
      <c r="E960" s="1">
        <f>IFERROR(__xludf.DUMMYFUNCTION("""COMPUTED_VALUE"""),2846.54)</f>
        <v>2846.54</v>
      </c>
      <c r="F960" s="1">
        <f>IFERROR(__xludf.DUMMYFUNCTION("""COMPUTED_VALUE"""),75871.0)</f>
        <v>75871</v>
      </c>
    </row>
    <row r="961">
      <c r="A961" s="2">
        <f>IFERROR(__xludf.DUMMYFUNCTION("""COMPUTED_VALUE"""),43416.64583333333)</f>
        <v>43416.64583</v>
      </c>
      <c r="B961" s="1">
        <f>IFERROR(__xludf.DUMMYFUNCTION("""COMPUTED_VALUE"""),2832.49)</f>
        <v>2832.49</v>
      </c>
      <c r="C961" s="1">
        <f>IFERROR(__xludf.DUMMYFUNCTION("""COMPUTED_VALUE"""),2855.9)</f>
        <v>2855.9</v>
      </c>
      <c r="D961" s="1">
        <f>IFERROR(__xludf.DUMMYFUNCTION("""COMPUTED_VALUE"""),2724.81)</f>
        <v>2724.81</v>
      </c>
      <c r="E961" s="1">
        <f>IFERROR(__xludf.DUMMYFUNCTION("""COMPUTED_VALUE"""),2724.81)</f>
        <v>2724.81</v>
      </c>
      <c r="F961" s="1">
        <f>IFERROR(__xludf.DUMMYFUNCTION("""COMPUTED_VALUE"""),101815.0)</f>
        <v>101815</v>
      </c>
    </row>
    <row r="962">
      <c r="A962" s="2">
        <f>IFERROR(__xludf.DUMMYFUNCTION("""COMPUTED_VALUE"""),43417.64583333333)</f>
        <v>43417.64583</v>
      </c>
      <c r="B962" s="1">
        <f>IFERROR(__xludf.DUMMYFUNCTION("""COMPUTED_VALUE"""),2724.81)</f>
        <v>2724.81</v>
      </c>
      <c r="C962" s="1">
        <f>IFERROR(__xludf.DUMMYFUNCTION("""COMPUTED_VALUE"""),2748.22)</f>
        <v>2748.22</v>
      </c>
      <c r="D962" s="1">
        <f>IFERROR(__xludf.DUMMYFUNCTION("""COMPUTED_VALUE"""),2626.49)</f>
        <v>2626.49</v>
      </c>
      <c r="E962" s="1">
        <f>IFERROR(__xludf.DUMMYFUNCTION("""COMPUTED_VALUE"""),2720.13)</f>
        <v>2720.13</v>
      </c>
      <c r="F962" s="1">
        <f>IFERROR(__xludf.DUMMYFUNCTION("""COMPUTED_VALUE"""),83607.0)</f>
        <v>83607</v>
      </c>
    </row>
    <row r="963">
      <c r="A963" s="2">
        <f>IFERROR(__xludf.DUMMYFUNCTION("""COMPUTED_VALUE"""),43418.64583333333)</f>
        <v>43418.64583</v>
      </c>
      <c r="B963" s="1">
        <f>IFERROR(__xludf.DUMMYFUNCTION("""COMPUTED_VALUE"""),2706.08)</f>
        <v>2706.08</v>
      </c>
      <c r="C963" s="1">
        <f>IFERROR(__xludf.DUMMYFUNCTION("""COMPUTED_VALUE"""),2799.72)</f>
        <v>2799.72</v>
      </c>
      <c r="D963" s="1">
        <f>IFERROR(__xludf.DUMMYFUNCTION("""COMPUTED_VALUE"""),2696.72)</f>
        <v>2696.72</v>
      </c>
      <c r="E963" s="1">
        <f>IFERROR(__xludf.DUMMYFUNCTION("""COMPUTED_VALUE"""),2738.86)</f>
        <v>2738.86</v>
      </c>
      <c r="F963" s="1">
        <f>IFERROR(__xludf.DUMMYFUNCTION("""COMPUTED_VALUE"""),84433.0)</f>
        <v>84433</v>
      </c>
    </row>
    <row r="964">
      <c r="A964" s="2">
        <f>IFERROR(__xludf.DUMMYFUNCTION("""COMPUTED_VALUE"""),43419.6875)</f>
        <v>43419.6875</v>
      </c>
      <c r="B964" s="1">
        <f>IFERROR(__xludf.DUMMYFUNCTION("""COMPUTED_VALUE"""),2752.9)</f>
        <v>2752.9</v>
      </c>
      <c r="C964" s="1">
        <f>IFERROR(__xludf.DUMMYFUNCTION("""COMPUTED_VALUE"""),2785.67)</f>
        <v>2785.67</v>
      </c>
      <c r="D964" s="1">
        <f>IFERROR(__xludf.DUMMYFUNCTION("""COMPUTED_VALUE"""),2729.49)</f>
        <v>2729.49</v>
      </c>
      <c r="E964" s="1">
        <f>IFERROR(__xludf.DUMMYFUNCTION("""COMPUTED_VALUE"""),2766.95)</f>
        <v>2766.95</v>
      </c>
      <c r="F964" s="1">
        <f>IFERROR(__xludf.DUMMYFUNCTION("""COMPUTED_VALUE"""),104412.0)</f>
        <v>104412</v>
      </c>
    </row>
    <row r="965">
      <c r="A965" s="2">
        <f>IFERROR(__xludf.DUMMYFUNCTION("""COMPUTED_VALUE"""),43420.64583333333)</f>
        <v>43420.64583</v>
      </c>
      <c r="B965" s="1">
        <f>IFERROR(__xludf.DUMMYFUNCTION("""COMPUTED_VALUE"""),2790.36)</f>
        <v>2790.36</v>
      </c>
      <c r="C965" s="1">
        <f>IFERROR(__xludf.DUMMYFUNCTION("""COMPUTED_VALUE"""),2986.99)</f>
        <v>2986.99</v>
      </c>
      <c r="D965" s="1">
        <f>IFERROR(__xludf.DUMMYFUNCTION("""COMPUTED_VALUE"""),2776.31)</f>
        <v>2776.31</v>
      </c>
      <c r="E965" s="1">
        <f>IFERROR(__xludf.DUMMYFUNCTION("""COMPUTED_VALUE"""),2879.31)</f>
        <v>2879.31</v>
      </c>
      <c r="F965" s="1">
        <f>IFERROR(__xludf.DUMMYFUNCTION("""COMPUTED_VALUE"""),212518.0)</f>
        <v>212518</v>
      </c>
    </row>
    <row r="966">
      <c r="A966" s="2">
        <f>IFERROR(__xludf.DUMMYFUNCTION("""COMPUTED_VALUE"""),43423.64583333333)</f>
        <v>43423.64583</v>
      </c>
      <c r="B966" s="1">
        <f>IFERROR(__xludf.DUMMYFUNCTION("""COMPUTED_VALUE"""),2851.22)</f>
        <v>2851.22</v>
      </c>
      <c r="C966" s="1">
        <f>IFERROR(__xludf.DUMMYFUNCTION("""COMPUTED_VALUE"""),3150.85)</f>
        <v>3150.85</v>
      </c>
      <c r="D966" s="1">
        <f>IFERROR(__xludf.DUMMYFUNCTION("""COMPUTED_VALUE"""),2851.22)</f>
        <v>2851.22</v>
      </c>
      <c r="E966" s="1">
        <f>IFERROR(__xludf.DUMMYFUNCTION("""COMPUTED_VALUE"""),2982.31)</f>
        <v>2982.31</v>
      </c>
      <c r="F966" s="1">
        <f>IFERROR(__xludf.DUMMYFUNCTION("""COMPUTED_VALUE"""),1086370.0)</f>
        <v>1086370</v>
      </c>
    </row>
    <row r="967">
      <c r="A967" s="2">
        <f>IFERROR(__xludf.DUMMYFUNCTION("""COMPUTED_VALUE"""),43424.64583333333)</f>
        <v>43424.64583</v>
      </c>
      <c r="B967" s="1">
        <f>IFERROR(__xludf.DUMMYFUNCTION("""COMPUTED_VALUE"""),2954.22)</f>
        <v>2954.22</v>
      </c>
      <c r="C967" s="1">
        <f>IFERROR(__xludf.DUMMYFUNCTION("""COMPUTED_VALUE"""),3665.85)</f>
        <v>3665.85</v>
      </c>
      <c r="D967" s="1">
        <f>IFERROR(__xludf.DUMMYFUNCTION("""COMPUTED_VALUE"""),2944.85)</f>
        <v>2944.85</v>
      </c>
      <c r="E967" s="1">
        <f>IFERROR(__xludf.DUMMYFUNCTION("""COMPUTED_VALUE"""),3263.22)</f>
        <v>3263.22</v>
      </c>
      <c r="F967" s="1">
        <f>IFERROR(__xludf.DUMMYFUNCTION("""COMPUTED_VALUE"""),5962674.0)</f>
        <v>5962674</v>
      </c>
    </row>
    <row r="968">
      <c r="A968" s="2">
        <f>IFERROR(__xludf.DUMMYFUNCTION("""COMPUTED_VALUE"""),43426.64583333333)</f>
        <v>43426.64583</v>
      </c>
      <c r="B968" s="1">
        <f>IFERROR(__xludf.DUMMYFUNCTION("""COMPUTED_VALUE"""),3258.54)</f>
        <v>3258.54</v>
      </c>
      <c r="C968" s="1">
        <f>IFERROR(__xludf.DUMMYFUNCTION("""COMPUTED_VALUE"""),3642.44)</f>
        <v>3642.44</v>
      </c>
      <c r="D968" s="1">
        <f>IFERROR(__xludf.DUMMYFUNCTION("""COMPUTED_VALUE"""),3258.54)</f>
        <v>3258.54</v>
      </c>
      <c r="E968" s="1">
        <f>IFERROR(__xludf.DUMMYFUNCTION("""COMPUTED_VALUE"""),3445.81)</f>
        <v>3445.81</v>
      </c>
      <c r="F968" s="1">
        <f>IFERROR(__xludf.DUMMYFUNCTION("""COMPUTED_VALUE"""),5809772.0)</f>
        <v>5809772</v>
      </c>
    </row>
    <row r="969">
      <c r="A969" s="2">
        <f>IFERROR(__xludf.DUMMYFUNCTION("""COMPUTED_VALUE"""),43427.64583333333)</f>
        <v>43427.64583</v>
      </c>
      <c r="B969" s="1">
        <f>IFERROR(__xludf.DUMMYFUNCTION("""COMPUTED_VALUE"""),3403.67)</f>
        <v>3403.67</v>
      </c>
      <c r="C969" s="1">
        <f>IFERROR(__xludf.DUMMYFUNCTION("""COMPUTED_VALUE"""),3445.81)</f>
        <v>3445.81</v>
      </c>
      <c r="D969" s="1">
        <f>IFERROR(__xludf.DUMMYFUNCTION("""COMPUTED_VALUE"""),3104.04)</f>
        <v>3104.04</v>
      </c>
      <c r="E969" s="1">
        <f>IFERROR(__xludf.DUMMYFUNCTION("""COMPUTED_VALUE"""),3104.04)</f>
        <v>3104.04</v>
      </c>
      <c r="F969" s="1">
        <f>IFERROR(__xludf.DUMMYFUNCTION("""COMPUTED_VALUE"""),886357.0)</f>
        <v>886357</v>
      </c>
    </row>
    <row r="970">
      <c r="A970" s="2">
        <f>IFERROR(__xludf.DUMMYFUNCTION("""COMPUTED_VALUE"""),43430.64583333333)</f>
        <v>43430.64583</v>
      </c>
      <c r="B970" s="1">
        <f>IFERROR(__xludf.DUMMYFUNCTION("""COMPUTED_VALUE"""),3141.49)</f>
        <v>3141.49</v>
      </c>
      <c r="C970" s="1">
        <f>IFERROR(__xludf.DUMMYFUNCTION("""COMPUTED_VALUE"""),3422.4)</f>
        <v>3422.4</v>
      </c>
      <c r="D970" s="1">
        <f>IFERROR(__xludf.DUMMYFUNCTION("""COMPUTED_VALUE"""),3141.49)</f>
        <v>3141.49</v>
      </c>
      <c r="E970" s="1">
        <f>IFERROR(__xludf.DUMMYFUNCTION("""COMPUTED_VALUE"""),3192.99)</f>
        <v>3192.99</v>
      </c>
      <c r="F970" s="1">
        <f>IFERROR(__xludf.DUMMYFUNCTION("""COMPUTED_VALUE"""),1264773.0)</f>
        <v>1264773</v>
      </c>
    </row>
    <row r="971">
      <c r="A971" s="2">
        <f>IFERROR(__xludf.DUMMYFUNCTION("""COMPUTED_VALUE"""),43431.64583333333)</f>
        <v>43431.64583</v>
      </c>
      <c r="B971" s="1">
        <f>IFERROR(__xludf.DUMMYFUNCTION("""COMPUTED_VALUE"""),3300.67)</f>
        <v>3300.67</v>
      </c>
      <c r="C971" s="1">
        <f>IFERROR(__xludf.DUMMYFUNCTION("""COMPUTED_VALUE"""),3352.17)</f>
        <v>3352.17</v>
      </c>
      <c r="D971" s="1">
        <f>IFERROR(__xludf.DUMMYFUNCTION("""COMPUTED_VALUE"""),3080.63)</f>
        <v>3080.63</v>
      </c>
      <c r="E971" s="1">
        <f>IFERROR(__xludf.DUMMYFUNCTION("""COMPUTED_VALUE"""),3141.49)</f>
        <v>3141.49</v>
      </c>
      <c r="F971" s="1">
        <f>IFERROR(__xludf.DUMMYFUNCTION("""COMPUTED_VALUE"""),576415.0)</f>
        <v>576415</v>
      </c>
    </row>
    <row r="972">
      <c r="A972" s="2">
        <f>IFERROR(__xludf.DUMMYFUNCTION("""COMPUTED_VALUE"""),43432.64583333333)</f>
        <v>43432.64583</v>
      </c>
      <c r="B972" s="1">
        <f>IFERROR(__xludf.DUMMYFUNCTION("""COMPUTED_VALUE"""),3155.54)</f>
        <v>3155.54</v>
      </c>
      <c r="C972" s="1">
        <f>IFERROR(__xludf.DUMMYFUNCTION("""COMPUTED_VALUE"""),3469.22)</f>
        <v>3469.22</v>
      </c>
      <c r="D972" s="1">
        <f>IFERROR(__xludf.DUMMYFUNCTION("""COMPUTED_VALUE"""),3122.76)</f>
        <v>3122.76</v>
      </c>
      <c r="E972" s="1">
        <f>IFERROR(__xludf.DUMMYFUNCTION("""COMPUTED_VALUE"""),3239.81)</f>
        <v>3239.81</v>
      </c>
      <c r="F972" s="1">
        <f>IFERROR(__xludf.DUMMYFUNCTION("""COMPUTED_VALUE"""),1738915.0)</f>
        <v>1738915</v>
      </c>
    </row>
    <row r="973">
      <c r="A973" s="2">
        <f>IFERROR(__xludf.DUMMYFUNCTION("""COMPUTED_VALUE"""),43433.64583333333)</f>
        <v>43433.64583</v>
      </c>
      <c r="B973" s="1">
        <f>IFERROR(__xludf.DUMMYFUNCTION("""COMPUTED_VALUE"""),3267.9)</f>
        <v>3267.9</v>
      </c>
      <c r="C973" s="1">
        <f>IFERROR(__xludf.DUMMYFUNCTION("""COMPUTED_VALUE"""),3356.85)</f>
        <v>3356.85</v>
      </c>
      <c r="D973" s="1">
        <f>IFERROR(__xludf.DUMMYFUNCTION("""COMPUTED_VALUE"""),3188.31)</f>
        <v>3188.31</v>
      </c>
      <c r="E973" s="1">
        <f>IFERROR(__xludf.DUMMYFUNCTION("""COMPUTED_VALUE"""),3216.4)</f>
        <v>3216.4</v>
      </c>
      <c r="F973" s="1">
        <f>IFERROR(__xludf.DUMMYFUNCTION("""COMPUTED_VALUE"""),411768.0)</f>
        <v>411768</v>
      </c>
    </row>
    <row r="974">
      <c r="A974" s="2">
        <f>IFERROR(__xludf.DUMMYFUNCTION("""COMPUTED_VALUE"""),43434.64583333333)</f>
        <v>43434.64583</v>
      </c>
      <c r="B974" s="1">
        <f>IFERROR(__xludf.DUMMYFUNCTION("""COMPUTED_VALUE"""),3300.67)</f>
        <v>3300.67</v>
      </c>
      <c r="C974" s="1">
        <f>IFERROR(__xludf.DUMMYFUNCTION("""COMPUTED_VALUE"""),3380.26)</f>
        <v>3380.26</v>
      </c>
      <c r="D974" s="1">
        <f>IFERROR(__xludf.DUMMYFUNCTION("""COMPUTED_VALUE"""),3230.44)</f>
        <v>3230.44</v>
      </c>
      <c r="E974" s="1">
        <f>IFERROR(__xludf.DUMMYFUNCTION("""COMPUTED_VALUE"""),3249.17)</f>
        <v>3249.17</v>
      </c>
      <c r="F974" s="1">
        <f>IFERROR(__xludf.DUMMYFUNCTION("""COMPUTED_VALUE"""),613087.0)</f>
        <v>613087</v>
      </c>
    </row>
    <row r="975">
      <c r="A975" s="2">
        <f>IFERROR(__xludf.DUMMYFUNCTION("""COMPUTED_VALUE"""),43437.64583333333)</f>
        <v>43437.64583</v>
      </c>
      <c r="B975" s="1">
        <f>IFERROR(__xludf.DUMMYFUNCTION("""COMPUTED_VALUE"""),3281.94)</f>
        <v>3281.94</v>
      </c>
      <c r="C975" s="1">
        <f>IFERROR(__xludf.DUMMYFUNCTION("""COMPUTED_VALUE"""),3370.9)</f>
        <v>3370.9</v>
      </c>
      <c r="D975" s="1">
        <f>IFERROR(__xludf.DUMMYFUNCTION("""COMPUTED_VALUE"""),3221.08)</f>
        <v>3221.08</v>
      </c>
      <c r="E975" s="1">
        <f>IFERROR(__xludf.DUMMYFUNCTION("""COMPUTED_VALUE"""),3310.04)</f>
        <v>3310.04</v>
      </c>
      <c r="F975" s="1">
        <f>IFERROR(__xludf.DUMMYFUNCTION("""COMPUTED_VALUE"""),395511.0)</f>
        <v>395511</v>
      </c>
    </row>
    <row r="976">
      <c r="A976" s="2">
        <f>IFERROR(__xludf.DUMMYFUNCTION("""COMPUTED_VALUE"""),43438.64583333333)</f>
        <v>43438.64583</v>
      </c>
      <c r="B976" s="1">
        <f>IFERROR(__xludf.DUMMYFUNCTION("""COMPUTED_VALUE"""),3324.08)</f>
        <v>3324.08</v>
      </c>
      <c r="C976" s="1">
        <f>IFERROR(__xludf.DUMMYFUNCTION("""COMPUTED_VALUE"""),3333.44)</f>
        <v>3333.44</v>
      </c>
      <c r="D976" s="1">
        <f>IFERROR(__xludf.DUMMYFUNCTION("""COMPUTED_VALUE"""),3239.81)</f>
        <v>3239.81</v>
      </c>
      <c r="E976" s="1">
        <f>IFERROR(__xludf.DUMMYFUNCTION("""COMPUTED_VALUE"""),3267.9)</f>
        <v>3267.9</v>
      </c>
      <c r="F976" s="1">
        <f>IFERROR(__xludf.DUMMYFUNCTION("""COMPUTED_VALUE"""),240527.0)</f>
        <v>240527</v>
      </c>
    </row>
    <row r="977">
      <c r="A977" s="2">
        <f>IFERROR(__xludf.DUMMYFUNCTION("""COMPUTED_VALUE"""),43439.64583333333)</f>
        <v>43439.64583</v>
      </c>
      <c r="B977" s="1">
        <f>IFERROR(__xludf.DUMMYFUNCTION("""COMPUTED_VALUE"""),3202.35)</f>
        <v>3202.35</v>
      </c>
      <c r="C977" s="1">
        <f>IFERROR(__xludf.DUMMYFUNCTION("""COMPUTED_VALUE"""),3281.94)</f>
        <v>3281.94</v>
      </c>
      <c r="D977" s="1">
        <f>IFERROR(__xludf.DUMMYFUNCTION("""COMPUTED_VALUE"""),3150.85)</f>
        <v>3150.85</v>
      </c>
      <c r="E977" s="1">
        <f>IFERROR(__xludf.DUMMYFUNCTION("""COMPUTED_VALUE"""),3263.22)</f>
        <v>3263.22</v>
      </c>
      <c r="F977" s="1">
        <f>IFERROR(__xludf.DUMMYFUNCTION("""COMPUTED_VALUE"""),129887.0)</f>
        <v>129887</v>
      </c>
    </row>
    <row r="978">
      <c r="A978" s="2">
        <f>IFERROR(__xludf.DUMMYFUNCTION("""COMPUTED_VALUE"""),43440.64583333333)</f>
        <v>43440.64583</v>
      </c>
      <c r="B978" s="1">
        <f>IFERROR(__xludf.DUMMYFUNCTION("""COMPUTED_VALUE"""),3277.26)</f>
        <v>3277.26</v>
      </c>
      <c r="C978" s="1">
        <f>IFERROR(__xludf.DUMMYFUNCTION("""COMPUTED_VALUE"""),3281.94)</f>
        <v>3281.94</v>
      </c>
      <c r="D978" s="1">
        <f>IFERROR(__xludf.DUMMYFUNCTION("""COMPUTED_VALUE"""),3178.95)</f>
        <v>3178.95</v>
      </c>
      <c r="E978" s="1">
        <f>IFERROR(__xludf.DUMMYFUNCTION("""COMPUTED_VALUE"""),3192.99)</f>
        <v>3192.99</v>
      </c>
      <c r="F978" s="1">
        <f>IFERROR(__xludf.DUMMYFUNCTION("""COMPUTED_VALUE"""),180916.0)</f>
        <v>180916</v>
      </c>
    </row>
    <row r="979">
      <c r="A979" s="2">
        <f>IFERROR(__xludf.DUMMYFUNCTION("""COMPUTED_VALUE"""),43441.64583333333)</f>
        <v>43441.64583</v>
      </c>
      <c r="B979" s="1">
        <f>IFERROR(__xludf.DUMMYFUNCTION("""COMPUTED_VALUE"""),3202.35)</f>
        <v>3202.35</v>
      </c>
      <c r="C979" s="1">
        <f>IFERROR(__xludf.DUMMYFUNCTION("""COMPUTED_VALUE"""),3277.26)</f>
        <v>3277.26</v>
      </c>
      <c r="D979" s="1">
        <f>IFERROR(__xludf.DUMMYFUNCTION("""COMPUTED_VALUE"""),3197.67)</f>
        <v>3197.67</v>
      </c>
      <c r="E979" s="1">
        <f>IFERROR(__xludf.DUMMYFUNCTION("""COMPUTED_VALUE"""),3207.04)</f>
        <v>3207.04</v>
      </c>
      <c r="F979" s="1">
        <f>IFERROR(__xludf.DUMMYFUNCTION("""COMPUTED_VALUE"""),170165.0)</f>
        <v>170165</v>
      </c>
    </row>
    <row r="980">
      <c r="A980" s="2">
        <f>IFERROR(__xludf.DUMMYFUNCTION("""COMPUTED_VALUE"""),43444.64583333333)</f>
        <v>43444.64583</v>
      </c>
      <c r="B980" s="1">
        <f>IFERROR(__xludf.DUMMYFUNCTION("""COMPUTED_VALUE"""),3155.54)</f>
        <v>3155.54</v>
      </c>
      <c r="C980" s="1">
        <f>IFERROR(__xludf.DUMMYFUNCTION("""COMPUTED_VALUE"""),3192.99)</f>
        <v>3192.99</v>
      </c>
      <c r="D980" s="1">
        <f>IFERROR(__xludf.DUMMYFUNCTION("""COMPUTED_VALUE"""),2982.31)</f>
        <v>2982.31</v>
      </c>
      <c r="E980" s="1">
        <f>IFERROR(__xludf.DUMMYFUNCTION("""COMPUTED_VALUE"""),2982.31)</f>
        <v>2982.31</v>
      </c>
      <c r="F980" s="1">
        <f>IFERROR(__xludf.DUMMYFUNCTION("""COMPUTED_VALUE"""),174410.0)</f>
        <v>174410</v>
      </c>
    </row>
    <row r="981">
      <c r="A981" s="2">
        <f>IFERROR(__xludf.DUMMYFUNCTION("""COMPUTED_VALUE"""),43445.64583333333)</f>
        <v>43445.64583</v>
      </c>
      <c r="B981" s="1">
        <f>IFERROR(__xludf.DUMMYFUNCTION("""COMPUTED_VALUE"""),2986.99)</f>
        <v>2986.99</v>
      </c>
      <c r="C981" s="1">
        <f>IFERROR(__xludf.DUMMYFUNCTION("""COMPUTED_VALUE"""),3061.9)</f>
        <v>3061.9</v>
      </c>
      <c r="D981" s="1">
        <f>IFERROR(__xludf.DUMMYFUNCTION("""COMPUTED_VALUE"""),2827.81)</f>
        <v>2827.81</v>
      </c>
      <c r="E981" s="1">
        <f>IFERROR(__xludf.DUMMYFUNCTION("""COMPUTED_VALUE"""),2827.81)</f>
        <v>2827.81</v>
      </c>
      <c r="F981" s="1">
        <f>IFERROR(__xludf.DUMMYFUNCTION("""COMPUTED_VALUE"""),177895.0)</f>
        <v>177895</v>
      </c>
    </row>
    <row r="982">
      <c r="A982" s="2">
        <f>IFERROR(__xludf.DUMMYFUNCTION("""COMPUTED_VALUE"""),43446.64583333333)</f>
        <v>43446.64583</v>
      </c>
      <c r="B982" s="1">
        <f>IFERROR(__xludf.DUMMYFUNCTION("""COMPUTED_VALUE"""),2827.81)</f>
        <v>2827.81</v>
      </c>
      <c r="C982" s="1">
        <f>IFERROR(__xludf.DUMMYFUNCTION("""COMPUTED_VALUE"""),3033.81)</f>
        <v>3033.81</v>
      </c>
      <c r="D982" s="1">
        <f>IFERROR(__xludf.DUMMYFUNCTION("""COMPUTED_VALUE"""),2827.81)</f>
        <v>2827.81</v>
      </c>
      <c r="E982" s="1">
        <f>IFERROR(__xludf.DUMMYFUNCTION("""COMPUTED_VALUE"""),2963.58)</f>
        <v>2963.58</v>
      </c>
      <c r="F982" s="1">
        <f>IFERROR(__xludf.DUMMYFUNCTION("""COMPUTED_VALUE"""),222213.0)</f>
        <v>222213</v>
      </c>
    </row>
    <row r="983">
      <c r="A983" s="2">
        <f>IFERROR(__xludf.DUMMYFUNCTION("""COMPUTED_VALUE"""),43447.64583333333)</f>
        <v>43447.64583</v>
      </c>
      <c r="B983" s="1">
        <f>IFERROR(__xludf.DUMMYFUNCTION("""COMPUTED_VALUE"""),2982.31)</f>
        <v>2982.31</v>
      </c>
      <c r="C983" s="1">
        <f>IFERROR(__xludf.DUMMYFUNCTION("""COMPUTED_VALUE"""),3239.81)</f>
        <v>3239.81</v>
      </c>
      <c r="D983" s="1">
        <f>IFERROR(__xludf.DUMMYFUNCTION("""COMPUTED_VALUE"""),2982.31)</f>
        <v>2982.31</v>
      </c>
      <c r="E983" s="1">
        <f>IFERROR(__xludf.DUMMYFUNCTION("""COMPUTED_VALUE"""),3183.63)</f>
        <v>3183.63</v>
      </c>
      <c r="F983" s="1">
        <f>IFERROR(__xludf.DUMMYFUNCTION("""COMPUTED_VALUE"""),1071245.0)</f>
        <v>1071245</v>
      </c>
    </row>
    <row r="984">
      <c r="A984" s="2">
        <f>IFERROR(__xludf.DUMMYFUNCTION("""COMPUTED_VALUE"""),43448.64583333333)</f>
        <v>43448.64583</v>
      </c>
      <c r="B984" s="1">
        <f>IFERROR(__xludf.DUMMYFUNCTION("""COMPUTED_VALUE"""),3136.81)</f>
        <v>3136.81</v>
      </c>
      <c r="C984" s="1">
        <f>IFERROR(__xludf.DUMMYFUNCTION("""COMPUTED_VALUE"""),3197.67)</f>
        <v>3197.67</v>
      </c>
      <c r="D984" s="1">
        <f>IFERROR(__xludf.DUMMYFUNCTION("""COMPUTED_VALUE"""),3052.54)</f>
        <v>3052.54</v>
      </c>
      <c r="E984" s="1">
        <f>IFERROR(__xludf.DUMMYFUNCTION("""COMPUTED_VALUE"""),3066.58)</f>
        <v>3066.58</v>
      </c>
      <c r="F984" s="1">
        <f>IFERROR(__xludf.DUMMYFUNCTION("""COMPUTED_VALUE"""),254867.0)</f>
        <v>254867</v>
      </c>
    </row>
    <row r="985">
      <c r="A985" s="2">
        <f>IFERROR(__xludf.DUMMYFUNCTION("""COMPUTED_VALUE"""),43451.64583333333)</f>
        <v>43451.64583</v>
      </c>
      <c r="B985" s="1">
        <f>IFERROR(__xludf.DUMMYFUNCTION("""COMPUTED_VALUE"""),3029.13)</f>
        <v>3029.13</v>
      </c>
      <c r="C985" s="1">
        <f>IFERROR(__xludf.DUMMYFUNCTION("""COMPUTED_VALUE"""),3043.17)</f>
        <v>3043.17</v>
      </c>
      <c r="D985" s="1">
        <f>IFERROR(__xludf.DUMMYFUNCTION("""COMPUTED_VALUE"""),2921.45)</f>
        <v>2921.45</v>
      </c>
      <c r="E985" s="1">
        <f>IFERROR(__xludf.DUMMYFUNCTION("""COMPUTED_VALUE"""),2963.58)</f>
        <v>2963.58</v>
      </c>
      <c r="F985" s="1">
        <f>IFERROR(__xludf.DUMMYFUNCTION("""COMPUTED_VALUE"""),142427.0)</f>
        <v>142427</v>
      </c>
    </row>
    <row r="986">
      <c r="A986" s="2">
        <f>IFERROR(__xludf.DUMMYFUNCTION("""COMPUTED_VALUE"""),43452.64583333333)</f>
        <v>43452.64583</v>
      </c>
      <c r="B986" s="1">
        <f>IFERROR(__xludf.DUMMYFUNCTION("""COMPUTED_VALUE"""),2893.36)</f>
        <v>2893.36</v>
      </c>
      <c r="C986" s="1">
        <f>IFERROR(__xludf.DUMMYFUNCTION("""COMPUTED_VALUE"""),3066.58)</f>
        <v>3066.58</v>
      </c>
      <c r="D986" s="1">
        <f>IFERROR(__xludf.DUMMYFUNCTION("""COMPUTED_VALUE"""),2893.36)</f>
        <v>2893.36</v>
      </c>
      <c r="E986" s="1">
        <f>IFERROR(__xludf.DUMMYFUNCTION("""COMPUTED_VALUE"""),2944.85)</f>
        <v>2944.85</v>
      </c>
      <c r="F986" s="1">
        <f>IFERROR(__xludf.DUMMYFUNCTION("""COMPUTED_VALUE"""),154035.0)</f>
        <v>154035</v>
      </c>
    </row>
    <row r="987">
      <c r="A987" s="2">
        <f>IFERROR(__xludf.DUMMYFUNCTION("""COMPUTED_VALUE"""),43453.64583333333)</f>
        <v>43453.64583</v>
      </c>
      <c r="B987" s="1">
        <f>IFERROR(__xludf.DUMMYFUNCTION("""COMPUTED_VALUE"""),2977.63)</f>
        <v>2977.63</v>
      </c>
      <c r="C987" s="1">
        <f>IFERROR(__xludf.DUMMYFUNCTION("""COMPUTED_VALUE"""),3010.4)</f>
        <v>3010.4</v>
      </c>
      <c r="D987" s="1">
        <f>IFERROR(__xludf.DUMMYFUNCTION("""COMPUTED_VALUE"""),2916.76)</f>
        <v>2916.76</v>
      </c>
      <c r="E987" s="1">
        <f>IFERROR(__xludf.DUMMYFUNCTION("""COMPUTED_VALUE"""),2930.81)</f>
        <v>2930.81</v>
      </c>
      <c r="F987" s="1">
        <f>IFERROR(__xludf.DUMMYFUNCTION("""COMPUTED_VALUE"""),102077.0)</f>
        <v>102077</v>
      </c>
    </row>
    <row r="988">
      <c r="A988" s="2">
        <f>IFERROR(__xludf.DUMMYFUNCTION("""COMPUTED_VALUE"""),43454.64583333333)</f>
        <v>43454.64583</v>
      </c>
      <c r="B988" s="1">
        <f>IFERROR(__xludf.DUMMYFUNCTION("""COMPUTED_VALUE"""),2968.26)</f>
        <v>2968.26</v>
      </c>
      <c r="C988" s="1">
        <f>IFERROR(__xludf.DUMMYFUNCTION("""COMPUTED_VALUE"""),3305.35)</f>
        <v>3305.35</v>
      </c>
      <c r="D988" s="1">
        <f>IFERROR(__xludf.DUMMYFUNCTION("""COMPUTED_VALUE"""),2902.72)</f>
        <v>2902.72</v>
      </c>
      <c r="E988" s="1">
        <f>IFERROR(__xludf.DUMMYFUNCTION("""COMPUTED_VALUE"""),3099.35)</f>
        <v>3099.35</v>
      </c>
      <c r="F988" s="1">
        <f>IFERROR(__xludf.DUMMYFUNCTION("""COMPUTED_VALUE"""),1282100.0)</f>
        <v>1282100</v>
      </c>
    </row>
    <row r="989">
      <c r="A989" s="2">
        <f>IFERROR(__xludf.DUMMYFUNCTION("""COMPUTED_VALUE"""),43455.64583333333)</f>
        <v>43455.64583</v>
      </c>
      <c r="B989" s="1">
        <f>IFERROR(__xludf.DUMMYFUNCTION("""COMPUTED_VALUE"""),3104.04)</f>
        <v>3104.04</v>
      </c>
      <c r="C989" s="1">
        <f>IFERROR(__xludf.DUMMYFUNCTION("""COMPUTED_VALUE"""),3328.76)</f>
        <v>3328.76</v>
      </c>
      <c r="D989" s="1">
        <f>IFERROR(__xludf.DUMMYFUNCTION("""COMPUTED_VALUE"""),3104.04)</f>
        <v>3104.04</v>
      </c>
      <c r="E989" s="1">
        <f>IFERROR(__xludf.DUMMYFUNCTION("""COMPUTED_VALUE"""),3249.17)</f>
        <v>3249.17</v>
      </c>
      <c r="F989" s="1">
        <f>IFERROR(__xludf.DUMMYFUNCTION("""COMPUTED_VALUE"""),1021465.0)</f>
        <v>1021465</v>
      </c>
    </row>
    <row r="990">
      <c r="A990" s="2">
        <f>IFERROR(__xludf.DUMMYFUNCTION("""COMPUTED_VALUE"""),43458.64583333333)</f>
        <v>43458.64583</v>
      </c>
      <c r="B990" s="1">
        <f>IFERROR(__xludf.DUMMYFUNCTION("""COMPUTED_VALUE"""),3272.58)</f>
        <v>3272.58</v>
      </c>
      <c r="C990" s="1">
        <f>IFERROR(__xludf.DUMMYFUNCTION("""COMPUTED_VALUE"""),3272.58)</f>
        <v>3272.58</v>
      </c>
      <c r="D990" s="1">
        <f>IFERROR(__xludf.DUMMYFUNCTION("""COMPUTED_VALUE"""),3104.04)</f>
        <v>3104.04</v>
      </c>
      <c r="E990" s="1">
        <f>IFERROR(__xludf.DUMMYFUNCTION("""COMPUTED_VALUE"""),3197.67)</f>
        <v>3197.67</v>
      </c>
      <c r="F990" s="1">
        <f>IFERROR(__xludf.DUMMYFUNCTION("""COMPUTED_VALUE"""),374309.0)</f>
        <v>374309</v>
      </c>
    </row>
    <row r="991">
      <c r="A991" s="2">
        <f>IFERROR(__xludf.DUMMYFUNCTION("""COMPUTED_VALUE"""),43460.64583333333)</f>
        <v>43460.64583</v>
      </c>
      <c r="B991" s="1">
        <f>IFERROR(__xludf.DUMMYFUNCTION("""COMPUTED_VALUE"""),3075.95)</f>
        <v>3075.95</v>
      </c>
      <c r="C991" s="1">
        <f>IFERROR(__xludf.DUMMYFUNCTION("""COMPUTED_VALUE"""),3122.76)</f>
        <v>3122.76</v>
      </c>
      <c r="D991" s="1">
        <f>IFERROR(__xludf.DUMMYFUNCTION("""COMPUTED_VALUE"""),2996.35)</f>
        <v>2996.35</v>
      </c>
      <c r="E991" s="1">
        <f>IFERROR(__xludf.DUMMYFUNCTION("""COMPUTED_VALUE"""),2996.35)</f>
        <v>2996.35</v>
      </c>
      <c r="F991" s="1">
        <f>IFERROR(__xludf.DUMMYFUNCTION("""COMPUTED_VALUE"""),256749.0)</f>
        <v>256749</v>
      </c>
    </row>
    <row r="992">
      <c r="A992" s="2">
        <f>IFERROR(__xludf.DUMMYFUNCTION("""COMPUTED_VALUE"""),43461.64583333333)</f>
        <v>43461.64583</v>
      </c>
      <c r="B992" s="1">
        <f>IFERROR(__xludf.DUMMYFUNCTION("""COMPUTED_VALUE"""),3010.4)</f>
        <v>3010.4</v>
      </c>
      <c r="C992" s="1">
        <f>IFERROR(__xludf.DUMMYFUNCTION("""COMPUTED_VALUE"""),3075.95)</f>
        <v>3075.95</v>
      </c>
      <c r="D992" s="1">
        <f>IFERROR(__xludf.DUMMYFUNCTION("""COMPUTED_VALUE"""),2982.31)</f>
        <v>2982.31</v>
      </c>
      <c r="E992" s="1">
        <f>IFERROR(__xludf.DUMMYFUNCTION("""COMPUTED_VALUE"""),2996.35)</f>
        <v>2996.35</v>
      </c>
      <c r="F992" s="1">
        <f>IFERROR(__xludf.DUMMYFUNCTION("""COMPUTED_VALUE"""),170272.0)</f>
        <v>170272</v>
      </c>
    </row>
    <row r="993">
      <c r="A993" s="2">
        <f>IFERROR(__xludf.DUMMYFUNCTION("""COMPUTED_VALUE"""),43462.64583333333)</f>
        <v>43462.64583</v>
      </c>
      <c r="B993" s="1">
        <f>IFERROR(__xludf.DUMMYFUNCTION("""COMPUTED_VALUE"""),3005.72)</f>
        <v>3005.72</v>
      </c>
      <c r="C993" s="1">
        <f>IFERROR(__xludf.DUMMYFUNCTION("""COMPUTED_VALUE"""),3118.08)</f>
        <v>3118.08</v>
      </c>
      <c r="D993" s="1">
        <f>IFERROR(__xludf.DUMMYFUNCTION("""COMPUTED_VALUE"""),3005.72)</f>
        <v>3005.72</v>
      </c>
      <c r="E993" s="1">
        <f>IFERROR(__xludf.DUMMYFUNCTION("""COMPUTED_VALUE"""),3099.35)</f>
        <v>3099.35</v>
      </c>
      <c r="F993" s="1">
        <f>IFERROR(__xludf.DUMMYFUNCTION("""COMPUTED_VALUE"""),224614.0)</f>
        <v>224614</v>
      </c>
    </row>
    <row r="994">
      <c r="A994" s="2">
        <f>IFERROR(__xludf.DUMMYFUNCTION("""COMPUTED_VALUE"""),43467.64583333333)</f>
        <v>43467.64583</v>
      </c>
      <c r="B994" s="1">
        <f>IFERROR(__xludf.DUMMYFUNCTION("""COMPUTED_VALUE"""),3099.35)</f>
        <v>3099.35</v>
      </c>
      <c r="C994" s="1">
        <f>IFERROR(__xludf.DUMMYFUNCTION("""COMPUTED_VALUE"""),3277.26)</f>
        <v>3277.26</v>
      </c>
      <c r="D994" s="1">
        <f>IFERROR(__xludf.DUMMYFUNCTION("""COMPUTED_VALUE"""),3099.35)</f>
        <v>3099.35</v>
      </c>
      <c r="E994" s="1">
        <f>IFERROR(__xludf.DUMMYFUNCTION("""COMPUTED_VALUE"""),3183.63)</f>
        <v>3183.63</v>
      </c>
      <c r="F994" s="1">
        <f>IFERROR(__xludf.DUMMYFUNCTION("""COMPUTED_VALUE"""),430521.0)</f>
        <v>430521</v>
      </c>
    </row>
    <row r="995">
      <c r="A995" s="2">
        <f>IFERROR(__xludf.DUMMYFUNCTION("""COMPUTED_VALUE"""),43468.64583333333)</f>
        <v>43468.64583</v>
      </c>
      <c r="B995" s="1">
        <f>IFERROR(__xludf.DUMMYFUNCTION("""COMPUTED_VALUE"""),3244.49)</f>
        <v>3244.49</v>
      </c>
      <c r="C995" s="1">
        <f>IFERROR(__xludf.DUMMYFUNCTION("""COMPUTED_VALUE"""),3366.22)</f>
        <v>3366.22</v>
      </c>
      <c r="D995" s="1">
        <f>IFERROR(__xludf.DUMMYFUNCTION("""COMPUTED_VALUE"""),3146.17)</f>
        <v>3146.17</v>
      </c>
      <c r="E995" s="1">
        <f>IFERROR(__xludf.DUMMYFUNCTION("""COMPUTED_VALUE"""),3188.31)</f>
        <v>3188.31</v>
      </c>
      <c r="F995" s="1">
        <f>IFERROR(__xludf.DUMMYFUNCTION("""COMPUTED_VALUE"""),775193.0)</f>
        <v>775193</v>
      </c>
    </row>
    <row r="996">
      <c r="A996" s="2">
        <f>IFERROR(__xludf.DUMMYFUNCTION("""COMPUTED_VALUE"""),43469.64583333333)</f>
        <v>43469.64583</v>
      </c>
      <c r="B996" s="1">
        <f>IFERROR(__xludf.DUMMYFUNCTION("""COMPUTED_VALUE"""),3188.31)</f>
        <v>3188.31</v>
      </c>
      <c r="C996" s="1">
        <f>IFERROR(__xludf.DUMMYFUNCTION("""COMPUTED_VALUE"""),3314.72)</f>
        <v>3314.72</v>
      </c>
      <c r="D996" s="1">
        <f>IFERROR(__xludf.DUMMYFUNCTION("""COMPUTED_VALUE"""),3155.54)</f>
        <v>3155.54</v>
      </c>
      <c r="E996" s="1">
        <f>IFERROR(__xludf.DUMMYFUNCTION("""COMPUTED_VALUE"""),3267.9)</f>
        <v>3267.9</v>
      </c>
      <c r="F996" s="1">
        <f>IFERROR(__xludf.DUMMYFUNCTION("""COMPUTED_VALUE"""),290244.0)</f>
        <v>290244</v>
      </c>
    </row>
    <row r="997">
      <c r="A997" s="2">
        <f>IFERROR(__xludf.DUMMYFUNCTION("""COMPUTED_VALUE"""),43472.64583333333)</f>
        <v>43472.64583</v>
      </c>
      <c r="B997" s="1">
        <f>IFERROR(__xludf.DUMMYFUNCTION("""COMPUTED_VALUE"""),3370.9)</f>
        <v>3370.9</v>
      </c>
      <c r="C997" s="1">
        <f>IFERROR(__xludf.DUMMYFUNCTION("""COMPUTED_VALUE"""),3558.17)</f>
        <v>3558.17</v>
      </c>
      <c r="D997" s="1">
        <f>IFERROR(__xludf.DUMMYFUNCTION("""COMPUTED_VALUE"""),3291.31)</f>
        <v>3291.31</v>
      </c>
      <c r="E997" s="1">
        <f>IFERROR(__xludf.DUMMYFUNCTION("""COMPUTED_VALUE"""),3300.67)</f>
        <v>3300.67</v>
      </c>
      <c r="F997" s="1">
        <f>IFERROR(__xludf.DUMMYFUNCTION("""COMPUTED_VALUE"""),1114057.0)</f>
        <v>1114057</v>
      </c>
    </row>
    <row r="998">
      <c r="A998" s="2">
        <f>IFERROR(__xludf.DUMMYFUNCTION("""COMPUTED_VALUE"""),43473.64583333333)</f>
        <v>43473.64583</v>
      </c>
      <c r="B998" s="1">
        <f>IFERROR(__xludf.DUMMYFUNCTION("""COMPUTED_VALUE"""),3310.04)</f>
        <v>3310.04</v>
      </c>
      <c r="C998" s="1">
        <f>IFERROR(__xludf.DUMMYFUNCTION("""COMPUTED_VALUE"""),3338.13)</f>
        <v>3338.13</v>
      </c>
      <c r="D998" s="1">
        <f>IFERROR(__xludf.DUMMYFUNCTION("""COMPUTED_VALUE"""),3272.58)</f>
        <v>3272.58</v>
      </c>
      <c r="E998" s="1">
        <f>IFERROR(__xludf.DUMMYFUNCTION("""COMPUTED_VALUE"""),3286.63)</f>
        <v>3286.63</v>
      </c>
      <c r="F998" s="1">
        <f>IFERROR(__xludf.DUMMYFUNCTION("""COMPUTED_VALUE"""),273447.0)</f>
        <v>273447</v>
      </c>
    </row>
    <row r="999">
      <c r="A999" s="2">
        <f>IFERROR(__xludf.DUMMYFUNCTION("""COMPUTED_VALUE"""),43474.64583333333)</f>
        <v>43474.64583</v>
      </c>
      <c r="B999" s="1">
        <f>IFERROR(__xludf.DUMMYFUNCTION("""COMPUTED_VALUE"""),3305.35)</f>
        <v>3305.35</v>
      </c>
      <c r="C999" s="1">
        <f>IFERROR(__xludf.DUMMYFUNCTION("""COMPUTED_VALUE"""),3347.49)</f>
        <v>3347.49</v>
      </c>
      <c r="D999" s="1">
        <f>IFERROR(__xludf.DUMMYFUNCTION("""COMPUTED_VALUE"""),3253.85)</f>
        <v>3253.85</v>
      </c>
      <c r="E999" s="1">
        <f>IFERROR(__xludf.DUMMYFUNCTION("""COMPUTED_VALUE"""),3277.26)</f>
        <v>3277.26</v>
      </c>
      <c r="F999" s="1">
        <f>IFERROR(__xludf.DUMMYFUNCTION("""COMPUTED_VALUE"""),325812.0)</f>
        <v>325812</v>
      </c>
    </row>
    <row r="1000">
      <c r="A1000" s="2">
        <f>IFERROR(__xludf.DUMMYFUNCTION("""COMPUTED_VALUE"""),43475.64583333333)</f>
        <v>43475.64583</v>
      </c>
      <c r="B1000" s="1">
        <f>IFERROR(__xludf.DUMMYFUNCTION("""COMPUTED_VALUE"""),3324.08)</f>
        <v>3324.08</v>
      </c>
      <c r="C1000" s="1">
        <f>IFERROR(__xludf.DUMMYFUNCTION("""COMPUTED_VALUE"""),3342.81)</f>
        <v>3342.81</v>
      </c>
      <c r="D1000" s="1">
        <f>IFERROR(__xludf.DUMMYFUNCTION("""COMPUTED_VALUE"""),3253.85)</f>
        <v>3253.85</v>
      </c>
      <c r="E1000" s="1">
        <f>IFERROR(__xludf.DUMMYFUNCTION("""COMPUTED_VALUE"""),3263.22)</f>
        <v>3263.22</v>
      </c>
      <c r="F1000" s="1">
        <f>IFERROR(__xludf.DUMMYFUNCTION("""COMPUTED_VALUE"""),192556.0)</f>
        <v>192556</v>
      </c>
    </row>
    <row r="1001">
      <c r="A1001" s="2">
        <f>IFERROR(__xludf.DUMMYFUNCTION("""COMPUTED_VALUE"""),43476.64583333333)</f>
        <v>43476.64583</v>
      </c>
      <c r="B1001" s="1">
        <f>IFERROR(__xludf.DUMMYFUNCTION("""COMPUTED_VALUE"""),3281.94)</f>
        <v>3281.94</v>
      </c>
      <c r="C1001" s="1">
        <f>IFERROR(__xludf.DUMMYFUNCTION("""COMPUTED_VALUE"""),3427.08)</f>
        <v>3427.08</v>
      </c>
      <c r="D1001" s="1">
        <f>IFERROR(__xludf.DUMMYFUNCTION("""COMPUTED_VALUE"""),3207.04)</f>
        <v>3207.04</v>
      </c>
      <c r="E1001" s="1">
        <f>IFERROR(__xludf.DUMMYFUNCTION("""COMPUTED_VALUE"""),3235.13)</f>
        <v>3235.13</v>
      </c>
      <c r="F1001" s="1">
        <f>IFERROR(__xludf.DUMMYFUNCTION("""COMPUTED_VALUE"""),669905.0)</f>
        <v>669905</v>
      </c>
    </row>
    <row r="1002">
      <c r="A1002" s="2">
        <f>IFERROR(__xludf.DUMMYFUNCTION("""COMPUTED_VALUE"""),43479.64583333333)</f>
        <v>43479.64583</v>
      </c>
      <c r="B1002" s="1">
        <f>IFERROR(__xludf.DUMMYFUNCTION("""COMPUTED_VALUE"""),3235.13)</f>
        <v>3235.13</v>
      </c>
      <c r="C1002" s="1">
        <f>IFERROR(__xludf.DUMMYFUNCTION("""COMPUTED_VALUE"""),3291.31)</f>
        <v>3291.31</v>
      </c>
      <c r="D1002" s="1">
        <f>IFERROR(__xludf.DUMMYFUNCTION("""COMPUTED_VALUE"""),3183.63)</f>
        <v>3183.63</v>
      </c>
      <c r="E1002" s="1">
        <f>IFERROR(__xludf.DUMMYFUNCTION("""COMPUTED_VALUE"""),3230.44)</f>
        <v>3230.44</v>
      </c>
      <c r="F1002" s="1">
        <f>IFERROR(__xludf.DUMMYFUNCTION("""COMPUTED_VALUE"""),175959.0)</f>
        <v>175959</v>
      </c>
    </row>
    <row r="1003">
      <c r="A1003" s="2">
        <f>IFERROR(__xludf.DUMMYFUNCTION("""COMPUTED_VALUE"""),43480.64583333333)</f>
        <v>43480.64583</v>
      </c>
      <c r="B1003" s="1">
        <f>IFERROR(__xludf.DUMMYFUNCTION("""COMPUTED_VALUE"""),3272.58)</f>
        <v>3272.58</v>
      </c>
      <c r="C1003" s="1">
        <f>IFERROR(__xludf.DUMMYFUNCTION("""COMPUTED_VALUE"""),3352.17)</f>
        <v>3352.17</v>
      </c>
      <c r="D1003" s="1">
        <f>IFERROR(__xludf.DUMMYFUNCTION("""COMPUTED_VALUE"""),3239.81)</f>
        <v>3239.81</v>
      </c>
      <c r="E1003" s="1">
        <f>IFERROR(__xludf.DUMMYFUNCTION("""COMPUTED_VALUE"""),3310.04)</f>
        <v>3310.04</v>
      </c>
      <c r="F1003" s="1">
        <f>IFERROR(__xludf.DUMMYFUNCTION("""COMPUTED_VALUE"""),295589.0)</f>
        <v>295589</v>
      </c>
    </row>
    <row r="1004">
      <c r="A1004" s="2">
        <f>IFERROR(__xludf.DUMMYFUNCTION("""COMPUTED_VALUE"""),43481.64583333333)</f>
        <v>43481.64583</v>
      </c>
      <c r="B1004" s="1">
        <f>IFERROR(__xludf.DUMMYFUNCTION("""COMPUTED_VALUE"""),3408.35)</f>
        <v>3408.35</v>
      </c>
      <c r="C1004" s="1">
        <f>IFERROR(__xludf.DUMMYFUNCTION("""COMPUTED_VALUE"""),3553.49)</f>
        <v>3553.49</v>
      </c>
      <c r="D1004" s="1">
        <f>IFERROR(__xludf.DUMMYFUNCTION("""COMPUTED_VALUE"""),3356.85)</f>
        <v>3356.85</v>
      </c>
      <c r="E1004" s="1">
        <f>IFERROR(__xludf.DUMMYFUNCTION("""COMPUTED_VALUE"""),3431.76)</f>
        <v>3431.76</v>
      </c>
      <c r="F1004" s="1">
        <f>IFERROR(__xludf.DUMMYFUNCTION("""COMPUTED_VALUE"""),1625261.0)</f>
        <v>1625261</v>
      </c>
    </row>
    <row r="1005">
      <c r="A1005" s="2">
        <f>IFERROR(__xludf.DUMMYFUNCTION("""COMPUTED_VALUE"""),43482.64583333333)</f>
        <v>43482.64583</v>
      </c>
      <c r="B1005" s="1">
        <f>IFERROR(__xludf.DUMMYFUNCTION("""COMPUTED_VALUE"""),3436.44)</f>
        <v>3436.44</v>
      </c>
      <c r="C1005" s="1">
        <f>IFERROR(__xludf.DUMMYFUNCTION("""COMPUTED_VALUE"""),3511.35)</f>
        <v>3511.35</v>
      </c>
      <c r="D1005" s="1">
        <f>IFERROR(__xludf.DUMMYFUNCTION("""COMPUTED_VALUE"""),3314.72)</f>
        <v>3314.72</v>
      </c>
      <c r="E1005" s="1">
        <f>IFERROR(__xludf.DUMMYFUNCTION("""COMPUTED_VALUE"""),3487.94)</f>
        <v>3487.94</v>
      </c>
      <c r="F1005" s="1">
        <f>IFERROR(__xludf.DUMMYFUNCTION("""COMPUTED_VALUE"""),859525.0)</f>
        <v>859525</v>
      </c>
    </row>
    <row r="1006">
      <c r="A1006" s="2">
        <f>IFERROR(__xludf.DUMMYFUNCTION("""COMPUTED_VALUE"""),43483.64583333333)</f>
        <v>43483.64583</v>
      </c>
      <c r="B1006" s="1">
        <f>IFERROR(__xludf.DUMMYFUNCTION("""COMPUTED_VALUE"""),4040.4)</f>
        <v>4040.4</v>
      </c>
      <c r="C1006" s="1">
        <f>IFERROR(__xludf.DUMMYFUNCTION("""COMPUTED_VALUE"""),4073.17)</f>
        <v>4073.17</v>
      </c>
      <c r="D1006" s="1">
        <f>IFERROR(__xludf.DUMMYFUNCTION("""COMPUTED_VALUE"""),3544.13)</f>
        <v>3544.13</v>
      </c>
      <c r="E1006" s="1">
        <f>IFERROR(__xludf.DUMMYFUNCTION("""COMPUTED_VALUE"""),3576.9)</f>
        <v>3576.9</v>
      </c>
      <c r="F1006" s="1">
        <f>IFERROR(__xludf.DUMMYFUNCTION("""COMPUTED_VALUE"""),2708794.0)</f>
        <v>2708794</v>
      </c>
    </row>
    <row r="1007">
      <c r="A1007" s="2">
        <f>IFERROR(__xludf.DUMMYFUNCTION("""COMPUTED_VALUE"""),43486.64583333333)</f>
        <v>43486.64583</v>
      </c>
      <c r="B1007" s="1">
        <f>IFERROR(__xludf.DUMMYFUNCTION("""COMPUTED_VALUE"""),3614.35)</f>
        <v>3614.35</v>
      </c>
      <c r="C1007" s="1">
        <f>IFERROR(__xludf.DUMMYFUNCTION("""COMPUTED_VALUE"""),3614.35)</f>
        <v>3614.35</v>
      </c>
      <c r="D1007" s="1">
        <f>IFERROR(__xludf.DUMMYFUNCTION("""COMPUTED_VALUE"""),3492.63)</f>
        <v>3492.63</v>
      </c>
      <c r="E1007" s="1">
        <f>IFERROR(__xludf.DUMMYFUNCTION("""COMPUTED_VALUE"""),3497.31)</f>
        <v>3497.31</v>
      </c>
      <c r="F1007" s="1">
        <f>IFERROR(__xludf.DUMMYFUNCTION("""COMPUTED_VALUE"""),386224.0)</f>
        <v>386224</v>
      </c>
    </row>
    <row r="1008">
      <c r="A1008" s="2">
        <f>IFERROR(__xludf.DUMMYFUNCTION("""COMPUTED_VALUE"""),43487.64583333333)</f>
        <v>43487.64583</v>
      </c>
      <c r="B1008" s="1">
        <f>IFERROR(__xludf.DUMMYFUNCTION("""COMPUTED_VALUE"""),3530.08)</f>
        <v>3530.08</v>
      </c>
      <c r="C1008" s="1">
        <f>IFERROR(__xludf.DUMMYFUNCTION("""COMPUTED_VALUE"""),3553.49)</f>
        <v>3553.49</v>
      </c>
      <c r="D1008" s="1">
        <f>IFERROR(__xludf.DUMMYFUNCTION("""COMPUTED_VALUE"""),3417.72)</f>
        <v>3417.72</v>
      </c>
      <c r="E1008" s="1">
        <f>IFERROR(__xludf.DUMMYFUNCTION("""COMPUTED_VALUE"""),3422.4)</f>
        <v>3422.4</v>
      </c>
      <c r="F1008" s="1">
        <f>IFERROR(__xludf.DUMMYFUNCTION("""COMPUTED_VALUE"""),286028.0)</f>
        <v>286028</v>
      </c>
    </row>
    <row r="1009">
      <c r="A1009" s="2">
        <f>IFERROR(__xludf.DUMMYFUNCTION("""COMPUTED_VALUE"""),43488.64583333333)</f>
        <v>43488.64583</v>
      </c>
      <c r="B1009" s="1">
        <f>IFERROR(__xludf.DUMMYFUNCTION("""COMPUTED_VALUE"""),3436.44)</f>
        <v>3436.44</v>
      </c>
      <c r="C1009" s="1">
        <f>IFERROR(__xludf.DUMMYFUNCTION("""COMPUTED_VALUE"""),3473.9)</f>
        <v>3473.9</v>
      </c>
      <c r="D1009" s="1">
        <f>IFERROR(__xludf.DUMMYFUNCTION("""COMPUTED_VALUE"""),3389.63)</f>
        <v>3389.63</v>
      </c>
      <c r="E1009" s="1">
        <f>IFERROR(__xludf.DUMMYFUNCTION("""COMPUTED_VALUE"""),3398.99)</f>
        <v>3398.99</v>
      </c>
      <c r="F1009" s="1">
        <f>IFERROR(__xludf.DUMMYFUNCTION("""COMPUTED_VALUE"""),166550.0)</f>
        <v>166550</v>
      </c>
    </row>
    <row r="1010">
      <c r="A1010" s="2">
        <f>IFERROR(__xludf.DUMMYFUNCTION("""COMPUTED_VALUE"""),43489.64583333333)</f>
        <v>43489.64583</v>
      </c>
      <c r="B1010" s="1">
        <f>IFERROR(__xludf.DUMMYFUNCTION("""COMPUTED_VALUE"""),3398.99)</f>
        <v>3398.99</v>
      </c>
      <c r="C1010" s="1">
        <f>IFERROR(__xludf.DUMMYFUNCTION("""COMPUTED_VALUE"""),3670.53)</f>
        <v>3670.53</v>
      </c>
      <c r="D1010" s="1">
        <f>IFERROR(__xludf.DUMMYFUNCTION("""COMPUTED_VALUE"""),3375.58)</f>
        <v>3375.58</v>
      </c>
      <c r="E1010" s="1">
        <f>IFERROR(__xludf.DUMMYFUNCTION("""COMPUTED_VALUE"""),3670.53)</f>
        <v>3670.53</v>
      </c>
      <c r="F1010" s="1">
        <f>IFERROR(__xludf.DUMMYFUNCTION("""COMPUTED_VALUE"""),923420.0)</f>
        <v>923420</v>
      </c>
    </row>
    <row r="1011">
      <c r="A1011" s="2">
        <f>IFERROR(__xludf.DUMMYFUNCTION("""COMPUTED_VALUE"""),43490.64583333333)</f>
        <v>43490.64583</v>
      </c>
      <c r="B1011" s="1">
        <f>IFERROR(__xludf.DUMMYFUNCTION("""COMPUTED_VALUE"""),3651.81)</f>
        <v>3651.81</v>
      </c>
      <c r="C1011" s="1">
        <f>IFERROR(__xludf.DUMMYFUNCTION("""COMPUTED_VALUE"""),3670.53)</f>
        <v>3670.53</v>
      </c>
      <c r="D1011" s="1">
        <f>IFERROR(__xludf.DUMMYFUNCTION("""COMPUTED_VALUE"""),3539.44)</f>
        <v>3539.44</v>
      </c>
      <c r="E1011" s="1">
        <f>IFERROR(__xludf.DUMMYFUNCTION("""COMPUTED_VALUE"""),3558.17)</f>
        <v>3558.17</v>
      </c>
      <c r="F1011" s="1">
        <f>IFERROR(__xludf.DUMMYFUNCTION("""COMPUTED_VALUE"""),464600.0)</f>
        <v>464600</v>
      </c>
    </row>
    <row r="1012">
      <c r="A1012" s="2">
        <f>IFERROR(__xludf.DUMMYFUNCTION("""COMPUTED_VALUE"""),43493.64583333333)</f>
        <v>43493.64583</v>
      </c>
      <c r="B1012" s="1">
        <f>IFERROR(__xludf.DUMMYFUNCTION("""COMPUTED_VALUE"""),3562.85)</f>
        <v>3562.85</v>
      </c>
      <c r="C1012" s="1">
        <f>IFERROR(__xludf.DUMMYFUNCTION("""COMPUTED_VALUE"""),3642.44)</f>
        <v>3642.44</v>
      </c>
      <c r="D1012" s="1">
        <f>IFERROR(__xludf.DUMMYFUNCTION("""COMPUTED_VALUE"""),3511.35)</f>
        <v>3511.35</v>
      </c>
      <c r="E1012" s="1">
        <f>IFERROR(__xludf.DUMMYFUNCTION("""COMPUTED_VALUE"""),3548.81)</f>
        <v>3548.81</v>
      </c>
      <c r="F1012" s="1">
        <f>IFERROR(__xludf.DUMMYFUNCTION("""COMPUTED_VALUE"""),262414.0)</f>
        <v>262414</v>
      </c>
    </row>
    <row r="1013">
      <c r="A1013" s="2">
        <f>IFERROR(__xludf.DUMMYFUNCTION("""COMPUTED_VALUE"""),43494.64583333333)</f>
        <v>43494.64583</v>
      </c>
      <c r="B1013" s="1">
        <f>IFERROR(__xludf.DUMMYFUNCTION("""COMPUTED_VALUE"""),3576.9)</f>
        <v>3576.9</v>
      </c>
      <c r="C1013" s="1">
        <f>IFERROR(__xludf.DUMMYFUNCTION("""COMPUTED_VALUE"""),3586.26)</f>
        <v>3586.26</v>
      </c>
      <c r="D1013" s="1">
        <f>IFERROR(__xludf.DUMMYFUNCTION("""COMPUTED_VALUE"""),3478.58)</f>
        <v>3478.58</v>
      </c>
      <c r="E1013" s="1">
        <f>IFERROR(__xludf.DUMMYFUNCTION("""COMPUTED_VALUE"""),3544.13)</f>
        <v>3544.13</v>
      </c>
      <c r="F1013" s="1">
        <f>IFERROR(__xludf.DUMMYFUNCTION("""COMPUTED_VALUE"""),186025.0)</f>
        <v>186025</v>
      </c>
    </row>
    <row r="1014">
      <c r="A1014" s="2">
        <f>IFERROR(__xludf.DUMMYFUNCTION("""COMPUTED_VALUE"""),43495.64583333333)</f>
        <v>43495.64583</v>
      </c>
      <c r="B1014" s="1">
        <f>IFERROR(__xludf.DUMMYFUNCTION("""COMPUTED_VALUE"""),3567.53)</f>
        <v>3567.53</v>
      </c>
      <c r="C1014" s="1">
        <f>IFERROR(__xludf.DUMMYFUNCTION("""COMPUTED_VALUE"""),3581.58)</f>
        <v>3581.58</v>
      </c>
      <c r="D1014" s="1">
        <f>IFERROR(__xludf.DUMMYFUNCTION("""COMPUTED_VALUE"""),3501.99)</f>
        <v>3501.99</v>
      </c>
      <c r="E1014" s="1">
        <f>IFERROR(__xludf.DUMMYFUNCTION("""COMPUTED_VALUE"""),3511.35)</f>
        <v>3511.35</v>
      </c>
      <c r="F1014" s="1">
        <f>IFERROR(__xludf.DUMMYFUNCTION("""COMPUTED_VALUE"""),131157.0)</f>
        <v>131157</v>
      </c>
    </row>
    <row r="1015">
      <c r="A1015" s="2">
        <f>IFERROR(__xludf.DUMMYFUNCTION("""COMPUTED_VALUE"""),43496.64583333333)</f>
        <v>43496.64583</v>
      </c>
      <c r="B1015" s="1">
        <f>IFERROR(__xludf.DUMMYFUNCTION("""COMPUTED_VALUE"""),3576.9)</f>
        <v>3576.9</v>
      </c>
      <c r="C1015" s="1">
        <f>IFERROR(__xludf.DUMMYFUNCTION("""COMPUTED_VALUE"""),3712.67)</f>
        <v>3712.67</v>
      </c>
      <c r="D1015" s="1">
        <f>IFERROR(__xludf.DUMMYFUNCTION("""COMPUTED_VALUE"""),3506.67)</f>
        <v>3506.67</v>
      </c>
      <c r="E1015" s="1">
        <f>IFERROR(__xludf.DUMMYFUNCTION("""COMPUTED_VALUE"""),3642.44)</f>
        <v>3642.44</v>
      </c>
      <c r="F1015" s="1">
        <f>IFERROR(__xludf.DUMMYFUNCTION("""COMPUTED_VALUE"""),716044.0)</f>
        <v>716044</v>
      </c>
    </row>
    <row r="1016">
      <c r="A1016" s="2">
        <f>IFERROR(__xludf.DUMMYFUNCTION("""COMPUTED_VALUE"""),43497.64583333333)</f>
        <v>43497.64583</v>
      </c>
      <c r="B1016" s="1">
        <f>IFERROR(__xludf.DUMMYFUNCTION("""COMPUTED_VALUE"""),3623.72)</f>
        <v>3623.72</v>
      </c>
      <c r="C1016" s="1">
        <f>IFERROR(__xludf.DUMMYFUNCTION("""COMPUTED_VALUE"""),3642.44)</f>
        <v>3642.44</v>
      </c>
      <c r="D1016" s="1">
        <f>IFERROR(__xludf.DUMMYFUNCTION("""COMPUTED_VALUE"""),3572.22)</f>
        <v>3572.22</v>
      </c>
      <c r="E1016" s="1">
        <f>IFERROR(__xludf.DUMMYFUNCTION("""COMPUTED_VALUE"""),3595.63)</f>
        <v>3595.63</v>
      </c>
      <c r="F1016" s="1">
        <f>IFERROR(__xludf.DUMMYFUNCTION("""COMPUTED_VALUE"""),201144.0)</f>
        <v>201144</v>
      </c>
    </row>
    <row r="1017">
      <c r="A1017" s="2">
        <f>IFERROR(__xludf.DUMMYFUNCTION("""COMPUTED_VALUE"""),43503.64583333333)</f>
        <v>43503.64583</v>
      </c>
      <c r="B1017" s="1">
        <f>IFERROR(__xludf.DUMMYFUNCTION("""COMPUTED_VALUE"""),3619.03)</f>
        <v>3619.03</v>
      </c>
      <c r="C1017" s="1">
        <f>IFERROR(__xludf.DUMMYFUNCTION("""COMPUTED_VALUE"""),3661.17)</f>
        <v>3661.17</v>
      </c>
      <c r="D1017" s="1">
        <f>IFERROR(__xludf.DUMMYFUNCTION("""COMPUTED_VALUE"""),3530.08)</f>
        <v>3530.08</v>
      </c>
      <c r="E1017" s="1">
        <f>IFERROR(__xludf.DUMMYFUNCTION("""COMPUTED_VALUE"""),3595.63)</f>
        <v>3595.63</v>
      </c>
      <c r="F1017" s="1">
        <f>IFERROR(__xludf.DUMMYFUNCTION("""COMPUTED_VALUE"""),227867.0)</f>
        <v>227867</v>
      </c>
    </row>
    <row r="1018">
      <c r="A1018" s="2">
        <f>IFERROR(__xludf.DUMMYFUNCTION("""COMPUTED_VALUE"""),43504.64583333333)</f>
        <v>43504.64583</v>
      </c>
      <c r="B1018" s="1">
        <f>IFERROR(__xludf.DUMMYFUNCTION("""COMPUTED_VALUE"""),3614.35)</f>
        <v>3614.35</v>
      </c>
      <c r="C1018" s="1">
        <f>IFERROR(__xludf.DUMMYFUNCTION("""COMPUTED_VALUE"""),3717.35)</f>
        <v>3717.35</v>
      </c>
      <c r="D1018" s="1">
        <f>IFERROR(__xludf.DUMMYFUNCTION("""COMPUTED_VALUE"""),3595.63)</f>
        <v>3595.63</v>
      </c>
      <c r="E1018" s="1">
        <f>IFERROR(__xludf.DUMMYFUNCTION("""COMPUTED_VALUE"""),3651.81)</f>
        <v>3651.81</v>
      </c>
      <c r="F1018" s="1">
        <f>IFERROR(__xludf.DUMMYFUNCTION("""COMPUTED_VALUE"""),667937.0)</f>
        <v>667937</v>
      </c>
    </row>
    <row r="1019">
      <c r="A1019" s="2">
        <f>IFERROR(__xludf.DUMMYFUNCTION("""COMPUTED_VALUE"""),43507.64583333333)</f>
        <v>43507.64583</v>
      </c>
      <c r="B1019" s="1">
        <f>IFERROR(__xludf.DUMMYFUNCTION("""COMPUTED_VALUE"""),3679.9)</f>
        <v>3679.9</v>
      </c>
      <c r="C1019" s="1">
        <f>IFERROR(__xludf.DUMMYFUNCTION("""COMPUTED_VALUE"""),3848.44)</f>
        <v>3848.44</v>
      </c>
      <c r="D1019" s="1">
        <f>IFERROR(__xludf.DUMMYFUNCTION("""COMPUTED_VALUE"""),3651.81)</f>
        <v>3651.81</v>
      </c>
      <c r="E1019" s="1">
        <f>IFERROR(__xludf.DUMMYFUNCTION("""COMPUTED_VALUE"""),3792.26)</f>
        <v>3792.26</v>
      </c>
      <c r="F1019" s="1">
        <f>IFERROR(__xludf.DUMMYFUNCTION("""COMPUTED_VALUE"""),1409032.0)</f>
        <v>1409032</v>
      </c>
    </row>
    <row r="1020">
      <c r="A1020" s="2">
        <f>IFERROR(__xludf.DUMMYFUNCTION("""COMPUTED_VALUE"""),43508.64583333333)</f>
        <v>43508.64583</v>
      </c>
      <c r="B1020" s="1">
        <f>IFERROR(__xludf.DUMMYFUNCTION("""COMPUTED_VALUE"""),3810.99)</f>
        <v>3810.99</v>
      </c>
      <c r="C1020" s="1">
        <f>IFERROR(__xludf.DUMMYFUNCTION("""COMPUTED_VALUE"""),3825.03)</f>
        <v>3825.03</v>
      </c>
      <c r="D1020" s="1">
        <f>IFERROR(__xludf.DUMMYFUNCTION("""COMPUTED_VALUE"""),3693.94)</f>
        <v>3693.94</v>
      </c>
      <c r="E1020" s="1">
        <f>IFERROR(__xludf.DUMMYFUNCTION("""COMPUTED_VALUE"""),3764.17)</f>
        <v>3764.17</v>
      </c>
      <c r="F1020" s="1">
        <f>IFERROR(__xludf.DUMMYFUNCTION("""COMPUTED_VALUE"""),533665.0)</f>
        <v>533665</v>
      </c>
    </row>
    <row r="1021">
      <c r="A1021" s="2">
        <f>IFERROR(__xludf.DUMMYFUNCTION("""COMPUTED_VALUE"""),43509.64583333333)</f>
        <v>43509.64583</v>
      </c>
      <c r="B1021" s="1">
        <f>IFERROR(__xludf.DUMMYFUNCTION("""COMPUTED_VALUE"""),3778.22)</f>
        <v>3778.22</v>
      </c>
      <c r="C1021" s="1">
        <f>IFERROR(__xludf.DUMMYFUNCTION("""COMPUTED_VALUE"""),3979.53)</f>
        <v>3979.53</v>
      </c>
      <c r="D1021" s="1">
        <f>IFERROR(__xludf.DUMMYFUNCTION("""COMPUTED_VALUE"""),3764.17)</f>
        <v>3764.17</v>
      </c>
      <c r="E1021" s="1">
        <f>IFERROR(__xludf.DUMMYFUNCTION("""COMPUTED_VALUE"""),3904.62)</f>
        <v>3904.62</v>
      </c>
      <c r="F1021" s="1">
        <f>IFERROR(__xludf.DUMMYFUNCTION("""COMPUTED_VALUE"""),1135068.0)</f>
        <v>1135068</v>
      </c>
    </row>
    <row r="1022">
      <c r="A1022" s="2">
        <f>IFERROR(__xludf.DUMMYFUNCTION("""COMPUTED_VALUE"""),43510.64583333333)</f>
        <v>43510.64583</v>
      </c>
      <c r="B1022" s="1">
        <f>IFERROR(__xludf.DUMMYFUNCTION("""COMPUTED_VALUE"""),3951.44)</f>
        <v>3951.44</v>
      </c>
      <c r="C1022" s="1">
        <f>IFERROR(__xludf.DUMMYFUNCTION("""COMPUTED_VALUE"""),3979.53)</f>
        <v>3979.53</v>
      </c>
      <c r="D1022" s="1">
        <f>IFERROR(__xludf.DUMMYFUNCTION("""COMPUTED_VALUE"""),3815.67)</f>
        <v>3815.67</v>
      </c>
      <c r="E1022" s="1">
        <f>IFERROR(__xludf.DUMMYFUNCTION("""COMPUTED_VALUE"""),3829.72)</f>
        <v>3829.72</v>
      </c>
      <c r="F1022" s="1">
        <f>IFERROR(__xludf.DUMMYFUNCTION("""COMPUTED_VALUE"""),521118.0)</f>
        <v>521118</v>
      </c>
    </row>
    <row r="1023">
      <c r="A1023" s="2">
        <f>IFERROR(__xludf.DUMMYFUNCTION("""COMPUTED_VALUE"""),43511.64583333333)</f>
        <v>43511.64583</v>
      </c>
      <c r="B1023" s="1">
        <f>IFERROR(__xludf.DUMMYFUNCTION("""COMPUTED_VALUE"""),3857.81)</f>
        <v>3857.81</v>
      </c>
      <c r="C1023" s="1">
        <f>IFERROR(__xludf.DUMMYFUNCTION("""COMPUTED_VALUE"""),3857.81)</f>
        <v>3857.81</v>
      </c>
      <c r="D1023" s="1">
        <f>IFERROR(__xludf.DUMMYFUNCTION("""COMPUTED_VALUE"""),3661.17)</f>
        <v>3661.17</v>
      </c>
      <c r="E1023" s="1">
        <f>IFERROR(__xludf.DUMMYFUNCTION("""COMPUTED_VALUE"""),3693.94)</f>
        <v>3693.94</v>
      </c>
      <c r="F1023" s="1">
        <f>IFERROR(__xludf.DUMMYFUNCTION("""COMPUTED_VALUE"""),405589.0)</f>
        <v>405589</v>
      </c>
    </row>
    <row r="1024">
      <c r="A1024" s="2">
        <f>IFERROR(__xludf.DUMMYFUNCTION("""COMPUTED_VALUE"""),43514.64583333333)</f>
        <v>43514.64583</v>
      </c>
      <c r="B1024" s="1">
        <f>IFERROR(__xludf.DUMMYFUNCTION("""COMPUTED_VALUE"""),3745.44)</f>
        <v>3745.44</v>
      </c>
      <c r="C1024" s="1">
        <f>IFERROR(__xludf.DUMMYFUNCTION("""COMPUTED_VALUE"""),3778.22)</f>
        <v>3778.22</v>
      </c>
      <c r="D1024" s="1">
        <f>IFERROR(__xludf.DUMMYFUNCTION("""COMPUTED_VALUE"""),3698.63)</f>
        <v>3698.63</v>
      </c>
      <c r="E1024" s="1">
        <f>IFERROR(__xludf.DUMMYFUNCTION("""COMPUTED_VALUE"""),3759.49)</f>
        <v>3759.49</v>
      </c>
      <c r="F1024" s="1">
        <f>IFERROR(__xludf.DUMMYFUNCTION("""COMPUTED_VALUE"""),157096.0)</f>
        <v>157096</v>
      </c>
    </row>
    <row r="1025">
      <c r="A1025" s="2">
        <f>IFERROR(__xludf.DUMMYFUNCTION("""COMPUTED_VALUE"""),43515.64583333333)</f>
        <v>43515.64583</v>
      </c>
      <c r="B1025" s="1">
        <f>IFERROR(__xludf.DUMMYFUNCTION("""COMPUTED_VALUE"""),3768.85)</f>
        <v>3768.85</v>
      </c>
      <c r="C1025" s="1">
        <f>IFERROR(__xludf.DUMMYFUNCTION("""COMPUTED_VALUE"""),3810.99)</f>
        <v>3810.99</v>
      </c>
      <c r="D1025" s="1">
        <f>IFERROR(__xludf.DUMMYFUNCTION("""COMPUTED_VALUE"""),3722.03)</f>
        <v>3722.03</v>
      </c>
      <c r="E1025" s="1">
        <f>IFERROR(__xludf.DUMMYFUNCTION("""COMPUTED_VALUE"""),3726.72)</f>
        <v>3726.72</v>
      </c>
      <c r="F1025" s="1">
        <f>IFERROR(__xludf.DUMMYFUNCTION("""COMPUTED_VALUE"""),170847.0)</f>
        <v>170847</v>
      </c>
    </row>
    <row r="1026">
      <c r="A1026" s="2">
        <f>IFERROR(__xludf.DUMMYFUNCTION("""COMPUTED_VALUE"""),43516.64583333333)</f>
        <v>43516.64583</v>
      </c>
      <c r="B1026" s="1">
        <f>IFERROR(__xludf.DUMMYFUNCTION("""COMPUTED_VALUE"""),3759.49)</f>
        <v>3759.49</v>
      </c>
      <c r="C1026" s="1">
        <f>IFERROR(__xludf.DUMMYFUNCTION("""COMPUTED_VALUE"""),4344.71)</f>
        <v>4344.71</v>
      </c>
      <c r="D1026" s="1">
        <f>IFERROR(__xludf.DUMMYFUNCTION("""COMPUTED_VALUE"""),3731.4)</f>
        <v>3731.4</v>
      </c>
      <c r="E1026" s="1">
        <f>IFERROR(__xludf.DUMMYFUNCTION("""COMPUTED_VALUE"""),4016.99)</f>
        <v>4016.99</v>
      </c>
      <c r="F1026" s="1">
        <f>IFERROR(__xludf.DUMMYFUNCTION("""COMPUTED_VALUE"""),9353740.0)</f>
        <v>9353740</v>
      </c>
    </row>
    <row r="1027">
      <c r="A1027" s="2">
        <f>IFERROR(__xludf.DUMMYFUNCTION("""COMPUTED_VALUE"""),43517.64583333333)</f>
        <v>43517.64583</v>
      </c>
      <c r="B1027" s="1">
        <f>IFERROR(__xludf.DUMMYFUNCTION("""COMPUTED_VALUE"""),3942.08)</f>
        <v>3942.08</v>
      </c>
      <c r="C1027" s="1">
        <f>IFERROR(__xludf.DUMMYFUNCTION("""COMPUTED_VALUE"""),5206.17)</f>
        <v>5206.17</v>
      </c>
      <c r="D1027" s="1">
        <f>IFERROR(__xludf.DUMMYFUNCTION("""COMPUTED_VALUE"""),3942.08)</f>
        <v>3942.08</v>
      </c>
      <c r="E1027" s="1">
        <f>IFERROR(__xludf.DUMMYFUNCTION("""COMPUTED_VALUE"""),5018.89)</f>
        <v>5018.89</v>
      </c>
      <c r="F1027" s="1">
        <f>IFERROR(__xludf.DUMMYFUNCTION("""COMPUTED_VALUE"""),1.7372163E7)</f>
        <v>17372163</v>
      </c>
    </row>
    <row r="1028">
      <c r="A1028" s="2">
        <f>IFERROR(__xludf.DUMMYFUNCTION("""COMPUTED_VALUE"""),43518.64583333333)</f>
        <v>43518.64583</v>
      </c>
      <c r="B1028" s="1">
        <f>IFERROR(__xludf.DUMMYFUNCTION("""COMPUTED_VALUE"""),4990.8)</f>
        <v>4990.8</v>
      </c>
      <c r="C1028" s="1">
        <f>IFERROR(__xludf.DUMMYFUNCTION("""COMPUTED_VALUE"""),5037.62)</f>
        <v>5037.62</v>
      </c>
      <c r="D1028" s="1">
        <f>IFERROR(__xludf.DUMMYFUNCTION("""COMPUTED_VALUE"""),4569.44)</f>
        <v>4569.44</v>
      </c>
      <c r="E1028" s="1">
        <f>IFERROR(__xludf.DUMMYFUNCTION("""COMPUTED_VALUE"""),4578.8)</f>
        <v>4578.8</v>
      </c>
      <c r="F1028" s="1">
        <f>IFERROR(__xludf.DUMMYFUNCTION("""COMPUTED_VALUE"""),3495291.0)</f>
        <v>3495291</v>
      </c>
    </row>
    <row r="1029">
      <c r="A1029" s="2">
        <f>IFERROR(__xludf.DUMMYFUNCTION("""COMPUTED_VALUE"""),43521.64583333333)</f>
        <v>43521.64583</v>
      </c>
      <c r="B1029" s="1">
        <f>IFERROR(__xludf.DUMMYFUNCTION("""COMPUTED_VALUE"""),4588.17)</f>
        <v>4588.17</v>
      </c>
      <c r="C1029" s="1">
        <f>IFERROR(__xludf.DUMMYFUNCTION("""COMPUTED_VALUE"""),4728.62)</f>
        <v>4728.62</v>
      </c>
      <c r="D1029" s="1">
        <f>IFERROR(__xludf.DUMMYFUNCTION("""COMPUTED_VALUE"""),4480.49)</f>
        <v>4480.49</v>
      </c>
      <c r="E1029" s="1">
        <f>IFERROR(__xludf.DUMMYFUNCTION("""COMPUTED_VALUE"""),4681.8)</f>
        <v>4681.8</v>
      </c>
      <c r="F1029" s="1">
        <f>IFERROR(__xludf.DUMMYFUNCTION("""COMPUTED_VALUE"""),1562249.0)</f>
        <v>1562249</v>
      </c>
    </row>
    <row r="1030">
      <c r="A1030" s="2">
        <f>IFERROR(__xludf.DUMMYFUNCTION("""COMPUTED_VALUE"""),43522.64583333333)</f>
        <v>43522.64583</v>
      </c>
      <c r="B1030" s="1">
        <f>IFERROR(__xludf.DUMMYFUNCTION("""COMPUTED_VALUE"""),4756.71)</f>
        <v>4756.71</v>
      </c>
      <c r="C1030" s="1">
        <f>IFERROR(__xludf.DUMMYFUNCTION("""COMPUTED_VALUE"""),4981.44)</f>
        <v>4981.44</v>
      </c>
      <c r="D1030" s="1">
        <f>IFERROR(__xludf.DUMMYFUNCTION("""COMPUTED_VALUE"""),4471.12)</f>
        <v>4471.12</v>
      </c>
      <c r="E1030" s="1">
        <f>IFERROR(__xludf.DUMMYFUNCTION("""COMPUTED_VALUE"""),4471.12)</f>
        <v>4471.12</v>
      </c>
      <c r="F1030" s="1">
        <f>IFERROR(__xludf.DUMMYFUNCTION("""COMPUTED_VALUE"""),5655707.0)</f>
        <v>5655707</v>
      </c>
    </row>
    <row r="1031">
      <c r="A1031" s="2">
        <f>IFERROR(__xludf.DUMMYFUNCTION("""COMPUTED_VALUE"""),43523.64583333333)</f>
        <v>43523.64583</v>
      </c>
      <c r="B1031" s="1">
        <f>IFERROR(__xludf.DUMMYFUNCTION("""COMPUTED_VALUE"""),4471.12)</f>
        <v>4471.12</v>
      </c>
      <c r="C1031" s="1">
        <f>IFERROR(__xludf.DUMMYFUNCTION("""COMPUTED_VALUE"""),4536.67)</f>
        <v>4536.67</v>
      </c>
      <c r="D1031" s="1">
        <f>IFERROR(__xludf.DUMMYFUNCTION("""COMPUTED_VALUE"""),4382.17)</f>
        <v>4382.17</v>
      </c>
      <c r="E1031" s="1">
        <f>IFERROR(__xludf.DUMMYFUNCTION("""COMPUTED_VALUE"""),4457.08)</f>
        <v>4457.08</v>
      </c>
      <c r="F1031" s="1">
        <f>IFERROR(__xludf.DUMMYFUNCTION("""COMPUTED_VALUE"""),770345.0)</f>
        <v>770345</v>
      </c>
    </row>
    <row r="1032">
      <c r="A1032" s="2">
        <f>IFERROR(__xludf.DUMMYFUNCTION("""COMPUTED_VALUE"""),43524.64583333333)</f>
        <v>43524.64583</v>
      </c>
      <c r="B1032" s="1">
        <f>IFERROR(__xludf.DUMMYFUNCTION("""COMPUTED_VALUE"""),4494.53)</f>
        <v>4494.53</v>
      </c>
      <c r="C1032" s="1">
        <f>IFERROR(__xludf.DUMMYFUNCTION("""COMPUTED_VALUE"""),4531.99)</f>
        <v>4531.99</v>
      </c>
      <c r="D1032" s="1">
        <f>IFERROR(__xludf.DUMMYFUNCTION("""COMPUTED_VALUE"""),4194.9)</f>
        <v>4194.9</v>
      </c>
      <c r="E1032" s="1">
        <f>IFERROR(__xludf.DUMMYFUNCTION("""COMPUTED_VALUE"""),4213.62)</f>
        <v>4213.62</v>
      </c>
      <c r="F1032" s="1">
        <f>IFERROR(__xludf.DUMMYFUNCTION("""COMPUTED_VALUE"""),920833.0)</f>
        <v>920833</v>
      </c>
    </row>
    <row r="1033">
      <c r="A1033" s="2">
        <f>IFERROR(__xludf.DUMMYFUNCTION("""COMPUTED_VALUE"""),43528.64583333333)</f>
        <v>43528.64583</v>
      </c>
      <c r="B1033" s="1">
        <f>IFERROR(__xludf.DUMMYFUNCTION("""COMPUTED_VALUE"""),4307.26)</f>
        <v>4307.26</v>
      </c>
      <c r="C1033" s="1">
        <f>IFERROR(__xludf.DUMMYFUNCTION("""COMPUTED_VALUE"""),4457.08)</f>
        <v>4457.08</v>
      </c>
      <c r="D1033" s="1">
        <f>IFERROR(__xludf.DUMMYFUNCTION("""COMPUTED_VALUE"""),4307.26)</f>
        <v>4307.26</v>
      </c>
      <c r="E1033" s="1">
        <f>IFERROR(__xludf.DUMMYFUNCTION("""COMPUTED_VALUE"""),4443.03)</f>
        <v>4443.03</v>
      </c>
      <c r="F1033" s="1">
        <f>IFERROR(__xludf.DUMMYFUNCTION("""COMPUTED_VALUE"""),548673.0)</f>
        <v>548673</v>
      </c>
    </row>
    <row r="1034">
      <c r="A1034" s="2">
        <f>IFERROR(__xludf.DUMMYFUNCTION("""COMPUTED_VALUE"""),43529.64583333333)</f>
        <v>43529.64583</v>
      </c>
      <c r="B1034" s="1">
        <f>IFERROR(__xludf.DUMMYFUNCTION("""COMPUTED_VALUE"""),4405.58)</f>
        <v>4405.58</v>
      </c>
      <c r="C1034" s="1">
        <f>IFERROR(__xludf.DUMMYFUNCTION("""COMPUTED_VALUE"""),4443.03)</f>
        <v>4443.03</v>
      </c>
      <c r="D1034" s="1">
        <f>IFERROR(__xludf.DUMMYFUNCTION("""COMPUTED_VALUE"""),4269.81)</f>
        <v>4269.81</v>
      </c>
      <c r="E1034" s="1">
        <f>IFERROR(__xludf.DUMMYFUNCTION("""COMPUTED_VALUE"""),4433.67)</f>
        <v>4433.67</v>
      </c>
      <c r="F1034" s="1">
        <f>IFERROR(__xludf.DUMMYFUNCTION("""COMPUTED_VALUE"""),514360.0)</f>
        <v>514360</v>
      </c>
    </row>
    <row r="1035">
      <c r="A1035" s="2">
        <f>IFERROR(__xludf.DUMMYFUNCTION("""COMPUTED_VALUE"""),43530.64583333333)</f>
        <v>43530.64583</v>
      </c>
      <c r="B1035" s="1">
        <f>IFERROR(__xludf.DUMMYFUNCTION("""COMPUTED_VALUE"""),4443.03)</f>
        <v>4443.03</v>
      </c>
      <c r="C1035" s="1">
        <f>IFERROR(__xludf.DUMMYFUNCTION("""COMPUTED_VALUE"""),4653.71)</f>
        <v>4653.71</v>
      </c>
      <c r="D1035" s="1">
        <f>IFERROR(__xludf.DUMMYFUNCTION("""COMPUTED_VALUE"""),4443.03)</f>
        <v>4443.03</v>
      </c>
      <c r="E1035" s="1">
        <f>IFERROR(__xludf.DUMMYFUNCTION("""COMPUTED_VALUE"""),4475.8)</f>
        <v>4475.8</v>
      </c>
      <c r="F1035" s="1">
        <f>IFERROR(__xludf.DUMMYFUNCTION("""COMPUTED_VALUE"""),2156059.0)</f>
        <v>2156059</v>
      </c>
    </row>
    <row r="1036">
      <c r="A1036" s="2">
        <f>IFERROR(__xludf.DUMMYFUNCTION("""COMPUTED_VALUE"""),43531.64583333333)</f>
        <v>43531.64583</v>
      </c>
      <c r="B1036" s="1">
        <f>IFERROR(__xludf.DUMMYFUNCTION("""COMPUTED_VALUE"""),4471.12)</f>
        <v>4471.12</v>
      </c>
      <c r="C1036" s="1">
        <f>IFERROR(__xludf.DUMMYFUNCTION("""COMPUTED_VALUE"""),4611.58)</f>
        <v>4611.58</v>
      </c>
      <c r="D1036" s="1">
        <f>IFERROR(__xludf.DUMMYFUNCTION("""COMPUTED_VALUE"""),4288.53)</f>
        <v>4288.53</v>
      </c>
      <c r="E1036" s="1">
        <f>IFERROR(__xludf.DUMMYFUNCTION("""COMPUTED_VALUE"""),4340.03)</f>
        <v>4340.03</v>
      </c>
      <c r="F1036" s="1">
        <f>IFERROR(__xludf.DUMMYFUNCTION("""COMPUTED_VALUE"""),580267.0)</f>
        <v>580267</v>
      </c>
    </row>
    <row r="1037">
      <c r="A1037" s="2">
        <f>IFERROR(__xludf.DUMMYFUNCTION("""COMPUTED_VALUE"""),43532.64583333333)</f>
        <v>43532.64583</v>
      </c>
      <c r="B1037" s="1">
        <f>IFERROR(__xludf.DUMMYFUNCTION("""COMPUTED_VALUE"""),4358.76)</f>
        <v>4358.76</v>
      </c>
      <c r="C1037" s="1">
        <f>IFERROR(__xludf.DUMMYFUNCTION("""COMPUTED_VALUE"""),4452.4)</f>
        <v>4452.4</v>
      </c>
      <c r="D1037" s="1">
        <f>IFERROR(__xludf.DUMMYFUNCTION("""COMPUTED_VALUE"""),4269.81)</f>
        <v>4269.81</v>
      </c>
      <c r="E1037" s="1">
        <f>IFERROR(__xludf.DUMMYFUNCTION("""COMPUTED_VALUE"""),4288.53)</f>
        <v>4288.53</v>
      </c>
      <c r="F1037" s="1">
        <f>IFERROR(__xludf.DUMMYFUNCTION("""COMPUTED_VALUE"""),510131.0)</f>
        <v>510131</v>
      </c>
    </row>
    <row r="1038">
      <c r="A1038" s="2">
        <f>IFERROR(__xludf.DUMMYFUNCTION("""COMPUTED_VALUE"""),43535.64583333333)</f>
        <v>43535.64583</v>
      </c>
      <c r="B1038" s="1">
        <f>IFERROR(__xludf.DUMMYFUNCTION("""COMPUTED_VALUE"""),4297.9)</f>
        <v>4297.9</v>
      </c>
      <c r="C1038" s="1">
        <f>IFERROR(__xludf.DUMMYFUNCTION("""COMPUTED_VALUE"""),4424.31)</f>
        <v>4424.31</v>
      </c>
      <c r="D1038" s="1">
        <f>IFERROR(__xludf.DUMMYFUNCTION("""COMPUTED_VALUE"""),4227.67)</f>
        <v>4227.67</v>
      </c>
      <c r="E1038" s="1">
        <f>IFERROR(__xludf.DUMMYFUNCTION("""COMPUTED_VALUE"""),4269.81)</f>
        <v>4269.81</v>
      </c>
      <c r="F1038" s="1">
        <f>IFERROR(__xludf.DUMMYFUNCTION("""COMPUTED_VALUE"""),343629.0)</f>
        <v>343629</v>
      </c>
    </row>
    <row r="1039">
      <c r="A1039" s="2">
        <f>IFERROR(__xludf.DUMMYFUNCTION("""COMPUTED_VALUE"""),43536.64583333333)</f>
        <v>43536.64583</v>
      </c>
      <c r="B1039" s="1">
        <f>IFERROR(__xludf.DUMMYFUNCTION("""COMPUTED_VALUE"""),4293.21)</f>
        <v>4293.21</v>
      </c>
      <c r="C1039" s="1">
        <f>IFERROR(__xludf.DUMMYFUNCTION("""COMPUTED_VALUE"""),4447.71)</f>
        <v>4447.71</v>
      </c>
      <c r="D1039" s="1">
        <f>IFERROR(__xludf.DUMMYFUNCTION("""COMPUTED_VALUE"""),4274.49)</f>
        <v>4274.49</v>
      </c>
      <c r="E1039" s="1">
        <f>IFERROR(__xludf.DUMMYFUNCTION("""COMPUTED_VALUE"""),4344.71)</f>
        <v>4344.71</v>
      </c>
      <c r="F1039" s="1">
        <f>IFERROR(__xludf.DUMMYFUNCTION("""COMPUTED_VALUE"""),504655.0)</f>
        <v>504655</v>
      </c>
    </row>
    <row r="1040">
      <c r="A1040" s="2">
        <f>IFERROR(__xludf.DUMMYFUNCTION("""COMPUTED_VALUE"""),43537.64583333333)</f>
        <v>43537.64583</v>
      </c>
      <c r="B1040" s="1">
        <f>IFERROR(__xludf.DUMMYFUNCTION("""COMPUTED_VALUE"""),4335.35)</f>
        <v>4335.35</v>
      </c>
      <c r="C1040" s="1">
        <f>IFERROR(__xludf.DUMMYFUNCTION("""COMPUTED_VALUE"""),4396.21)</f>
        <v>4396.21</v>
      </c>
      <c r="D1040" s="1">
        <f>IFERROR(__xludf.DUMMYFUNCTION("""COMPUTED_VALUE"""),4232.35)</f>
        <v>4232.35</v>
      </c>
      <c r="E1040" s="1">
        <f>IFERROR(__xludf.DUMMYFUNCTION("""COMPUTED_VALUE"""),4307.26)</f>
        <v>4307.26</v>
      </c>
      <c r="F1040" s="1">
        <f>IFERROR(__xludf.DUMMYFUNCTION("""COMPUTED_VALUE"""),456560.0)</f>
        <v>456560</v>
      </c>
    </row>
    <row r="1041">
      <c r="A1041" s="2">
        <f>IFERROR(__xludf.DUMMYFUNCTION("""COMPUTED_VALUE"""),43538.64583333333)</f>
        <v>43538.64583</v>
      </c>
      <c r="B1041" s="1">
        <f>IFERROR(__xludf.DUMMYFUNCTION("""COMPUTED_VALUE"""),4344.71)</f>
        <v>4344.71</v>
      </c>
      <c r="C1041" s="1">
        <f>IFERROR(__xludf.DUMMYFUNCTION("""COMPUTED_VALUE"""),4428.99)</f>
        <v>4428.99</v>
      </c>
      <c r="D1041" s="1">
        <f>IFERROR(__xludf.DUMMYFUNCTION("""COMPUTED_VALUE"""),4311.94)</f>
        <v>4311.94</v>
      </c>
      <c r="E1041" s="1">
        <f>IFERROR(__xludf.DUMMYFUNCTION("""COMPUTED_VALUE"""),4372.81)</f>
        <v>4372.81</v>
      </c>
      <c r="F1041" s="1">
        <f>IFERROR(__xludf.DUMMYFUNCTION("""COMPUTED_VALUE"""),524398.0)</f>
        <v>524398</v>
      </c>
    </row>
    <row r="1042">
      <c r="A1042" s="2">
        <f>IFERROR(__xludf.DUMMYFUNCTION("""COMPUTED_VALUE"""),43539.64583333333)</f>
        <v>43539.64583</v>
      </c>
      <c r="B1042" s="1">
        <f>IFERROR(__xludf.DUMMYFUNCTION("""COMPUTED_VALUE"""),4382.17)</f>
        <v>4382.17</v>
      </c>
      <c r="C1042" s="1">
        <f>IFERROR(__xludf.DUMMYFUNCTION("""COMPUTED_VALUE"""),4564.76)</f>
        <v>4564.76</v>
      </c>
      <c r="D1042" s="1">
        <f>IFERROR(__xludf.DUMMYFUNCTION("""COMPUTED_VALUE"""),4377.49)</f>
        <v>4377.49</v>
      </c>
      <c r="E1042" s="1">
        <f>IFERROR(__xludf.DUMMYFUNCTION("""COMPUTED_VALUE"""),4391.53)</f>
        <v>4391.53</v>
      </c>
      <c r="F1042" s="1">
        <f>IFERROR(__xludf.DUMMYFUNCTION("""COMPUTED_VALUE"""),1994042.0)</f>
        <v>1994042</v>
      </c>
    </row>
    <row r="1043">
      <c r="A1043" s="2">
        <f>IFERROR(__xludf.DUMMYFUNCTION("""COMPUTED_VALUE"""),43542.64583333333)</f>
        <v>43542.64583</v>
      </c>
      <c r="B1043" s="1">
        <f>IFERROR(__xludf.DUMMYFUNCTION("""COMPUTED_VALUE"""),4447.71)</f>
        <v>4447.71</v>
      </c>
      <c r="C1043" s="1">
        <f>IFERROR(__xludf.DUMMYFUNCTION("""COMPUTED_VALUE"""),4677.12)</f>
        <v>4677.12</v>
      </c>
      <c r="D1043" s="1">
        <f>IFERROR(__xludf.DUMMYFUNCTION("""COMPUTED_VALUE"""),4349.4)</f>
        <v>4349.4</v>
      </c>
      <c r="E1043" s="1">
        <f>IFERROR(__xludf.DUMMYFUNCTION("""COMPUTED_VALUE"""),4667.76)</f>
        <v>4667.76</v>
      </c>
      <c r="F1043" s="1">
        <f>IFERROR(__xludf.DUMMYFUNCTION("""COMPUTED_VALUE"""),2891735.0)</f>
        <v>2891735</v>
      </c>
    </row>
    <row r="1044">
      <c r="A1044" s="2">
        <f>IFERROR(__xludf.DUMMYFUNCTION("""COMPUTED_VALUE"""),43543.64583333333)</f>
        <v>43543.64583</v>
      </c>
      <c r="B1044" s="1">
        <f>IFERROR(__xludf.DUMMYFUNCTION("""COMPUTED_VALUE"""),4592.85)</f>
        <v>4592.85</v>
      </c>
      <c r="C1044" s="1">
        <f>IFERROR(__xludf.DUMMYFUNCTION("""COMPUTED_VALUE"""),4630.3)</f>
        <v>4630.3</v>
      </c>
      <c r="D1044" s="1">
        <f>IFERROR(__xludf.DUMMYFUNCTION("""COMPUTED_VALUE"""),4522.62)</f>
        <v>4522.62</v>
      </c>
      <c r="E1044" s="1">
        <f>IFERROR(__xludf.DUMMYFUNCTION("""COMPUTED_VALUE"""),4522.62)</f>
        <v>4522.62</v>
      </c>
      <c r="F1044" s="1">
        <f>IFERROR(__xludf.DUMMYFUNCTION("""COMPUTED_VALUE"""),1239118.0)</f>
        <v>1239118</v>
      </c>
    </row>
    <row r="1045">
      <c r="A1045" s="2">
        <f>IFERROR(__xludf.DUMMYFUNCTION("""COMPUTED_VALUE"""),43544.64583333333)</f>
        <v>43544.64583</v>
      </c>
      <c r="B1045" s="1">
        <f>IFERROR(__xludf.DUMMYFUNCTION("""COMPUTED_VALUE"""),4541.35)</f>
        <v>4541.35</v>
      </c>
      <c r="C1045" s="1">
        <f>IFERROR(__xludf.DUMMYFUNCTION("""COMPUTED_VALUE"""),4583.49)</f>
        <v>4583.49</v>
      </c>
      <c r="D1045" s="1">
        <f>IFERROR(__xludf.DUMMYFUNCTION("""COMPUTED_VALUE"""),4349.4)</f>
        <v>4349.4</v>
      </c>
      <c r="E1045" s="1">
        <f>IFERROR(__xludf.DUMMYFUNCTION("""COMPUTED_VALUE"""),4368.12)</f>
        <v>4368.12</v>
      </c>
      <c r="F1045" s="1">
        <f>IFERROR(__xludf.DUMMYFUNCTION("""COMPUTED_VALUE"""),898680.0)</f>
        <v>898680</v>
      </c>
    </row>
    <row r="1046">
      <c r="A1046" s="2">
        <f>IFERROR(__xludf.DUMMYFUNCTION("""COMPUTED_VALUE"""),43545.64583333333)</f>
        <v>43545.64583</v>
      </c>
      <c r="B1046" s="1">
        <f>IFERROR(__xludf.DUMMYFUNCTION("""COMPUTED_VALUE"""),4438.35)</f>
        <v>4438.35</v>
      </c>
      <c r="C1046" s="1">
        <f>IFERROR(__xludf.DUMMYFUNCTION("""COMPUTED_VALUE"""),4578.8)</f>
        <v>4578.8</v>
      </c>
      <c r="D1046" s="1">
        <f>IFERROR(__xludf.DUMMYFUNCTION("""COMPUTED_VALUE"""),4428.99)</f>
        <v>4428.99</v>
      </c>
      <c r="E1046" s="1">
        <f>IFERROR(__xludf.DUMMYFUNCTION("""COMPUTED_VALUE"""),4466.44)</f>
        <v>4466.44</v>
      </c>
      <c r="F1046" s="1">
        <f>IFERROR(__xludf.DUMMYFUNCTION("""COMPUTED_VALUE"""),1402554.0)</f>
        <v>1402554</v>
      </c>
    </row>
    <row r="1047">
      <c r="A1047" s="2">
        <f>IFERROR(__xludf.DUMMYFUNCTION("""COMPUTED_VALUE"""),43546.64583333333)</f>
        <v>43546.64583</v>
      </c>
      <c r="B1047" s="1">
        <f>IFERROR(__xludf.DUMMYFUNCTION("""COMPUTED_VALUE"""),4466.44)</f>
        <v>4466.44</v>
      </c>
      <c r="C1047" s="1">
        <f>IFERROR(__xludf.DUMMYFUNCTION("""COMPUTED_VALUE"""),4503.9)</f>
        <v>4503.9</v>
      </c>
      <c r="D1047" s="1">
        <f>IFERROR(__xludf.DUMMYFUNCTION("""COMPUTED_VALUE"""),4279.17)</f>
        <v>4279.17</v>
      </c>
      <c r="E1047" s="1">
        <f>IFERROR(__xludf.DUMMYFUNCTION("""COMPUTED_VALUE"""),4279.17)</f>
        <v>4279.17</v>
      </c>
      <c r="F1047" s="1">
        <f>IFERROR(__xludf.DUMMYFUNCTION("""COMPUTED_VALUE"""),563816.0)</f>
        <v>563816</v>
      </c>
    </row>
    <row r="1048">
      <c r="A1048" s="2">
        <f>IFERROR(__xludf.DUMMYFUNCTION("""COMPUTED_VALUE"""),43549.64583333333)</f>
        <v>43549.64583</v>
      </c>
      <c r="B1048" s="1">
        <f>IFERROR(__xludf.DUMMYFUNCTION("""COMPUTED_VALUE"""),4222.99)</f>
        <v>4222.99</v>
      </c>
      <c r="C1048" s="1">
        <f>IFERROR(__xludf.DUMMYFUNCTION("""COMPUTED_VALUE"""),4222.99)</f>
        <v>4222.99</v>
      </c>
      <c r="D1048" s="1">
        <f>IFERROR(__xludf.DUMMYFUNCTION("""COMPUTED_VALUE"""),4031.03)</f>
        <v>4031.03</v>
      </c>
      <c r="E1048" s="1">
        <f>IFERROR(__xludf.DUMMYFUNCTION("""COMPUTED_VALUE"""),4063.81)</f>
        <v>4063.81</v>
      </c>
      <c r="F1048" s="1">
        <f>IFERROR(__xludf.DUMMYFUNCTION("""COMPUTED_VALUE"""),464225.0)</f>
        <v>464225</v>
      </c>
    </row>
    <row r="1049">
      <c r="A1049" s="2">
        <f>IFERROR(__xludf.DUMMYFUNCTION("""COMPUTED_VALUE"""),43550.64583333333)</f>
        <v>43550.64583</v>
      </c>
      <c r="B1049" s="1">
        <f>IFERROR(__xludf.DUMMYFUNCTION("""COMPUTED_VALUE"""),4073.17)</f>
        <v>4073.17</v>
      </c>
      <c r="C1049" s="1">
        <f>IFERROR(__xludf.DUMMYFUNCTION("""COMPUTED_VALUE"""),4194.9)</f>
        <v>4194.9</v>
      </c>
      <c r="D1049" s="1">
        <f>IFERROR(__xludf.DUMMYFUNCTION("""COMPUTED_VALUE"""),4054.44)</f>
        <v>4054.44</v>
      </c>
      <c r="E1049" s="1">
        <f>IFERROR(__xludf.DUMMYFUNCTION("""COMPUTED_VALUE"""),4054.44)</f>
        <v>4054.44</v>
      </c>
      <c r="F1049" s="1">
        <f>IFERROR(__xludf.DUMMYFUNCTION("""COMPUTED_VALUE"""),289469.0)</f>
        <v>289469</v>
      </c>
    </row>
    <row r="1050">
      <c r="A1050" s="2">
        <f>IFERROR(__xludf.DUMMYFUNCTION("""COMPUTED_VALUE"""),43551.64583333333)</f>
        <v>43551.64583</v>
      </c>
      <c r="B1050" s="1">
        <f>IFERROR(__xludf.DUMMYFUNCTION("""COMPUTED_VALUE"""),4068.49)</f>
        <v>4068.49</v>
      </c>
      <c r="C1050" s="1">
        <f>IFERROR(__xludf.DUMMYFUNCTION("""COMPUTED_VALUE"""),4115.31)</f>
        <v>4115.31</v>
      </c>
      <c r="D1050" s="1">
        <f>IFERROR(__xludf.DUMMYFUNCTION("""COMPUTED_VALUE"""),3984.22)</f>
        <v>3984.22</v>
      </c>
      <c r="E1050" s="1">
        <f>IFERROR(__xludf.DUMMYFUNCTION("""COMPUTED_VALUE"""),4021.67)</f>
        <v>4021.67</v>
      </c>
      <c r="F1050" s="1">
        <f>IFERROR(__xludf.DUMMYFUNCTION("""COMPUTED_VALUE"""),255499.0)</f>
        <v>255499</v>
      </c>
    </row>
    <row r="1051">
      <c r="A1051" s="2">
        <f>IFERROR(__xludf.DUMMYFUNCTION("""COMPUTED_VALUE"""),43552.64583333333)</f>
        <v>43552.64583</v>
      </c>
      <c r="B1051" s="1">
        <f>IFERROR(__xludf.DUMMYFUNCTION("""COMPUTED_VALUE"""),4035.72)</f>
        <v>4035.72</v>
      </c>
      <c r="C1051" s="1">
        <f>IFERROR(__xludf.DUMMYFUNCTION("""COMPUTED_VALUE"""),4101.26)</f>
        <v>4101.26</v>
      </c>
      <c r="D1051" s="1">
        <f>IFERROR(__xludf.DUMMYFUNCTION("""COMPUTED_VALUE"""),3937.4)</f>
        <v>3937.4</v>
      </c>
      <c r="E1051" s="1">
        <f>IFERROR(__xludf.DUMMYFUNCTION("""COMPUTED_VALUE"""),4101.26)</f>
        <v>4101.26</v>
      </c>
      <c r="F1051" s="1">
        <f>IFERROR(__xludf.DUMMYFUNCTION("""COMPUTED_VALUE"""),372825.0)</f>
        <v>372825</v>
      </c>
    </row>
    <row r="1052">
      <c r="A1052" s="2">
        <f>IFERROR(__xludf.DUMMYFUNCTION("""COMPUTED_VALUE"""),43553.64583333333)</f>
        <v>43553.64583</v>
      </c>
      <c r="B1052" s="1">
        <f>IFERROR(__xludf.DUMMYFUNCTION("""COMPUTED_VALUE"""),4274.49)</f>
        <v>4274.49</v>
      </c>
      <c r="C1052" s="1">
        <f>IFERROR(__xludf.DUMMYFUNCTION("""COMPUTED_VALUE"""),4475.8)</f>
        <v>4475.8</v>
      </c>
      <c r="D1052" s="1">
        <f>IFERROR(__xludf.DUMMYFUNCTION("""COMPUTED_VALUE"""),4124.67)</f>
        <v>4124.67</v>
      </c>
      <c r="E1052" s="1">
        <f>IFERROR(__xludf.DUMMYFUNCTION("""COMPUTED_VALUE"""),4124.67)</f>
        <v>4124.67</v>
      </c>
      <c r="F1052" s="1">
        <f>IFERROR(__xludf.DUMMYFUNCTION("""COMPUTED_VALUE"""),2408217.0)</f>
        <v>2408217</v>
      </c>
    </row>
    <row r="1053">
      <c r="A1053" s="2">
        <f>IFERROR(__xludf.DUMMYFUNCTION("""COMPUTED_VALUE"""),43556.64583333333)</f>
        <v>43556.64583</v>
      </c>
      <c r="B1053" s="1">
        <f>IFERROR(__xludf.DUMMYFUNCTION("""COMPUTED_VALUE"""),4185.53)</f>
        <v>4185.53</v>
      </c>
      <c r="C1053" s="1">
        <f>IFERROR(__xludf.DUMMYFUNCTION("""COMPUTED_VALUE"""),4241.71)</f>
        <v>4241.71</v>
      </c>
      <c r="D1053" s="1">
        <f>IFERROR(__xludf.DUMMYFUNCTION("""COMPUTED_VALUE"""),4138.72)</f>
        <v>4138.72</v>
      </c>
      <c r="E1053" s="1">
        <f>IFERROR(__xludf.DUMMYFUNCTION("""COMPUTED_VALUE"""),4213.62)</f>
        <v>4213.62</v>
      </c>
      <c r="F1053" s="1">
        <f>IFERROR(__xludf.DUMMYFUNCTION("""COMPUTED_VALUE"""),309436.0)</f>
        <v>309436</v>
      </c>
    </row>
    <row r="1054">
      <c r="A1054" s="2">
        <f>IFERROR(__xludf.DUMMYFUNCTION("""COMPUTED_VALUE"""),43557.64583333333)</f>
        <v>43557.64583</v>
      </c>
      <c r="B1054" s="1">
        <f>IFERROR(__xludf.DUMMYFUNCTION("""COMPUTED_VALUE"""),4045.08)</f>
        <v>4045.08</v>
      </c>
      <c r="C1054" s="1">
        <f>IFERROR(__xludf.DUMMYFUNCTION("""COMPUTED_VALUE"""),4157.44)</f>
        <v>4157.44</v>
      </c>
      <c r="D1054" s="1">
        <f>IFERROR(__xludf.DUMMYFUNCTION("""COMPUTED_VALUE"""),3684.58)</f>
        <v>3684.58</v>
      </c>
      <c r="E1054" s="1">
        <f>IFERROR(__xludf.DUMMYFUNCTION("""COMPUTED_VALUE"""),3815.67)</f>
        <v>3815.67</v>
      </c>
      <c r="F1054" s="1">
        <f>IFERROR(__xludf.DUMMYFUNCTION("""COMPUTED_VALUE"""),2105223.0)</f>
        <v>2105223</v>
      </c>
    </row>
    <row r="1055">
      <c r="A1055" s="2">
        <f>IFERROR(__xludf.DUMMYFUNCTION("""COMPUTED_VALUE"""),43558.64583333333)</f>
        <v>43558.64583</v>
      </c>
      <c r="B1055" s="1">
        <f>IFERROR(__xludf.DUMMYFUNCTION("""COMPUTED_VALUE"""),3839.08)</f>
        <v>3839.08</v>
      </c>
      <c r="C1055" s="1">
        <f>IFERROR(__xludf.DUMMYFUNCTION("""COMPUTED_VALUE"""),3862.49)</f>
        <v>3862.49</v>
      </c>
      <c r="D1055" s="1">
        <f>IFERROR(__xludf.DUMMYFUNCTION("""COMPUTED_VALUE"""),3768.85)</f>
        <v>3768.85</v>
      </c>
      <c r="E1055" s="1">
        <f>IFERROR(__xludf.DUMMYFUNCTION("""COMPUTED_VALUE"""),3829.72)</f>
        <v>3829.72</v>
      </c>
      <c r="F1055" s="1">
        <f>IFERROR(__xludf.DUMMYFUNCTION("""COMPUTED_VALUE"""),455933.0)</f>
        <v>455933</v>
      </c>
    </row>
    <row r="1056">
      <c r="A1056" s="2">
        <f>IFERROR(__xludf.DUMMYFUNCTION("""COMPUTED_VALUE"""),43559.64583333333)</f>
        <v>43559.64583</v>
      </c>
      <c r="B1056" s="1">
        <f>IFERROR(__xludf.DUMMYFUNCTION("""COMPUTED_VALUE"""),3839.08)</f>
        <v>3839.08</v>
      </c>
      <c r="C1056" s="1">
        <f>IFERROR(__xludf.DUMMYFUNCTION("""COMPUTED_VALUE"""),3848.44)</f>
        <v>3848.44</v>
      </c>
      <c r="D1056" s="1">
        <f>IFERROR(__xludf.DUMMYFUNCTION("""COMPUTED_VALUE"""),3764.17)</f>
        <v>3764.17</v>
      </c>
      <c r="E1056" s="1">
        <f>IFERROR(__xludf.DUMMYFUNCTION("""COMPUTED_VALUE"""),3787.58)</f>
        <v>3787.58</v>
      </c>
      <c r="F1056" s="1">
        <f>IFERROR(__xludf.DUMMYFUNCTION("""COMPUTED_VALUE"""),347911.0)</f>
        <v>347911</v>
      </c>
    </row>
    <row r="1057">
      <c r="A1057" s="2">
        <f>IFERROR(__xludf.DUMMYFUNCTION("""COMPUTED_VALUE"""),43560.64583333333)</f>
        <v>43560.64583</v>
      </c>
      <c r="B1057" s="1">
        <f>IFERROR(__xludf.DUMMYFUNCTION("""COMPUTED_VALUE"""),3806.31)</f>
        <v>3806.31</v>
      </c>
      <c r="C1057" s="1">
        <f>IFERROR(__xludf.DUMMYFUNCTION("""COMPUTED_VALUE"""),3820.35)</f>
        <v>3820.35</v>
      </c>
      <c r="D1057" s="1">
        <f>IFERROR(__xludf.DUMMYFUNCTION("""COMPUTED_VALUE"""),3693.94)</f>
        <v>3693.94</v>
      </c>
      <c r="E1057" s="1">
        <f>IFERROR(__xludf.DUMMYFUNCTION("""COMPUTED_VALUE"""),3717.35)</f>
        <v>3717.35</v>
      </c>
      <c r="F1057" s="1">
        <f>IFERROR(__xludf.DUMMYFUNCTION("""COMPUTED_VALUE"""),309312.0)</f>
        <v>309312</v>
      </c>
    </row>
    <row r="1058">
      <c r="A1058" s="2">
        <f>IFERROR(__xludf.DUMMYFUNCTION("""COMPUTED_VALUE"""),43563.64583333333)</f>
        <v>43563.64583</v>
      </c>
      <c r="B1058" s="1">
        <f>IFERROR(__xludf.DUMMYFUNCTION("""COMPUTED_VALUE"""),3736.08)</f>
        <v>3736.08</v>
      </c>
      <c r="C1058" s="1">
        <f>IFERROR(__xludf.DUMMYFUNCTION("""COMPUTED_VALUE"""),3843.76)</f>
        <v>3843.76</v>
      </c>
      <c r="D1058" s="1">
        <f>IFERROR(__xludf.DUMMYFUNCTION("""COMPUTED_VALUE"""),3726.72)</f>
        <v>3726.72</v>
      </c>
      <c r="E1058" s="1">
        <f>IFERROR(__xludf.DUMMYFUNCTION("""COMPUTED_VALUE"""),3792.26)</f>
        <v>3792.26</v>
      </c>
      <c r="F1058" s="1">
        <f>IFERROR(__xludf.DUMMYFUNCTION("""COMPUTED_VALUE"""),447352.0)</f>
        <v>447352</v>
      </c>
    </row>
    <row r="1059">
      <c r="A1059" s="2">
        <f>IFERROR(__xludf.DUMMYFUNCTION("""COMPUTED_VALUE"""),43564.64583333333)</f>
        <v>43564.64583</v>
      </c>
      <c r="B1059" s="1">
        <f>IFERROR(__xludf.DUMMYFUNCTION("""COMPUTED_VALUE"""),3796.94)</f>
        <v>3796.94</v>
      </c>
      <c r="C1059" s="1">
        <f>IFERROR(__xludf.DUMMYFUNCTION("""COMPUTED_VALUE"""),3909.31)</f>
        <v>3909.31</v>
      </c>
      <c r="D1059" s="1">
        <f>IFERROR(__xludf.DUMMYFUNCTION("""COMPUTED_VALUE"""),3712.67)</f>
        <v>3712.67</v>
      </c>
      <c r="E1059" s="1">
        <f>IFERROR(__xludf.DUMMYFUNCTION("""COMPUTED_VALUE"""),3857.81)</f>
        <v>3857.81</v>
      </c>
      <c r="F1059" s="1">
        <f>IFERROR(__xludf.DUMMYFUNCTION("""COMPUTED_VALUE"""),657921.0)</f>
        <v>657921</v>
      </c>
    </row>
    <row r="1060">
      <c r="A1060" s="2">
        <f>IFERROR(__xludf.DUMMYFUNCTION("""COMPUTED_VALUE"""),43565.64583333333)</f>
        <v>43565.64583</v>
      </c>
      <c r="B1060" s="1">
        <f>IFERROR(__xludf.DUMMYFUNCTION("""COMPUTED_VALUE"""),3857.81)</f>
        <v>3857.81</v>
      </c>
      <c r="C1060" s="1">
        <f>IFERROR(__xludf.DUMMYFUNCTION("""COMPUTED_VALUE"""),3857.81)</f>
        <v>3857.81</v>
      </c>
      <c r="D1060" s="1">
        <f>IFERROR(__xludf.DUMMYFUNCTION("""COMPUTED_VALUE"""),3792.26)</f>
        <v>3792.26</v>
      </c>
      <c r="E1060" s="1">
        <f>IFERROR(__xludf.DUMMYFUNCTION("""COMPUTED_VALUE"""),3806.31)</f>
        <v>3806.31</v>
      </c>
      <c r="F1060" s="1">
        <f>IFERROR(__xludf.DUMMYFUNCTION("""COMPUTED_VALUE"""),199221.0)</f>
        <v>199221</v>
      </c>
    </row>
    <row r="1061">
      <c r="A1061" s="2">
        <f>IFERROR(__xludf.DUMMYFUNCTION("""COMPUTED_VALUE"""),43566.64583333333)</f>
        <v>43566.64583</v>
      </c>
      <c r="B1061" s="1">
        <f>IFERROR(__xludf.DUMMYFUNCTION("""COMPUTED_VALUE"""),3825.03)</f>
        <v>3825.03</v>
      </c>
      <c r="C1061" s="1">
        <f>IFERROR(__xludf.DUMMYFUNCTION("""COMPUTED_VALUE"""),3825.03)</f>
        <v>3825.03</v>
      </c>
      <c r="D1061" s="1">
        <f>IFERROR(__xludf.DUMMYFUNCTION("""COMPUTED_VALUE"""),3731.4)</f>
        <v>3731.4</v>
      </c>
      <c r="E1061" s="1">
        <f>IFERROR(__xludf.DUMMYFUNCTION("""COMPUTED_VALUE"""),3759.49)</f>
        <v>3759.49</v>
      </c>
      <c r="F1061" s="1">
        <f>IFERROR(__xludf.DUMMYFUNCTION("""COMPUTED_VALUE"""),291096.0)</f>
        <v>291096</v>
      </c>
    </row>
    <row r="1062">
      <c r="A1062" s="2">
        <f>IFERROR(__xludf.DUMMYFUNCTION("""COMPUTED_VALUE"""),43567.64583333333)</f>
        <v>43567.64583</v>
      </c>
      <c r="B1062" s="1">
        <f>IFERROR(__xludf.DUMMYFUNCTION("""COMPUTED_VALUE"""),3759.49)</f>
        <v>3759.49</v>
      </c>
      <c r="C1062" s="1">
        <f>IFERROR(__xludf.DUMMYFUNCTION("""COMPUTED_VALUE"""),3806.31)</f>
        <v>3806.31</v>
      </c>
      <c r="D1062" s="1">
        <f>IFERROR(__xludf.DUMMYFUNCTION("""COMPUTED_VALUE"""),3726.72)</f>
        <v>3726.72</v>
      </c>
      <c r="E1062" s="1">
        <f>IFERROR(__xludf.DUMMYFUNCTION("""COMPUTED_VALUE"""),3750.13)</f>
        <v>3750.13</v>
      </c>
      <c r="F1062" s="1">
        <f>IFERROR(__xludf.DUMMYFUNCTION("""COMPUTED_VALUE"""),228916.0)</f>
        <v>228916</v>
      </c>
    </row>
    <row r="1063">
      <c r="A1063" s="2">
        <f>IFERROR(__xludf.DUMMYFUNCTION("""COMPUTED_VALUE"""),43570.64583333333)</f>
        <v>43570.64583</v>
      </c>
      <c r="B1063" s="1">
        <f>IFERROR(__xludf.DUMMYFUNCTION("""COMPUTED_VALUE"""),3764.17)</f>
        <v>3764.17</v>
      </c>
      <c r="C1063" s="1">
        <f>IFERROR(__xludf.DUMMYFUNCTION("""COMPUTED_VALUE"""),3829.72)</f>
        <v>3829.72</v>
      </c>
      <c r="D1063" s="1">
        <f>IFERROR(__xludf.DUMMYFUNCTION("""COMPUTED_VALUE"""),3707.99)</f>
        <v>3707.99</v>
      </c>
      <c r="E1063" s="1">
        <f>IFERROR(__xludf.DUMMYFUNCTION("""COMPUTED_VALUE"""),3712.67)</f>
        <v>3712.67</v>
      </c>
      <c r="F1063" s="1">
        <f>IFERROR(__xludf.DUMMYFUNCTION("""COMPUTED_VALUE"""),477106.0)</f>
        <v>477106</v>
      </c>
    </row>
    <row r="1064">
      <c r="A1064" s="2">
        <f>IFERROR(__xludf.DUMMYFUNCTION("""COMPUTED_VALUE"""),43571.64583333333)</f>
        <v>43571.64583</v>
      </c>
      <c r="B1064" s="1">
        <f>IFERROR(__xludf.DUMMYFUNCTION("""COMPUTED_VALUE"""),3707.99)</f>
        <v>3707.99</v>
      </c>
      <c r="C1064" s="1">
        <f>IFERROR(__xludf.DUMMYFUNCTION("""COMPUTED_VALUE"""),3740.76)</f>
        <v>3740.76</v>
      </c>
      <c r="D1064" s="1">
        <f>IFERROR(__xludf.DUMMYFUNCTION("""COMPUTED_VALUE"""),3623.72)</f>
        <v>3623.72</v>
      </c>
      <c r="E1064" s="1">
        <f>IFERROR(__xludf.DUMMYFUNCTION("""COMPUTED_VALUE"""),3623.72)</f>
        <v>3623.72</v>
      </c>
      <c r="F1064" s="1">
        <f>IFERROR(__xludf.DUMMYFUNCTION("""COMPUTED_VALUE"""),346713.0)</f>
        <v>346713</v>
      </c>
    </row>
    <row r="1065">
      <c r="A1065" s="2">
        <f>IFERROR(__xludf.DUMMYFUNCTION("""COMPUTED_VALUE"""),43572.64583333333)</f>
        <v>43572.64583</v>
      </c>
      <c r="B1065" s="1">
        <f>IFERROR(__xludf.DUMMYFUNCTION("""COMPUTED_VALUE"""),3679.9)</f>
        <v>3679.9</v>
      </c>
      <c r="C1065" s="1">
        <f>IFERROR(__xludf.DUMMYFUNCTION("""COMPUTED_VALUE"""),3815.67)</f>
        <v>3815.67</v>
      </c>
      <c r="D1065" s="1">
        <f>IFERROR(__xludf.DUMMYFUNCTION("""COMPUTED_VALUE"""),3619.03)</f>
        <v>3619.03</v>
      </c>
      <c r="E1065" s="1">
        <f>IFERROR(__xludf.DUMMYFUNCTION("""COMPUTED_VALUE"""),3619.03)</f>
        <v>3619.03</v>
      </c>
      <c r="F1065" s="1">
        <f>IFERROR(__xludf.DUMMYFUNCTION("""COMPUTED_VALUE"""),1131771.0)</f>
        <v>1131771</v>
      </c>
    </row>
    <row r="1066">
      <c r="A1066" s="2">
        <f>IFERROR(__xludf.DUMMYFUNCTION("""COMPUTED_VALUE"""),43573.64583333333)</f>
        <v>43573.64583</v>
      </c>
      <c r="B1066" s="1">
        <f>IFERROR(__xludf.DUMMYFUNCTION("""COMPUTED_VALUE"""),3623.72)</f>
        <v>3623.72</v>
      </c>
      <c r="C1066" s="1">
        <f>IFERROR(__xludf.DUMMYFUNCTION("""COMPUTED_VALUE"""),3689.26)</f>
        <v>3689.26</v>
      </c>
      <c r="D1066" s="1">
        <f>IFERROR(__xludf.DUMMYFUNCTION("""COMPUTED_VALUE"""),3539.44)</f>
        <v>3539.44</v>
      </c>
      <c r="E1066" s="1">
        <f>IFERROR(__xludf.DUMMYFUNCTION("""COMPUTED_VALUE"""),3572.22)</f>
        <v>3572.22</v>
      </c>
      <c r="F1066" s="1">
        <f>IFERROR(__xludf.DUMMYFUNCTION("""COMPUTED_VALUE"""),350020.0)</f>
        <v>350020</v>
      </c>
    </row>
    <row r="1067">
      <c r="A1067" s="2">
        <f>IFERROR(__xludf.DUMMYFUNCTION("""COMPUTED_VALUE"""),43574.64583333333)</f>
        <v>43574.64583</v>
      </c>
      <c r="B1067" s="1">
        <f>IFERROR(__xludf.DUMMYFUNCTION("""COMPUTED_VALUE"""),3558.17)</f>
        <v>3558.17</v>
      </c>
      <c r="C1067" s="1">
        <f>IFERROR(__xludf.DUMMYFUNCTION("""COMPUTED_VALUE"""),3647.13)</f>
        <v>3647.13</v>
      </c>
      <c r="D1067" s="1">
        <f>IFERROR(__xludf.DUMMYFUNCTION("""COMPUTED_VALUE"""),3558.17)</f>
        <v>3558.17</v>
      </c>
      <c r="E1067" s="1">
        <f>IFERROR(__xludf.DUMMYFUNCTION("""COMPUTED_VALUE"""),3576.9)</f>
        <v>3576.9</v>
      </c>
      <c r="F1067" s="1">
        <f>IFERROR(__xludf.DUMMYFUNCTION("""COMPUTED_VALUE"""),157609.0)</f>
        <v>157609</v>
      </c>
    </row>
    <row r="1068">
      <c r="A1068" s="2">
        <f>IFERROR(__xludf.DUMMYFUNCTION("""COMPUTED_VALUE"""),43577.64583333333)</f>
        <v>43577.64583</v>
      </c>
      <c r="B1068" s="1">
        <f>IFERROR(__xludf.DUMMYFUNCTION("""COMPUTED_VALUE"""),3576.9)</f>
        <v>3576.9</v>
      </c>
      <c r="C1068" s="1">
        <f>IFERROR(__xludf.DUMMYFUNCTION("""COMPUTED_VALUE"""),3623.72)</f>
        <v>3623.72</v>
      </c>
      <c r="D1068" s="1">
        <f>IFERROR(__xludf.DUMMYFUNCTION("""COMPUTED_VALUE"""),3562.85)</f>
        <v>3562.85</v>
      </c>
      <c r="E1068" s="1">
        <f>IFERROR(__xludf.DUMMYFUNCTION("""COMPUTED_VALUE"""),3576.9)</f>
        <v>3576.9</v>
      </c>
      <c r="F1068" s="1">
        <f>IFERROR(__xludf.DUMMYFUNCTION("""COMPUTED_VALUE"""),151738.0)</f>
        <v>151738</v>
      </c>
    </row>
    <row r="1069">
      <c r="A1069" s="2">
        <f>IFERROR(__xludf.DUMMYFUNCTION("""COMPUTED_VALUE"""),43578.64583333333)</f>
        <v>43578.64583</v>
      </c>
      <c r="B1069" s="1">
        <f>IFERROR(__xludf.DUMMYFUNCTION("""COMPUTED_VALUE"""),3633.08)</f>
        <v>3633.08</v>
      </c>
      <c r="C1069" s="1">
        <f>IFERROR(__xludf.DUMMYFUNCTION("""COMPUTED_VALUE"""),3773.53)</f>
        <v>3773.53</v>
      </c>
      <c r="D1069" s="1">
        <f>IFERROR(__xludf.DUMMYFUNCTION("""COMPUTED_VALUE"""),3586.26)</f>
        <v>3586.26</v>
      </c>
      <c r="E1069" s="1">
        <f>IFERROR(__xludf.DUMMYFUNCTION("""COMPUTED_VALUE"""),3586.26)</f>
        <v>3586.26</v>
      </c>
      <c r="F1069" s="1">
        <f>IFERROR(__xludf.DUMMYFUNCTION("""COMPUTED_VALUE"""),1062962.0)</f>
        <v>1062962</v>
      </c>
    </row>
    <row r="1070">
      <c r="A1070" s="2">
        <f>IFERROR(__xludf.DUMMYFUNCTION("""COMPUTED_VALUE"""),43579.64583333333)</f>
        <v>43579.64583</v>
      </c>
      <c r="B1070" s="1">
        <f>IFERROR(__xludf.DUMMYFUNCTION("""COMPUTED_VALUE"""),3600.31)</f>
        <v>3600.31</v>
      </c>
      <c r="C1070" s="1">
        <f>IFERROR(__xludf.DUMMYFUNCTION("""COMPUTED_VALUE"""),3675.22)</f>
        <v>3675.22</v>
      </c>
      <c r="D1070" s="1">
        <f>IFERROR(__xludf.DUMMYFUNCTION("""COMPUTED_VALUE"""),3562.85)</f>
        <v>3562.85</v>
      </c>
      <c r="E1070" s="1">
        <f>IFERROR(__xludf.DUMMYFUNCTION("""COMPUTED_VALUE"""),3665.85)</f>
        <v>3665.85</v>
      </c>
      <c r="F1070" s="1">
        <f>IFERROR(__xludf.DUMMYFUNCTION("""COMPUTED_VALUE"""),314857.0)</f>
        <v>314857</v>
      </c>
    </row>
    <row r="1071">
      <c r="A1071" s="2">
        <f>IFERROR(__xludf.DUMMYFUNCTION("""COMPUTED_VALUE"""),43580.64583333333)</f>
        <v>43580.64583</v>
      </c>
      <c r="B1071" s="1">
        <f>IFERROR(__xludf.DUMMYFUNCTION("""COMPUTED_VALUE"""),3670.53)</f>
        <v>3670.53</v>
      </c>
      <c r="C1071" s="1">
        <f>IFERROR(__xludf.DUMMYFUNCTION("""COMPUTED_VALUE"""),3698.63)</f>
        <v>3698.63</v>
      </c>
      <c r="D1071" s="1">
        <f>IFERROR(__xludf.DUMMYFUNCTION("""COMPUTED_VALUE"""),3562.85)</f>
        <v>3562.85</v>
      </c>
      <c r="E1071" s="1">
        <f>IFERROR(__xludf.DUMMYFUNCTION("""COMPUTED_VALUE"""),3567.53)</f>
        <v>3567.53</v>
      </c>
      <c r="F1071" s="1">
        <f>IFERROR(__xludf.DUMMYFUNCTION("""COMPUTED_VALUE"""),232126.0)</f>
        <v>232126</v>
      </c>
    </row>
    <row r="1072">
      <c r="A1072" s="2">
        <f>IFERROR(__xludf.DUMMYFUNCTION("""COMPUTED_VALUE"""),43581.64583333333)</f>
        <v>43581.64583</v>
      </c>
      <c r="B1072" s="1">
        <f>IFERROR(__xludf.DUMMYFUNCTION("""COMPUTED_VALUE"""),3539.44)</f>
        <v>3539.44</v>
      </c>
      <c r="C1072" s="1">
        <f>IFERROR(__xludf.DUMMYFUNCTION("""COMPUTED_VALUE"""),3558.17)</f>
        <v>3558.17</v>
      </c>
      <c r="D1072" s="1">
        <f>IFERROR(__xludf.DUMMYFUNCTION("""COMPUTED_VALUE"""),3380.26)</f>
        <v>3380.26</v>
      </c>
      <c r="E1072" s="1">
        <f>IFERROR(__xludf.DUMMYFUNCTION("""COMPUTED_VALUE"""),3417.72)</f>
        <v>3417.72</v>
      </c>
      <c r="F1072" s="1">
        <f>IFERROR(__xludf.DUMMYFUNCTION("""COMPUTED_VALUE"""),319436.0)</f>
        <v>319436</v>
      </c>
    </row>
    <row r="1073">
      <c r="A1073" s="2">
        <f>IFERROR(__xludf.DUMMYFUNCTION("""COMPUTED_VALUE"""),43584.64583333333)</f>
        <v>43584.64583</v>
      </c>
      <c r="B1073" s="1">
        <f>IFERROR(__xludf.DUMMYFUNCTION("""COMPUTED_VALUE"""),3417.72)</f>
        <v>3417.72</v>
      </c>
      <c r="C1073" s="1">
        <f>IFERROR(__xludf.DUMMYFUNCTION("""COMPUTED_VALUE"""),3511.35)</f>
        <v>3511.35</v>
      </c>
      <c r="D1073" s="1">
        <f>IFERROR(__xludf.DUMMYFUNCTION("""COMPUTED_VALUE"""),3417.72)</f>
        <v>3417.72</v>
      </c>
      <c r="E1073" s="1">
        <f>IFERROR(__xludf.DUMMYFUNCTION("""COMPUTED_VALUE"""),3455.17)</f>
        <v>3455.17</v>
      </c>
      <c r="F1073" s="1">
        <f>IFERROR(__xludf.DUMMYFUNCTION("""COMPUTED_VALUE"""),137489.0)</f>
        <v>137489</v>
      </c>
    </row>
    <row r="1074">
      <c r="A1074" s="2">
        <f>IFERROR(__xludf.DUMMYFUNCTION("""COMPUTED_VALUE"""),43585.64583333333)</f>
        <v>43585.64583</v>
      </c>
      <c r="B1074" s="1">
        <f>IFERROR(__xludf.DUMMYFUNCTION("""COMPUTED_VALUE"""),3459.85)</f>
        <v>3459.85</v>
      </c>
      <c r="C1074" s="1">
        <f>IFERROR(__xludf.DUMMYFUNCTION("""COMPUTED_VALUE"""),3497.31)</f>
        <v>3497.31</v>
      </c>
      <c r="D1074" s="1">
        <f>IFERROR(__xludf.DUMMYFUNCTION("""COMPUTED_VALUE"""),3394.31)</f>
        <v>3394.31</v>
      </c>
      <c r="E1074" s="1">
        <f>IFERROR(__xludf.DUMMYFUNCTION("""COMPUTED_VALUE"""),3473.9)</f>
        <v>3473.9</v>
      </c>
      <c r="F1074" s="1">
        <f>IFERROR(__xludf.DUMMYFUNCTION("""COMPUTED_VALUE"""),130173.0)</f>
        <v>130173</v>
      </c>
    </row>
    <row r="1075">
      <c r="A1075" s="2">
        <f>IFERROR(__xludf.DUMMYFUNCTION("""COMPUTED_VALUE"""),43587.64583333333)</f>
        <v>43587.64583</v>
      </c>
      <c r="B1075" s="1">
        <f>IFERROR(__xludf.DUMMYFUNCTION("""COMPUTED_VALUE"""),3427.08)</f>
        <v>3427.08</v>
      </c>
      <c r="C1075" s="1">
        <f>IFERROR(__xludf.DUMMYFUNCTION("""COMPUTED_VALUE"""),3492.63)</f>
        <v>3492.63</v>
      </c>
      <c r="D1075" s="1">
        <f>IFERROR(__xludf.DUMMYFUNCTION("""COMPUTED_VALUE"""),3417.72)</f>
        <v>3417.72</v>
      </c>
      <c r="E1075" s="1">
        <f>IFERROR(__xludf.DUMMYFUNCTION("""COMPUTED_VALUE"""),3483.26)</f>
        <v>3483.26</v>
      </c>
      <c r="F1075" s="1">
        <f>IFERROR(__xludf.DUMMYFUNCTION("""COMPUTED_VALUE"""),176800.0)</f>
        <v>176800</v>
      </c>
    </row>
    <row r="1076">
      <c r="A1076" s="2">
        <f>IFERROR(__xludf.DUMMYFUNCTION("""COMPUTED_VALUE"""),43588.64583333333)</f>
        <v>43588.64583</v>
      </c>
      <c r="B1076" s="1">
        <f>IFERROR(__xludf.DUMMYFUNCTION("""COMPUTED_VALUE"""),3619.03)</f>
        <v>3619.03</v>
      </c>
      <c r="C1076" s="1">
        <f>IFERROR(__xludf.DUMMYFUNCTION("""COMPUTED_VALUE"""),4269.81)</f>
        <v>4269.81</v>
      </c>
      <c r="D1076" s="1">
        <f>IFERROR(__xludf.DUMMYFUNCTION("""COMPUTED_VALUE"""),3604.99)</f>
        <v>3604.99</v>
      </c>
      <c r="E1076" s="1">
        <f>IFERROR(__xludf.DUMMYFUNCTION("""COMPUTED_VALUE"""),3684.58)</f>
        <v>3684.58</v>
      </c>
      <c r="F1076" s="1">
        <f>IFERROR(__xludf.DUMMYFUNCTION("""COMPUTED_VALUE"""),6864531.0)</f>
        <v>6864531</v>
      </c>
    </row>
    <row r="1077">
      <c r="A1077" s="2">
        <f>IFERROR(__xludf.DUMMYFUNCTION("""COMPUTED_VALUE"""),43592.64583333333)</f>
        <v>43592.64583</v>
      </c>
      <c r="B1077" s="1">
        <f>IFERROR(__xludf.DUMMYFUNCTION("""COMPUTED_VALUE"""),3590.94)</f>
        <v>3590.94</v>
      </c>
      <c r="C1077" s="1">
        <f>IFERROR(__xludf.DUMMYFUNCTION("""COMPUTED_VALUE"""),3637.76)</f>
        <v>3637.76</v>
      </c>
      <c r="D1077" s="1">
        <f>IFERROR(__xludf.DUMMYFUNCTION("""COMPUTED_VALUE"""),3464.54)</f>
        <v>3464.54</v>
      </c>
      <c r="E1077" s="1">
        <f>IFERROR(__xludf.DUMMYFUNCTION("""COMPUTED_VALUE"""),3520.72)</f>
        <v>3520.72</v>
      </c>
      <c r="F1077" s="1">
        <f>IFERROR(__xludf.DUMMYFUNCTION("""COMPUTED_VALUE"""),624589.0)</f>
        <v>624589</v>
      </c>
    </row>
    <row r="1078">
      <c r="A1078" s="2">
        <f>IFERROR(__xludf.DUMMYFUNCTION("""COMPUTED_VALUE"""),43593.64583333333)</f>
        <v>43593.64583</v>
      </c>
      <c r="B1078" s="1">
        <f>IFERROR(__xludf.DUMMYFUNCTION("""COMPUTED_VALUE"""),3487.94)</f>
        <v>3487.94</v>
      </c>
      <c r="C1078" s="1">
        <f>IFERROR(__xludf.DUMMYFUNCTION("""COMPUTED_VALUE"""),3726.72)</f>
        <v>3726.72</v>
      </c>
      <c r="D1078" s="1">
        <f>IFERROR(__xludf.DUMMYFUNCTION("""COMPUTED_VALUE"""),3417.72)</f>
        <v>3417.72</v>
      </c>
      <c r="E1078" s="1">
        <f>IFERROR(__xludf.DUMMYFUNCTION("""COMPUTED_VALUE"""),3487.94)</f>
        <v>3487.94</v>
      </c>
      <c r="F1078" s="1">
        <f>IFERROR(__xludf.DUMMYFUNCTION("""COMPUTED_VALUE"""),970931.0)</f>
        <v>970931</v>
      </c>
    </row>
    <row r="1079">
      <c r="A1079" s="2">
        <f>IFERROR(__xludf.DUMMYFUNCTION("""COMPUTED_VALUE"""),43594.64583333333)</f>
        <v>43594.64583</v>
      </c>
      <c r="B1079" s="1">
        <f>IFERROR(__xludf.DUMMYFUNCTION("""COMPUTED_VALUE"""),3516.04)</f>
        <v>3516.04</v>
      </c>
      <c r="C1079" s="1">
        <f>IFERROR(__xludf.DUMMYFUNCTION("""COMPUTED_VALUE"""),3525.4)</f>
        <v>3525.4</v>
      </c>
      <c r="D1079" s="1">
        <f>IFERROR(__xludf.DUMMYFUNCTION("""COMPUTED_VALUE"""),3352.17)</f>
        <v>3352.17</v>
      </c>
      <c r="E1079" s="1">
        <f>IFERROR(__xludf.DUMMYFUNCTION("""COMPUTED_VALUE"""),3380.26)</f>
        <v>3380.26</v>
      </c>
      <c r="F1079" s="1">
        <f>IFERROR(__xludf.DUMMYFUNCTION("""COMPUTED_VALUE"""),425522.0)</f>
        <v>425522</v>
      </c>
    </row>
    <row r="1080">
      <c r="A1080" s="2">
        <f>IFERROR(__xludf.DUMMYFUNCTION("""COMPUTED_VALUE"""),43595.64583333333)</f>
        <v>43595.64583</v>
      </c>
      <c r="B1080" s="1">
        <f>IFERROR(__xludf.DUMMYFUNCTION("""COMPUTED_VALUE"""),3342.81)</f>
        <v>3342.81</v>
      </c>
      <c r="C1080" s="1">
        <f>IFERROR(__xludf.DUMMYFUNCTION("""COMPUTED_VALUE"""),3394.31)</f>
        <v>3394.31</v>
      </c>
      <c r="D1080" s="1">
        <f>IFERROR(__xludf.DUMMYFUNCTION("""COMPUTED_VALUE"""),3244.49)</f>
        <v>3244.49</v>
      </c>
      <c r="E1080" s="1">
        <f>IFERROR(__xludf.DUMMYFUNCTION("""COMPUTED_VALUE"""),3249.17)</f>
        <v>3249.17</v>
      </c>
      <c r="F1080" s="1">
        <f>IFERROR(__xludf.DUMMYFUNCTION("""COMPUTED_VALUE"""),319202.0)</f>
        <v>319202</v>
      </c>
    </row>
    <row r="1081">
      <c r="A1081" s="2">
        <f>IFERROR(__xludf.DUMMYFUNCTION("""COMPUTED_VALUE"""),43598.64583333333)</f>
        <v>43598.64583</v>
      </c>
      <c r="B1081" s="1">
        <f>IFERROR(__xludf.DUMMYFUNCTION("""COMPUTED_VALUE"""),3249.17)</f>
        <v>3249.17</v>
      </c>
      <c r="C1081" s="1">
        <f>IFERROR(__xludf.DUMMYFUNCTION("""COMPUTED_VALUE"""),3356.85)</f>
        <v>3356.85</v>
      </c>
      <c r="D1081" s="1">
        <f>IFERROR(__xludf.DUMMYFUNCTION("""COMPUTED_VALUE"""),3216.4)</f>
        <v>3216.4</v>
      </c>
      <c r="E1081" s="1">
        <f>IFERROR(__xludf.DUMMYFUNCTION("""COMPUTED_VALUE"""),3253.85)</f>
        <v>3253.85</v>
      </c>
      <c r="F1081" s="1">
        <f>IFERROR(__xludf.DUMMYFUNCTION("""COMPUTED_VALUE"""),267971.0)</f>
        <v>267971</v>
      </c>
    </row>
    <row r="1082">
      <c r="A1082" s="2">
        <f>IFERROR(__xludf.DUMMYFUNCTION("""COMPUTED_VALUE"""),43599.64583333333)</f>
        <v>43599.64583</v>
      </c>
      <c r="B1082" s="1">
        <f>IFERROR(__xludf.DUMMYFUNCTION("""COMPUTED_VALUE"""),3253.85)</f>
        <v>3253.85</v>
      </c>
      <c r="C1082" s="1">
        <f>IFERROR(__xludf.DUMMYFUNCTION("""COMPUTED_VALUE"""),3277.26)</f>
        <v>3277.26</v>
      </c>
      <c r="D1082" s="1">
        <f>IFERROR(__xludf.DUMMYFUNCTION("""COMPUTED_VALUE"""),3211.72)</f>
        <v>3211.72</v>
      </c>
      <c r="E1082" s="1">
        <f>IFERROR(__xludf.DUMMYFUNCTION("""COMPUTED_VALUE"""),3225.76)</f>
        <v>3225.76</v>
      </c>
      <c r="F1082" s="1">
        <f>IFERROR(__xludf.DUMMYFUNCTION("""COMPUTED_VALUE"""),227406.0)</f>
        <v>227406</v>
      </c>
    </row>
    <row r="1083">
      <c r="A1083" s="2">
        <f>IFERROR(__xludf.DUMMYFUNCTION("""COMPUTED_VALUE"""),43600.64583333333)</f>
        <v>43600.64583</v>
      </c>
      <c r="B1083" s="1">
        <f>IFERROR(__xludf.DUMMYFUNCTION("""COMPUTED_VALUE"""),3272.58)</f>
        <v>3272.58</v>
      </c>
      <c r="C1083" s="1">
        <f>IFERROR(__xludf.DUMMYFUNCTION("""COMPUTED_VALUE"""),3642.44)</f>
        <v>3642.44</v>
      </c>
      <c r="D1083" s="1">
        <f>IFERROR(__xludf.DUMMYFUNCTION("""COMPUTED_VALUE"""),3244.49)</f>
        <v>3244.49</v>
      </c>
      <c r="E1083" s="1">
        <f>IFERROR(__xludf.DUMMYFUNCTION("""COMPUTED_VALUE"""),3333.44)</f>
        <v>3333.44</v>
      </c>
      <c r="F1083" s="1">
        <f>IFERROR(__xludf.DUMMYFUNCTION("""COMPUTED_VALUE"""),1290083.0)</f>
        <v>1290083</v>
      </c>
    </row>
    <row r="1084">
      <c r="A1084" s="2">
        <f>IFERROR(__xludf.DUMMYFUNCTION("""COMPUTED_VALUE"""),43601.64583333333)</f>
        <v>43601.64583</v>
      </c>
      <c r="B1084" s="1">
        <f>IFERROR(__xludf.DUMMYFUNCTION("""COMPUTED_VALUE"""),3291.31)</f>
        <v>3291.31</v>
      </c>
      <c r="C1084" s="1">
        <f>IFERROR(__xludf.DUMMYFUNCTION("""COMPUTED_VALUE"""),3324.08)</f>
        <v>3324.08</v>
      </c>
      <c r="D1084" s="1">
        <f>IFERROR(__xludf.DUMMYFUNCTION("""COMPUTED_VALUE"""),3267.9)</f>
        <v>3267.9</v>
      </c>
      <c r="E1084" s="1">
        <f>IFERROR(__xludf.DUMMYFUNCTION("""COMPUTED_VALUE"""),3281.94)</f>
        <v>3281.94</v>
      </c>
      <c r="F1084" s="1">
        <f>IFERROR(__xludf.DUMMYFUNCTION("""COMPUTED_VALUE"""),249338.0)</f>
        <v>249338</v>
      </c>
    </row>
    <row r="1085">
      <c r="A1085" s="2">
        <f>IFERROR(__xludf.DUMMYFUNCTION("""COMPUTED_VALUE"""),43602.64583333333)</f>
        <v>43602.64583</v>
      </c>
      <c r="B1085" s="1">
        <f>IFERROR(__xludf.DUMMYFUNCTION("""COMPUTED_VALUE"""),3277.26)</f>
        <v>3277.26</v>
      </c>
      <c r="C1085" s="1">
        <f>IFERROR(__xludf.DUMMYFUNCTION("""COMPUTED_VALUE"""),3366.22)</f>
        <v>3366.22</v>
      </c>
      <c r="D1085" s="1">
        <f>IFERROR(__xludf.DUMMYFUNCTION("""COMPUTED_VALUE"""),3267.9)</f>
        <v>3267.9</v>
      </c>
      <c r="E1085" s="1">
        <f>IFERROR(__xludf.DUMMYFUNCTION("""COMPUTED_VALUE"""),3267.9)</f>
        <v>3267.9</v>
      </c>
      <c r="F1085" s="1">
        <f>IFERROR(__xludf.DUMMYFUNCTION("""COMPUTED_VALUE"""),220655.0)</f>
        <v>220655</v>
      </c>
    </row>
    <row r="1086">
      <c r="A1086" s="2">
        <f>IFERROR(__xludf.DUMMYFUNCTION("""COMPUTED_VALUE"""),43605.64583333333)</f>
        <v>43605.64583</v>
      </c>
      <c r="B1086" s="1">
        <f>IFERROR(__xludf.DUMMYFUNCTION("""COMPUTED_VALUE"""),3267.9)</f>
        <v>3267.9</v>
      </c>
      <c r="C1086" s="1">
        <f>IFERROR(__xludf.DUMMYFUNCTION("""COMPUTED_VALUE"""),3267.9)</f>
        <v>3267.9</v>
      </c>
      <c r="D1086" s="1">
        <f>IFERROR(__xludf.DUMMYFUNCTION("""COMPUTED_VALUE"""),3183.63)</f>
        <v>3183.63</v>
      </c>
      <c r="E1086" s="1">
        <f>IFERROR(__xludf.DUMMYFUNCTION("""COMPUTED_VALUE"""),3188.31)</f>
        <v>3188.31</v>
      </c>
      <c r="F1086" s="1">
        <f>IFERROR(__xludf.DUMMYFUNCTION("""COMPUTED_VALUE"""),169603.0)</f>
        <v>169603</v>
      </c>
    </row>
    <row r="1087">
      <c r="A1087" s="2">
        <f>IFERROR(__xludf.DUMMYFUNCTION("""COMPUTED_VALUE"""),43606.64583333333)</f>
        <v>43606.64583</v>
      </c>
      <c r="B1087" s="1">
        <f>IFERROR(__xludf.DUMMYFUNCTION("""COMPUTED_VALUE"""),3141.49)</f>
        <v>3141.49</v>
      </c>
      <c r="C1087" s="1">
        <f>IFERROR(__xludf.DUMMYFUNCTION("""COMPUTED_VALUE"""),3207.04)</f>
        <v>3207.04</v>
      </c>
      <c r="D1087" s="1">
        <f>IFERROR(__xludf.DUMMYFUNCTION("""COMPUTED_VALUE"""),3094.67)</f>
        <v>3094.67</v>
      </c>
      <c r="E1087" s="1">
        <f>IFERROR(__xludf.DUMMYFUNCTION("""COMPUTED_VALUE"""),3099.35)</f>
        <v>3099.35</v>
      </c>
      <c r="F1087" s="1">
        <f>IFERROR(__xludf.DUMMYFUNCTION("""COMPUTED_VALUE"""),233823.0)</f>
        <v>233823</v>
      </c>
    </row>
    <row r="1088">
      <c r="A1088" s="2">
        <f>IFERROR(__xludf.DUMMYFUNCTION("""COMPUTED_VALUE"""),43607.64583333333)</f>
        <v>43607.64583</v>
      </c>
      <c r="B1088" s="1">
        <f>IFERROR(__xludf.DUMMYFUNCTION("""COMPUTED_VALUE"""),3192.99)</f>
        <v>3192.99</v>
      </c>
      <c r="C1088" s="1">
        <f>IFERROR(__xludf.DUMMYFUNCTION("""COMPUTED_VALUE"""),3314.72)</f>
        <v>3314.72</v>
      </c>
      <c r="D1088" s="1">
        <f>IFERROR(__xludf.DUMMYFUNCTION("""COMPUTED_VALUE"""),3108.72)</f>
        <v>3108.72</v>
      </c>
      <c r="E1088" s="1">
        <f>IFERROR(__xludf.DUMMYFUNCTION("""COMPUTED_VALUE"""),3141.49)</f>
        <v>3141.49</v>
      </c>
      <c r="F1088" s="1">
        <f>IFERROR(__xludf.DUMMYFUNCTION("""COMPUTED_VALUE"""),505283.0)</f>
        <v>505283</v>
      </c>
    </row>
    <row r="1089">
      <c r="A1089" s="2">
        <f>IFERROR(__xludf.DUMMYFUNCTION("""COMPUTED_VALUE"""),43608.64583333333)</f>
        <v>43608.64583</v>
      </c>
      <c r="B1089" s="1">
        <f>IFERROR(__xludf.DUMMYFUNCTION("""COMPUTED_VALUE"""),3132.13)</f>
        <v>3132.13</v>
      </c>
      <c r="C1089" s="1">
        <f>IFERROR(__xludf.DUMMYFUNCTION("""COMPUTED_VALUE"""),3174.26)</f>
        <v>3174.26</v>
      </c>
      <c r="D1089" s="1">
        <f>IFERROR(__xludf.DUMMYFUNCTION("""COMPUTED_VALUE"""),3057.22)</f>
        <v>3057.22</v>
      </c>
      <c r="E1089" s="1">
        <f>IFERROR(__xludf.DUMMYFUNCTION("""COMPUTED_VALUE"""),3061.9)</f>
        <v>3061.9</v>
      </c>
      <c r="F1089" s="1">
        <f>IFERROR(__xludf.DUMMYFUNCTION("""COMPUTED_VALUE"""),185549.0)</f>
        <v>185549</v>
      </c>
    </row>
    <row r="1090">
      <c r="A1090" s="2">
        <f>IFERROR(__xludf.DUMMYFUNCTION("""COMPUTED_VALUE"""),43609.64583333333)</f>
        <v>43609.64583</v>
      </c>
      <c r="B1090" s="1">
        <f>IFERROR(__xludf.DUMMYFUNCTION("""COMPUTED_VALUE"""),3300.67)</f>
        <v>3300.67</v>
      </c>
      <c r="C1090" s="1">
        <f>IFERROR(__xludf.DUMMYFUNCTION("""COMPUTED_VALUE"""),3347.49)</f>
        <v>3347.49</v>
      </c>
      <c r="D1090" s="1">
        <f>IFERROR(__xludf.DUMMYFUNCTION("""COMPUTED_VALUE"""),3071.26)</f>
        <v>3071.26</v>
      </c>
      <c r="E1090" s="1">
        <f>IFERROR(__xludf.DUMMYFUNCTION("""COMPUTED_VALUE"""),3075.95)</f>
        <v>3075.95</v>
      </c>
      <c r="F1090" s="1">
        <f>IFERROR(__xludf.DUMMYFUNCTION("""COMPUTED_VALUE"""),892535.0)</f>
        <v>892535</v>
      </c>
    </row>
    <row r="1091">
      <c r="A1091" s="2">
        <f>IFERROR(__xludf.DUMMYFUNCTION("""COMPUTED_VALUE"""),43612.64583333333)</f>
        <v>43612.64583</v>
      </c>
      <c r="B1091" s="1">
        <f>IFERROR(__xludf.DUMMYFUNCTION("""COMPUTED_VALUE"""),3047.85)</f>
        <v>3047.85</v>
      </c>
      <c r="C1091" s="1">
        <f>IFERROR(__xludf.DUMMYFUNCTION("""COMPUTED_VALUE"""),3146.17)</f>
        <v>3146.17</v>
      </c>
      <c r="D1091" s="1">
        <f>IFERROR(__xludf.DUMMYFUNCTION("""COMPUTED_VALUE"""),3015.08)</f>
        <v>3015.08</v>
      </c>
      <c r="E1091" s="1">
        <f>IFERROR(__xludf.DUMMYFUNCTION("""COMPUTED_VALUE"""),3015.08)</f>
        <v>3015.08</v>
      </c>
      <c r="F1091" s="1">
        <f>IFERROR(__xludf.DUMMYFUNCTION("""COMPUTED_VALUE"""),128526.0)</f>
        <v>128526</v>
      </c>
    </row>
    <row r="1092">
      <c r="A1092" s="2">
        <f>IFERROR(__xludf.DUMMYFUNCTION("""COMPUTED_VALUE"""),43613.64583333333)</f>
        <v>43613.64583</v>
      </c>
      <c r="B1092" s="1">
        <f>IFERROR(__xludf.DUMMYFUNCTION("""COMPUTED_VALUE"""),2977.63)</f>
        <v>2977.63</v>
      </c>
      <c r="C1092" s="1">
        <f>IFERROR(__xludf.DUMMYFUNCTION("""COMPUTED_VALUE"""),3043.17)</f>
        <v>3043.17</v>
      </c>
      <c r="D1092" s="1">
        <f>IFERROR(__xludf.DUMMYFUNCTION("""COMPUTED_VALUE"""),2949.54)</f>
        <v>2949.54</v>
      </c>
      <c r="E1092" s="1">
        <f>IFERROR(__xludf.DUMMYFUNCTION("""COMPUTED_VALUE"""),2958.9)</f>
        <v>2958.9</v>
      </c>
      <c r="F1092" s="1">
        <f>IFERROR(__xludf.DUMMYFUNCTION("""COMPUTED_VALUE"""),142572.0)</f>
        <v>142572</v>
      </c>
    </row>
    <row r="1093">
      <c r="A1093" s="2">
        <f>IFERROR(__xludf.DUMMYFUNCTION("""COMPUTED_VALUE"""),43614.64583333333)</f>
        <v>43614.64583</v>
      </c>
      <c r="B1093" s="1">
        <f>IFERROR(__xludf.DUMMYFUNCTION("""COMPUTED_VALUE"""),2921.45)</f>
        <v>2921.45</v>
      </c>
      <c r="C1093" s="1">
        <f>IFERROR(__xludf.DUMMYFUNCTION("""COMPUTED_VALUE"""),2958.9)</f>
        <v>2958.9</v>
      </c>
      <c r="D1093" s="1">
        <f>IFERROR(__xludf.DUMMYFUNCTION("""COMPUTED_VALUE"""),2841.86)</f>
        <v>2841.86</v>
      </c>
      <c r="E1093" s="1">
        <f>IFERROR(__xludf.DUMMYFUNCTION("""COMPUTED_VALUE"""),2846.54)</f>
        <v>2846.54</v>
      </c>
      <c r="F1093" s="1">
        <f>IFERROR(__xludf.DUMMYFUNCTION("""COMPUTED_VALUE"""),167997.0)</f>
        <v>167997</v>
      </c>
    </row>
    <row r="1094">
      <c r="A1094" s="2">
        <f>IFERROR(__xludf.DUMMYFUNCTION("""COMPUTED_VALUE"""),43615.64583333333)</f>
        <v>43615.64583</v>
      </c>
      <c r="B1094" s="1">
        <f>IFERROR(__xludf.DUMMYFUNCTION("""COMPUTED_VALUE"""),2818.45)</f>
        <v>2818.45</v>
      </c>
      <c r="C1094" s="1">
        <f>IFERROR(__xludf.DUMMYFUNCTION("""COMPUTED_VALUE"""),3263.22)</f>
        <v>3263.22</v>
      </c>
      <c r="D1094" s="1">
        <f>IFERROR(__xludf.DUMMYFUNCTION("""COMPUTED_VALUE"""),2752.9)</f>
        <v>2752.9</v>
      </c>
      <c r="E1094" s="1">
        <f>IFERROR(__xludf.DUMMYFUNCTION("""COMPUTED_VALUE"""),2874.63)</f>
        <v>2874.63</v>
      </c>
      <c r="F1094" s="1">
        <f>IFERROR(__xludf.DUMMYFUNCTION("""COMPUTED_VALUE"""),1430755.0)</f>
        <v>1430755</v>
      </c>
    </row>
    <row r="1095">
      <c r="A1095" s="2">
        <f>IFERROR(__xludf.DUMMYFUNCTION("""COMPUTED_VALUE"""),43616.64583333333)</f>
        <v>43616.64583</v>
      </c>
      <c r="B1095" s="1">
        <f>IFERROR(__xludf.DUMMYFUNCTION("""COMPUTED_VALUE"""),2869.95)</f>
        <v>2869.95</v>
      </c>
      <c r="C1095" s="1">
        <f>IFERROR(__xludf.DUMMYFUNCTION("""COMPUTED_VALUE"""),2977.63)</f>
        <v>2977.63</v>
      </c>
      <c r="D1095" s="1">
        <f>IFERROR(__xludf.DUMMYFUNCTION("""COMPUTED_VALUE"""),2837.17)</f>
        <v>2837.17</v>
      </c>
      <c r="E1095" s="1">
        <f>IFERROR(__xludf.DUMMYFUNCTION("""COMPUTED_VALUE"""),2954.22)</f>
        <v>2954.22</v>
      </c>
      <c r="F1095" s="1">
        <f>IFERROR(__xludf.DUMMYFUNCTION("""COMPUTED_VALUE"""),164240.0)</f>
        <v>164240</v>
      </c>
    </row>
    <row r="1096">
      <c r="A1096" s="2">
        <f>IFERROR(__xludf.DUMMYFUNCTION("""COMPUTED_VALUE"""),43619.64583333333)</f>
        <v>43619.64583</v>
      </c>
      <c r="B1096" s="1">
        <f>IFERROR(__xludf.DUMMYFUNCTION("""COMPUTED_VALUE"""),2949.54)</f>
        <v>2949.54</v>
      </c>
      <c r="C1096" s="1">
        <f>IFERROR(__xludf.DUMMYFUNCTION("""COMPUTED_VALUE"""),3094.67)</f>
        <v>3094.67</v>
      </c>
      <c r="D1096" s="1">
        <f>IFERROR(__xludf.DUMMYFUNCTION("""COMPUTED_VALUE"""),2902.72)</f>
        <v>2902.72</v>
      </c>
      <c r="E1096" s="1">
        <f>IFERROR(__xludf.DUMMYFUNCTION("""COMPUTED_VALUE"""),3001.04)</f>
        <v>3001.04</v>
      </c>
      <c r="F1096" s="1">
        <f>IFERROR(__xludf.DUMMYFUNCTION("""COMPUTED_VALUE"""),197118.0)</f>
        <v>197118</v>
      </c>
    </row>
    <row r="1097">
      <c r="A1097" s="2">
        <f>IFERROR(__xludf.DUMMYFUNCTION("""COMPUTED_VALUE"""),43620.64583333333)</f>
        <v>43620.64583</v>
      </c>
      <c r="B1097" s="1">
        <f>IFERROR(__xludf.DUMMYFUNCTION("""COMPUTED_VALUE"""),2968.26)</f>
        <v>2968.26</v>
      </c>
      <c r="C1097" s="1">
        <f>IFERROR(__xludf.DUMMYFUNCTION("""COMPUTED_VALUE"""),3057.22)</f>
        <v>3057.22</v>
      </c>
      <c r="D1097" s="1">
        <f>IFERROR(__xludf.DUMMYFUNCTION("""COMPUTED_VALUE"""),2968.26)</f>
        <v>2968.26</v>
      </c>
      <c r="E1097" s="1">
        <f>IFERROR(__xludf.DUMMYFUNCTION("""COMPUTED_VALUE"""),3047.85)</f>
        <v>3047.85</v>
      </c>
      <c r="F1097" s="1">
        <f>IFERROR(__xludf.DUMMYFUNCTION("""COMPUTED_VALUE"""),96607.0)</f>
        <v>96607</v>
      </c>
    </row>
    <row r="1098">
      <c r="A1098" s="2">
        <f>IFERROR(__xludf.DUMMYFUNCTION("""COMPUTED_VALUE"""),43621.64583333333)</f>
        <v>43621.64583</v>
      </c>
      <c r="B1098" s="1">
        <f>IFERROR(__xludf.DUMMYFUNCTION("""COMPUTED_VALUE"""),3089.99)</f>
        <v>3089.99</v>
      </c>
      <c r="C1098" s="1">
        <f>IFERROR(__xludf.DUMMYFUNCTION("""COMPUTED_VALUE"""),3089.99)</f>
        <v>3089.99</v>
      </c>
      <c r="D1098" s="1">
        <f>IFERROR(__xludf.DUMMYFUNCTION("""COMPUTED_VALUE"""),3005.72)</f>
        <v>3005.72</v>
      </c>
      <c r="E1098" s="1">
        <f>IFERROR(__xludf.DUMMYFUNCTION("""COMPUTED_VALUE"""),3029.13)</f>
        <v>3029.13</v>
      </c>
      <c r="F1098" s="1">
        <f>IFERROR(__xludf.DUMMYFUNCTION("""COMPUTED_VALUE"""),133779.0)</f>
        <v>133779</v>
      </c>
    </row>
    <row r="1099">
      <c r="A1099" s="2">
        <f>IFERROR(__xludf.DUMMYFUNCTION("""COMPUTED_VALUE"""),43623.64583333333)</f>
        <v>43623.64583</v>
      </c>
      <c r="B1099" s="1">
        <f>IFERROR(__xludf.DUMMYFUNCTION("""COMPUTED_VALUE"""),3010.4)</f>
        <v>3010.4</v>
      </c>
      <c r="C1099" s="1">
        <f>IFERROR(__xludf.DUMMYFUNCTION("""COMPUTED_VALUE"""),3136.81)</f>
        <v>3136.81</v>
      </c>
      <c r="D1099" s="1">
        <f>IFERROR(__xludf.DUMMYFUNCTION("""COMPUTED_VALUE"""),3005.72)</f>
        <v>3005.72</v>
      </c>
      <c r="E1099" s="1">
        <f>IFERROR(__xludf.DUMMYFUNCTION("""COMPUTED_VALUE"""),3108.72)</f>
        <v>3108.72</v>
      </c>
      <c r="F1099" s="1">
        <f>IFERROR(__xludf.DUMMYFUNCTION("""COMPUTED_VALUE"""),166542.0)</f>
        <v>166542</v>
      </c>
    </row>
    <row r="1100">
      <c r="A1100" s="2">
        <f>IFERROR(__xludf.DUMMYFUNCTION("""COMPUTED_VALUE"""),43626.64583333333)</f>
        <v>43626.64583</v>
      </c>
      <c r="B1100" s="1">
        <f>IFERROR(__xludf.DUMMYFUNCTION("""COMPUTED_VALUE"""),3108.72)</f>
        <v>3108.72</v>
      </c>
      <c r="C1100" s="1">
        <f>IFERROR(__xludf.DUMMYFUNCTION("""COMPUTED_VALUE"""),3305.35)</f>
        <v>3305.35</v>
      </c>
      <c r="D1100" s="1">
        <f>IFERROR(__xludf.DUMMYFUNCTION("""COMPUTED_VALUE"""),3099.35)</f>
        <v>3099.35</v>
      </c>
      <c r="E1100" s="1">
        <f>IFERROR(__xludf.DUMMYFUNCTION("""COMPUTED_VALUE"""),3188.31)</f>
        <v>3188.31</v>
      </c>
      <c r="F1100" s="1">
        <f>IFERROR(__xludf.DUMMYFUNCTION("""COMPUTED_VALUE"""),412029.0)</f>
        <v>412029</v>
      </c>
    </row>
    <row r="1101">
      <c r="A1101" s="2">
        <f>IFERROR(__xludf.DUMMYFUNCTION("""COMPUTED_VALUE"""),43627.64583333333)</f>
        <v>43627.64583</v>
      </c>
      <c r="B1101" s="1">
        <f>IFERROR(__xludf.DUMMYFUNCTION("""COMPUTED_VALUE"""),3183.63)</f>
        <v>3183.63</v>
      </c>
      <c r="C1101" s="1">
        <f>IFERROR(__xludf.DUMMYFUNCTION("""COMPUTED_VALUE"""),3333.44)</f>
        <v>3333.44</v>
      </c>
      <c r="D1101" s="1">
        <f>IFERROR(__xludf.DUMMYFUNCTION("""COMPUTED_VALUE"""),3183.63)</f>
        <v>3183.63</v>
      </c>
      <c r="E1101" s="1">
        <f>IFERROR(__xludf.DUMMYFUNCTION("""COMPUTED_VALUE"""),3230.44)</f>
        <v>3230.44</v>
      </c>
      <c r="F1101" s="1">
        <f>IFERROR(__xludf.DUMMYFUNCTION("""COMPUTED_VALUE"""),445212.0)</f>
        <v>445212</v>
      </c>
    </row>
    <row r="1102">
      <c r="A1102" s="2">
        <f>IFERROR(__xludf.DUMMYFUNCTION("""COMPUTED_VALUE"""),43628.64583333333)</f>
        <v>43628.64583</v>
      </c>
      <c r="B1102" s="1">
        <f>IFERROR(__xludf.DUMMYFUNCTION("""COMPUTED_VALUE"""),3253.85)</f>
        <v>3253.85</v>
      </c>
      <c r="C1102" s="1">
        <f>IFERROR(__xludf.DUMMYFUNCTION("""COMPUTED_VALUE"""),3267.9)</f>
        <v>3267.9</v>
      </c>
      <c r="D1102" s="1">
        <f>IFERROR(__xludf.DUMMYFUNCTION("""COMPUTED_VALUE"""),3192.99)</f>
        <v>3192.99</v>
      </c>
      <c r="E1102" s="1">
        <f>IFERROR(__xludf.DUMMYFUNCTION("""COMPUTED_VALUE"""),3230.44)</f>
        <v>3230.44</v>
      </c>
      <c r="F1102" s="1">
        <f>IFERROR(__xludf.DUMMYFUNCTION("""COMPUTED_VALUE"""),153125.0)</f>
        <v>153125</v>
      </c>
    </row>
    <row r="1103">
      <c r="A1103" s="2">
        <f>IFERROR(__xludf.DUMMYFUNCTION("""COMPUTED_VALUE"""),43629.64583333333)</f>
        <v>43629.64583</v>
      </c>
      <c r="B1103" s="1">
        <f>IFERROR(__xludf.DUMMYFUNCTION("""COMPUTED_VALUE"""),3211.72)</f>
        <v>3211.72</v>
      </c>
      <c r="C1103" s="1">
        <f>IFERROR(__xludf.DUMMYFUNCTION("""COMPUTED_VALUE"""),3319.4)</f>
        <v>3319.4</v>
      </c>
      <c r="D1103" s="1">
        <f>IFERROR(__xludf.DUMMYFUNCTION("""COMPUTED_VALUE"""),3197.67)</f>
        <v>3197.67</v>
      </c>
      <c r="E1103" s="1">
        <f>IFERROR(__xludf.DUMMYFUNCTION("""COMPUTED_VALUE"""),3267.9)</f>
        <v>3267.9</v>
      </c>
      <c r="F1103" s="1">
        <f>IFERROR(__xludf.DUMMYFUNCTION("""COMPUTED_VALUE"""),199550.0)</f>
        <v>199550</v>
      </c>
    </row>
    <row r="1104">
      <c r="A1104" s="2">
        <f>IFERROR(__xludf.DUMMYFUNCTION("""COMPUTED_VALUE"""),43630.64583333333)</f>
        <v>43630.64583</v>
      </c>
      <c r="B1104" s="1">
        <f>IFERROR(__xludf.DUMMYFUNCTION("""COMPUTED_VALUE"""),3263.22)</f>
        <v>3263.22</v>
      </c>
      <c r="C1104" s="1">
        <f>IFERROR(__xludf.DUMMYFUNCTION("""COMPUTED_VALUE"""),3305.35)</f>
        <v>3305.35</v>
      </c>
      <c r="D1104" s="1">
        <f>IFERROR(__xludf.DUMMYFUNCTION("""COMPUTED_VALUE"""),3192.99)</f>
        <v>3192.99</v>
      </c>
      <c r="E1104" s="1">
        <f>IFERROR(__xludf.DUMMYFUNCTION("""COMPUTED_VALUE"""),3197.67)</f>
        <v>3197.67</v>
      </c>
      <c r="F1104" s="1">
        <f>IFERROR(__xludf.DUMMYFUNCTION("""COMPUTED_VALUE"""),174142.0)</f>
        <v>174142</v>
      </c>
    </row>
    <row r="1105">
      <c r="A1105" s="2">
        <f>IFERROR(__xludf.DUMMYFUNCTION("""COMPUTED_VALUE"""),43633.64583333333)</f>
        <v>43633.64583</v>
      </c>
      <c r="B1105" s="1">
        <f>IFERROR(__xludf.DUMMYFUNCTION("""COMPUTED_VALUE"""),3211.72)</f>
        <v>3211.72</v>
      </c>
      <c r="C1105" s="1">
        <f>IFERROR(__xludf.DUMMYFUNCTION("""COMPUTED_VALUE"""),3380.26)</f>
        <v>3380.26</v>
      </c>
      <c r="D1105" s="1">
        <f>IFERROR(__xludf.DUMMYFUNCTION("""COMPUTED_VALUE"""),3164.9)</f>
        <v>3164.9</v>
      </c>
      <c r="E1105" s="1">
        <f>IFERROR(__xludf.DUMMYFUNCTION("""COMPUTED_VALUE"""),3333.44)</f>
        <v>3333.44</v>
      </c>
      <c r="F1105" s="1">
        <f>IFERROR(__xludf.DUMMYFUNCTION("""COMPUTED_VALUE"""),449950.0)</f>
        <v>449950</v>
      </c>
    </row>
    <row r="1106">
      <c r="A1106" s="2">
        <f>IFERROR(__xludf.DUMMYFUNCTION("""COMPUTED_VALUE"""),43634.64583333333)</f>
        <v>43634.64583</v>
      </c>
      <c r="B1106" s="1">
        <f>IFERROR(__xludf.DUMMYFUNCTION("""COMPUTED_VALUE"""),3324.08)</f>
        <v>3324.08</v>
      </c>
      <c r="C1106" s="1">
        <f>IFERROR(__xludf.DUMMYFUNCTION("""COMPUTED_VALUE"""),4330.67)</f>
        <v>4330.67</v>
      </c>
      <c r="D1106" s="1">
        <f>IFERROR(__xludf.DUMMYFUNCTION("""COMPUTED_VALUE"""),3314.72)</f>
        <v>3314.72</v>
      </c>
      <c r="E1106" s="1">
        <f>IFERROR(__xludf.DUMMYFUNCTION("""COMPUTED_VALUE"""),3839.08)</f>
        <v>3839.08</v>
      </c>
      <c r="F1106" s="1">
        <f>IFERROR(__xludf.DUMMYFUNCTION("""COMPUTED_VALUE"""),2.1513663E7)</f>
        <v>21513663</v>
      </c>
    </row>
    <row r="1107">
      <c r="A1107" s="2">
        <f>IFERROR(__xludf.DUMMYFUNCTION("""COMPUTED_VALUE"""),43635.64583333333)</f>
        <v>43635.64583</v>
      </c>
      <c r="B1107" s="1">
        <f>IFERROR(__xludf.DUMMYFUNCTION("""COMPUTED_VALUE"""),3839.08)</f>
        <v>3839.08</v>
      </c>
      <c r="C1107" s="1">
        <f>IFERROR(__xludf.DUMMYFUNCTION("""COMPUTED_VALUE"""),4077.85)</f>
        <v>4077.85</v>
      </c>
      <c r="D1107" s="1">
        <f>IFERROR(__xludf.DUMMYFUNCTION("""COMPUTED_VALUE"""),3722.03)</f>
        <v>3722.03</v>
      </c>
      <c r="E1107" s="1">
        <f>IFERROR(__xludf.DUMMYFUNCTION("""COMPUTED_VALUE"""),3951.44)</f>
        <v>3951.44</v>
      </c>
      <c r="F1107" s="1">
        <f>IFERROR(__xludf.DUMMYFUNCTION("""COMPUTED_VALUE"""),4119917.0)</f>
        <v>4119917</v>
      </c>
    </row>
    <row r="1108">
      <c r="A1108" s="2">
        <f>IFERROR(__xludf.DUMMYFUNCTION("""COMPUTED_VALUE"""),43636.64583333333)</f>
        <v>43636.64583</v>
      </c>
      <c r="B1108" s="1">
        <f>IFERROR(__xludf.DUMMYFUNCTION("""COMPUTED_VALUE"""),3876.53)</f>
        <v>3876.53</v>
      </c>
      <c r="C1108" s="1">
        <f>IFERROR(__xludf.DUMMYFUNCTION("""COMPUTED_VALUE"""),4012.31)</f>
        <v>4012.31</v>
      </c>
      <c r="D1108" s="1">
        <f>IFERROR(__xludf.DUMMYFUNCTION("""COMPUTED_VALUE"""),3792.26)</f>
        <v>3792.26</v>
      </c>
      <c r="E1108" s="1">
        <f>IFERROR(__xludf.DUMMYFUNCTION("""COMPUTED_VALUE"""),4007.62)</f>
        <v>4007.62</v>
      </c>
      <c r="F1108" s="1">
        <f>IFERROR(__xludf.DUMMYFUNCTION("""COMPUTED_VALUE"""),1953306.0)</f>
        <v>1953306</v>
      </c>
    </row>
    <row r="1109">
      <c r="A1109" s="2">
        <f>IFERROR(__xludf.DUMMYFUNCTION("""COMPUTED_VALUE"""),43637.64583333333)</f>
        <v>43637.64583</v>
      </c>
      <c r="B1109" s="1">
        <f>IFERROR(__xludf.DUMMYFUNCTION("""COMPUTED_VALUE"""),4803.53)</f>
        <v>4803.53</v>
      </c>
      <c r="C1109" s="1">
        <f>IFERROR(__xludf.DUMMYFUNCTION("""COMPUTED_VALUE"""),5037.62)</f>
        <v>5037.62</v>
      </c>
      <c r="D1109" s="1">
        <f>IFERROR(__xludf.DUMMYFUNCTION("""COMPUTED_VALUE"""),3993.58)</f>
        <v>3993.58</v>
      </c>
      <c r="E1109" s="1">
        <f>IFERROR(__xludf.DUMMYFUNCTION("""COMPUTED_VALUE"""),4002.94)</f>
        <v>4002.94</v>
      </c>
      <c r="F1109" s="1">
        <f>IFERROR(__xludf.DUMMYFUNCTION("""COMPUTED_VALUE"""),1.6917068E7)</f>
        <v>16917068</v>
      </c>
    </row>
    <row r="1110">
      <c r="A1110" s="2">
        <f>IFERROR(__xludf.DUMMYFUNCTION("""COMPUTED_VALUE"""),43640.64583333333)</f>
        <v>43640.64583</v>
      </c>
      <c r="B1110" s="1">
        <f>IFERROR(__xludf.DUMMYFUNCTION("""COMPUTED_VALUE"""),3946.76)</f>
        <v>3946.76</v>
      </c>
      <c r="C1110" s="1">
        <f>IFERROR(__xludf.DUMMYFUNCTION("""COMPUTED_VALUE"""),3956.12)</f>
        <v>3956.12</v>
      </c>
      <c r="D1110" s="1">
        <f>IFERROR(__xludf.DUMMYFUNCTION("""COMPUTED_VALUE"""),3740.76)</f>
        <v>3740.76</v>
      </c>
      <c r="E1110" s="1">
        <f>IFERROR(__xludf.DUMMYFUNCTION("""COMPUTED_VALUE"""),3787.58)</f>
        <v>3787.58</v>
      </c>
      <c r="F1110" s="1">
        <f>IFERROR(__xludf.DUMMYFUNCTION("""COMPUTED_VALUE"""),2144368.0)</f>
        <v>2144368</v>
      </c>
    </row>
    <row r="1111">
      <c r="A1111" s="2">
        <f>IFERROR(__xludf.DUMMYFUNCTION("""COMPUTED_VALUE"""),43641.64583333333)</f>
        <v>43641.64583</v>
      </c>
      <c r="B1111" s="1">
        <f>IFERROR(__xludf.DUMMYFUNCTION("""COMPUTED_VALUE"""),3862.49)</f>
        <v>3862.49</v>
      </c>
      <c r="C1111" s="1">
        <f>IFERROR(__xludf.DUMMYFUNCTION("""COMPUTED_VALUE"""),4363.44)</f>
        <v>4363.44</v>
      </c>
      <c r="D1111" s="1">
        <f>IFERROR(__xludf.DUMMYFUNCTION("""COMPUTED_VALUE"""),3778.22)</f>
        <v>3778.22</v>
      </c>
      <c r="E1111" s="1">
        <f>IFERROR(__xludf.DUMMYFUNCTION("""COMPUTED_VALUE"""),3951.44)</f>
        <v>3951.44</v>
      </c>
      <c r="F1111" s="1">
        <f>IFERROR(__xludf.DUMMYFUNCTION("""COMPUTED_VALUE"""),1.0151634E7)</f>
        <v>10151634</v>
      </c>
    </row>
    <row r="1112">
      <c r="A1112" s="2">
        <f>IFERROR(__xludf.DUMMYFUNCTION("""COMPUTED_VALUE"""),43642.64583333333)</f>
        <v>43642.64583</v>
      </c>
      <c r="B1112" s="1">
        <f>IFERROR(__xludf.DUMMYFUNCTION("""COMPUTED_VALUE"""),3862.49)</f>
        <v>3862.49</v>
      </c>
      <c r="C1112" s="1">
        <f>IFERROR(__xludf.DUMMYFUNCTION("""COMPUTED_VALUE"""),4489.85)</f>
        <v>4489.85</v>
      </c>
      <c r="D1112" s="1">
        <f>IFERROR(__xludf.DUMMYFUNCTION("""COMPUTED_VALUE"""),3801.63)</f>
        <v>3801.63</v>
      </c>
      <c r="E1112" s="1">
        <f>IFERROR(__xludf.DUMMYFUNCTION("""COMPUTED_VALUE"""),4002.94)</f>
        <v>4002.94</v>
      </c>
      <c r="F1112" s="1">
        <f>IFERROR(__xludf.DUMMYFUNCTION("""COMPUTED_VALUE"""),8749414.0)</f>
        <v>8749414</v>
      </c>
    </row>
    <row r="1113">
      <c r="A1113" s="2">
        <f>IFERROR(__xludf.DUMMYFUNCTION("""COMPUTED_VALUE"""),43643.64583333333)</f>
        <v>43643.64583</v>
      </c>
      <c r="B1113" s="1">
        <f>IFERROR(__xludf.DUMMYFUNCTION("""COMPUTED_VALUE"""),4119.99)</f>
        <v>4119.99</v>
      </c>
      <c r="C1113" s="1">
        <f>IFERROR(__xludf.DUMMYFUNCTION("""COMPUTED_VALUE"""),4325.99)</f>
        <v>4325.99</v>
      </c>
      <c r="D1113" s="1">
        <f>IFERROR(__xludf.DUMMYFUNCTION("""COMPUTED_VALUE"""),4002.94)</f>
        <v>4002.94</v>
      </c>
      <c r="E1113" s="1">
        <f>IFERROR(__xludf.DUMMYFUNCTION("""COMPUTED_VALUE"""),4213.62)</f>
        <v>4213.62</v>
      </c>
      <c r="F1113" s="1">
        <f>IFERROR(__xludf.DUMMYFUNCTION("""COMPUTED_VALUE"""),5735589.0)</f>
        <v>5735589</v>
      </c>
    </row>
    <row r="1114">
      <c r="A1114" s="2">
        <f>IFERROR(__xludf.DUMMYFUNCTION("""COMPUTED_VALUE"""),43644.64583333333)</f>
        <v>43644.64583</v>
      </c>
      <c r="B1114" s="1">
        <f>IFERROR(__xludf.DUMMYFUNCTION("""COMPUTED_VALUE"""),4171.49)</f>
        <v>4171.49</v>
      </c>
      <c r="C1114" s="1">
        <f>IFERROR(__xludf.DUMMYFUNCTION("""COMPUTED_VALUE"""),4325.99)</f>
        <v>4325.99</v>
      </c>
      <c r="D1114" s="1">
        <f>IFERROR(__xludf.DUMMYFUNCTION("""COMPUTED_VALUE"""),4035.72)</f>
        <v>4035.72</v>
      </c>
      <c r="E1114" s="1">
        <f>IFERROR(__xludf.DUMMYFUNCTION("""COMPUTED_VALUE"""),4110.62)</f>
        <v>4110.62</v>
      </c>
      <c r="F1114" s="1">
        <f>IFERROR(__xludf.DUMMYFUNCTION("""COMPUTED_VALUE"""),1768333.0)</f>
        <v>1768333</v>
      </c>
    </row>
    <row r="1115">
      <c r="A1115" s="2">
        <f>IFERROR(__xludf.DUMMYFUNCTION("""COMPUTED_VALUE"""),43647.64583333333)</f>
        <v>43647.64583</v>
      </c>
      <c r="B1115" s="1">
        <f>IFERROR(__xludf.DUMMYFUNCTION("""COMPUTED_VALUE"""),4040.4)</f>
        <v>4040.4</v>
      </c>
      <c r="C1115" s="1">
        <f>IFERROR(__xludf.DUMMYFUNCTION("""COMPUTED_VALUE"""),4148.08)</f>
        <v>4148.08</v>
      </c>
      <c r="D1115" s="1">
        <f>IFERROR(__xludf.DUMMYFUNCTION("""COMPUTED_VALUE"""),3871.85)</f>
        <v>3871.85</v>
      </c>
      <c r="E1115" s="1">
        <f>IFERROR(__xludf.DUMMYFUNCTION("""COMPUTED_VALUE"""),3871.85)</f>
        <v>3871.85</v>
      </c>
      <c r="F1115" s="1">
        <f>IFERROR(__xludf.DUMMYFUNCTION("""COMPUTED_VALUE"""),1256873.0)</f>
        <v>1256873</v>
      </c>
    </row>
    <row r="1116">
      <c r="A1116" s="2">
        <f>IFERROR(__xludf.DUMMYFUNCTION("""COMPUTED_VALUE"""),43648.64583333333)</f>
        <v>43648.64583</v>
      </c>
      <c r="B1116" s="1">
        <f>IFERROR(__xludf.DUMMYFUNCTION("""COMPUTED_VALUE"""),3843.76)</f>
        <v>3843.76</v>
      </c>
      <c r="C1116" s="1">
        <f>IFERROR(__xludf.DUMMYFUNCTION("""COMPUTED_VALUE"""),4475.8)</f>
        <v>4475.8</v>
      </c>
      <c r="D1116" s="1">
        <f>IFERROR(__xludf.DUMMYFUNCTION("""COMPUTED_VALUE"""),3773.53)</f>
        <v>3773.53</v>
      </c>
      <c r="E1116" s="1">
        <f>IFERROR(__xludf.DUMMYFUNCTION("""COMPUTED_VALUE"""),4049.76)</f>
        <v>4049.76</v>
      </c>
      <c r="F1116" s="1">
        <f>IFERROR(__xludf.DUMMYFUNCTION("""COMPUTED_VALUE"""),9496756.0)</f>
        <v>9496756</v>
      </c>
    </row>
    <row r="1117">
      <c r="A1117" s="2">
        <f>IFERROR(__xludf.DUMMYFUNCTION("""COMPUTED_VALUE"""),43649.64583333333)</f>
        <v>43649.64583</v>
      </c>
      <c r="B1117" s="1">
        <f>IFERROR(__xludf.DUMMYFUNCTION("""COMPUTED_VALUE"""),4077.85)</f>
        <v>4077.85</v>
      </c>
      <c r="C1117" s="1">
        <f>IFERROR(__xludf.DUMMYFUNCTION("""COMPUTED_VALUE"""),4246.4)</f>
        <v>4246.4</v>
      </c>
      <c r="D1117" s="1">
        <f>IFERROR(__xludf.DUMMYFUNCTION("""COMPUTED_VALUE"""),4049.76)</f>
        <v>4049.76</v>
      </c>
      <c r="E1117" s="1">
        <f>IFERROR(__xludf.DUMMYFUNCTION("""COMPUTED_VALUE"""),4119.99)</f>
        <v>4119.99</v>
      </c>
      <c r="F1117" s="1">
        <f>IFERROR(__xludf.DUMMYFUNCTION("""COMPUTED_VALUE"""),2960748.0)</f>
        <v>2960748</v>
      </c>
    </row>
    <row r="1118">
      <c r="A1118" s="2">
        <f>IFERROR(__xludf.DUMMYFUNCTION("""COMPUTED_VALUE"""),43650.64583333333)</f>
        <v>43650.64583</v>
      </c>
      <c r="B1118" s="1">
        <f>IFERROR(__xludf.DUMMYFUNCTION("""COMPUTED_VALUE"""),4119.99)</f>
        <v>4119.99</v>
      </c>
      <c r="C1118" s="1">
        <f>IFERROR(__xludf.DUMMYFUNCTION("""COMPUTED_VALUE"""),4237.03)</f>
        <v>4237.03</v>
      </c>
      <c r="D1118" s="1">
        <f>IFERROR(__xludf.DUMMYFUNCTION("""COMPUTED_VALUE"""),3951.44)</f>
        <v>3951.44</v>
      </c>
      <c r="E1118" s="1">
        <f>IFERROR(__xludf.DUMMYFUNCTION("""COMPUTED_VALUE"""),3960.81)</f>
        <v>3960.81</v>
      </c>
      <c r="F1118" s="1">
        <f>IFERROR(__xludf.DUMMYFUNCTION("""COMPUTED_VALUE"""),955773.0)</f>
        <v>955773</v>
      </c>
    </row>
    <row r="1119">
      <c r="A1119" s="2">
        <f>IFERROR(__xludf.DUMMYFUNCTION("""COMPUTED_VALUE"""),43651.64583333333)</f>
        <v>43651.64583</v>
      </c>
      <c r="B1119" s="1">
        <f>IFERROR(__xludf.DUMMYFUNCTION("""COMPUTED_VALUE"""),3899.94)</f>
        <v>3899.94</v>
      </c>
      <c r="C1119" s="1">
        <f>IFERROR(__xludf.DUMMYFUNCTION("""COMPUTED_VALUE"""),4152.76)</f>
        <v>4152.76</v>
      </c>
      <c r="D1119" s="1">
        <f>IFERROR(__xludf.DUMMYFUNCTION("""COMPUTED_VALUE"""),3867.17)</f>
        <v>3867.17</v>
      </c>
      <c r="E1119" s="1">
        <f>IFERROR(__xludf.DUMMYFUNCTION("""COMPUTED_VALUE"""),4148.08)</f>
        <v>4148.08</v>
      </c>
      <c r="F1119" s="1">
        <f>IFERROR(__xludf.DUMMYFUNCTION("""COMPUTED_VALUE"""),1537550.0)</f>
        <v>1537550</v>
      </c>
    </row>
    <row r="1120">
      <c r="A1120" s="2">
        <f>IFERROR(__xludf.DUMMYFUNCTION("""COMPUTED_VALUE"""),43654.64583333333)</f>
        <v>43654.64583</v>
      </c>
      <c r="B1120" s="1">
        <f>IFERROR(__xludf.DUMMYFUNCTION("""COMPUTED_VALUE"""),4105.94)</f>
        <v>4105.94</v>
      </c>
      <c r="C1120" s="1">
        <f>IFERROR(__xludf.DUMMYFUNCTION("""COMPUTED_VALUE"""),4171.49)</f>
        <v>4171.49</v>
      </c>
      <c r="D1120" s="1">
        <f>IFERROR(__xludf.DUMMYFUNCTION("""COMPUTED_VALUE"""),3848.44)</f>
        <v>3848.44</v>
      </c>
      <c r="E1120" s="1">
        <f>IFERROR(__xludf.DUMMYFUNCTION("""COMPUTED_VALUE"""),3885.9)</f>
        <v>3885.9</v>
      </c>
      <c r="F1120" s="1">
        <f>IFERROR(__xludf.DUMMYFUNCTION("""COMPUTED_VALUE"""),997710.0)</f>
        <v>997710</v>
      </c>
    </row>
    <row r="1121">
      <c r="A1121" s="2">
        <f>IFERROR(__xludf.DUMMYFUNCTION("""COMPUTED_VALUE"""),43655.64583333333)</f>
        <v>43655.64583</v>
      </c>
      <c r="B1121" s="1">
        <f>IFERROR(__xludf.DUMMYFUNCTION("""COMPUTED_VALUE"""),3885.9)</f>
        <v>3885.9</v>
      </c>
      <c r="C1121" s="1">
        <f>IFERROR(__xludf.DUMMYFUNCTION("""COMPUTED_VALUE"""),4021.67)</f>
        <v>4021.67</v>
      </c>
      <c r="D1121" s="1">
        <f>IFERROR(__xludf.DUMMYFUNCTION("""COMPUTED_VALUE"""),3796.94)</f>
        <v>3796.94</v>
      </c>
      <c r="E1121" s="1">
        <f>IFERROR(__xludf.DUMMYFUNCTION("""COMPUTED_VALUE"""),3815.67)</f>
        <v>3815.67</v>
      </c>
      <c r="F1121" s="1">
        <f>IFERROR(__xludf.DUMMYFUNCTION("""COMPUTED_VALUE"""),783706.0)</f>
        <v>783706</v>
      </c>
    </row>
    <row r="1122">
      <c r="A1122" s="2">
        <f>IFERROR(__xludf.DUMMYFUNCTION("""COMPUTED_VALUE"""),43656.64583333333)</f>
        <v>43656.64583</v>
      </c>
      <c r="B1122" s="1">
        <f>IFERROR(__xludf.DUMMYFUNCTION("""COMPUTED_VALUE"""),3834.4)</f>
        <v>3834.4</v>
      </c>
      <c r="C1122" s="1">
        <f>IFERROR(__xludf.DUMMYFUNCTION("""COMPUTED_VALUE"""),4105.94)</f>
        <v>4105.94</v>
      </c>
      <c r="D1122" s="1">
        <f>IFERROR(__xludf.DUMMYFUNCTION("""COMPUTED_VALUE"""),3815.67)</f>
        <v>3815.67</v>
      </c>
      <c r="E1122" s="1">
        <f>IFERROR(__xludf.DUMMYFUNCTION("""COMPUTED_VALUE"""),4031.03)</f>
        <v>4031.03</v>
      </c>
      <c r="F1122" s="1">
        <f>IFERROR(__xludf.DUMMYFUNCTION("""COMPUTED_VALUE"""),1419534.0)</f>
        <v>1419534</v>
      </c>
    </row>
    <row r="1123">
      <c r="A1123" s="2">
        <f>IFERROR(__xludf.DUMMYFUNCTION("""COMPUTED_VALUE"""),43657.64583333333)</f>
        <v>43657.64583</v>
      </c>
      <c r="B1123" s="1">
        <f>IFERROR(__xludf.DUMMYFUNCTION("""COMPUTED_VALUE"""),4035.72)</f>
        <v>4035.72</v>
      </c>
      <c r="C1123" s="1">
        <f>IFERROR(__xludf.DUMMYFUNCTION("""COMPUTED_VALUE"""),4152.76)</f>
        <v>4152.76</v>
      </c>
      <c r="D1123" s="1">
        <f>IFERROR(__xludf.DUMMYFUNCTION("""COMPUTED_VALUE"""),3979.53)</f>
        <v>3979.53</v>
      </c>
      <c r="E1123" s="1">
        <f>IFERROR(__xludf.DUMMYFUNCTION("""COMPUTED_VALUE"""),4021.67)</f>
        <v>4021.67</v>
      </c>
      <c r="F1123" s="1">
        <f>IFERROR(__xludf.DUMMYFUNCTION("""COMPUTED_VALUE"""),1084818.0)</f>
        <v>1084818</v>
      </c>
    </row>
    <row r="1124">
      <c r="A1124" s="2">
        <f>IFERROR(__xludf.DUMMYFUNCTION("""COMPUTED_VALUE"""),43658.64583333333)</f>
        <v>43658.64583</v>
      </c>
      <c r="B1124" s="1">
        <f>IFERROR(__xludf.DUMMYFUNCTION("""COMPUTED_VALUE"""),4059.12)</f>
        <v>4059.12</v>
      </c>
      <c r="C1124" s="1">
        <f>IFERROR(__xludf.DUMMYFUNCTION("""COMPUTED_VALUE"""),4129.35)</f>
        <v>4129.35</v>
      </c>
      <c r="D1124" s="1">
        <f>IFERROR(__xludf.DUMMYFUNCTION("""COMPUTED_VALUE"""),3946.76)</f>
        <v>3946.76</v>
      </c>
      <c r="E1124" s="1">
        <f>IFERROR(__xludf.DUMMYFUNCTION("""COMPUTED_VALUE"""),4063.81)</f>
        <v>4063.81</v>
      </c>
      <c r="F1124" s="1">
        <f>IFERROR(__xludf.DUMMYFUNCTION("""COMPUTED_VALUE"""),990688.0)</f>
        <v>990688</v>
      </c>
    </row>
    <row r="1125">
      <c r="A1125" s="2">
        <f>IFERROR(__xludf.DUMMYFUNCTION("""COMPUTED_VALUE"""),43661.64583333333)</f>
        <v>43661.64583</v>
      </c>
      <c r="B1125" s="1">
        <f>IFERROR(__xludf.DUMMYFUNCTION("""COMPUTED_VALUE"""),4138.72)</f>
        <v>4138.72</v>
      </c>
      <c r="C1125" s="1">
        <f>IFERROR(__xludf.DUMMYFUNCTION("""COMPUTED_VALUE"""),4185.53)</f>
        <v>4185.53</v>
      </c>
      <c r="D1125" s="1">
        <f>IFERROR(__xludf.DUMMYFUNCTION("""COMPUTED_VALUE"""),3633.08)</f>
        <v>3633.08</v>
      </c>
      <c r="E1125" s="1">
        <f>IFERROR(__xludf.DUMMYFUNCTION("""COMPUTED_VALUE"""),3642.44)</f>
        <v>3642.44</v>
      </c>
      <c r="F1125" s="1">
        <f>IFERROR(__xludf.DUMMYFUNCTION("""COMPUTED_VALUE"""),1894743.0)</f>
        <v>1894743</v>
      </c>
    </row>
    <row r="1126">
      <c r="A1126" s="2">
        <f>IFERROR(__xludf.DUMMYFUNCTION("""COMPUTED_VALUE"""),43662.64583333333)</f>
        <v>43662.64583</v>
      </c>
      <c r="B1126" s="1">
        <f>IFERROR(__xludf.DUMMYFUNCTION("""COMPUTED_VALUE"""),3590.94)</f>
        <v>3590.94</v>
      </c>
      <c r="C1126" s="1">
        <f>IFERROR(__xludf.DUMMYFUNCTION("""COMPUTED_VALUE"""),3590.94)</f>
        <v>3590.94</v>
      </c>
      <c r="D1126" s="1">
        <f>IFERROR(__xludf.DUMMYFUNCTION("""COMPUTED_VALUE"""),3300.67)</f>
        <v>3300.67</v>
      </c>
      <c r="E1126" s="1">
        <f>IFERROR(__xludf.DUMMYFUNCTION("""COMPUTED_VALUE"""),3338.13)</f>
        <v>3338.13</v>
      </c>
      <c r="F1126" s="1">
        <f>IFERROR(__xludf.DUMMYFUNCTION("""COMPUTED_VALUE"""),1592694.0)</f>
        <v>1592694</v>
      </c>
    </row>
    <row r="1127">
      <c r="A1127" s="2">
        <f>IFERROR(__xludf.DUMMYFUNCTION("""COMPUTED_VALUE"""),43663.64583333333)</f>
        <v>43663.64583</v>
      </c>
      <c r="B1127" s="1">
        <f>IFERROR(__xludf.DUMMYFUNCTION("""COMPUTED_VALUE"""),3342.81)</f>
        <v>3342.81</v>
      </c>
      <c r="C1127" s="1">
        <f>IFERROR(__xludf.DUMMYFUNCTION("""COMPUTED_VALUE"""),3464.54)</f>
        <v>3464.54</v>
      </c>
      <c r="D1127" s="1">
        <f>IFERROR(__xludf.DUMMYFUNCTION("""COMPUTED_VALUE"""),3310.04)</f>
        <v>3310.04</v>
      </c>
      <c r="E1127" s="1">
        <f>IFERROR(__xludf.DUMMYFUNCTION("""COMPUTED_VALUE"""),3314.72)</f>
        <v>3314.72</v>
      </c>
      <c r="F1127" s="1">
        <f>IFERROR(__xludf.DUMMYFUNCTION("""COMPUTED_VALUE"""),689281.0)</f>
        <v>689281</v>
      </c>
    </row>
    <row r="1128">
      <c r="A1128" s="2">
        <f>IFERROR(__xludf.DUMMYFUNCTION("""COMPUTED_VALUE"""),43664.64583333333)</f>
        <v>43664.64583</v>
      </c>
      <c r="B1128" s="1">
        <f>IFERROR(__xludf.DUMMYFUNCTION("""COMPUTED_VALUE"""),3314.72)</f>
        <v>3314.72</v>
      </c>
      <c r="C1128" s="1">
        <f>IFERROR(__xludf.DUMMYFUNCTION("""COMPUTED_VALUE"""),3347.49)</f>
        <v>3347.49</v>
      </c>
      <c r="D1128" s="1">
        <f>IFERROR(__xludf.DUMMYFUNCTION("""COMPUTED_VALUE"""),3235.13)</f>
        <v>3235.13</v>
      </c>
      <c r="E1128" s="1">
        <f>IFERROR(__xludf.DUMMYFUNCTION("""COMPUTED_VALUE"""),3249.17)</f>
        <v>3249.17</v>
      </c>
      <c r="F1128" s="1">
        <f>IFERROR(__xludf.DUMMYFUNCTION("""COMPUTED_VALUE"""),339248.0)</f>
        <v>339248</v>
      </c>
    </row>
    <row r="1129">
      <c r="A1129" s="2">
        <f>IFERROR(__xludf.DUMMYFUNCTION("""COMPUTED_VALUE"""),43665.64583333333)</f>
        <v>43665.64583</v>
      </c>
      <c r="B1129" s="1">
        <f>IFERROR(__xludf.DUMMYFUNCTION("""COMPUTED_VALUE"""),3235.13)</f>
        <v>3235.13</v>
      </c>
      <c r="C1129" s="1">
        <f>IFERROR(__xludf.DUMMYFUNCTION("""COMPUTED_VALUE"""),3661.17)</f>
        <v>3661.17</v>
      </c>
      <c r="D1129" s="1">
        <f>IFERROR(__xludf.DUMMYFUNCTION("""COMPUTED_VALUE"""),3235.13)</f>
        <v>3235.13</v>
      </c>
      <c r="E1129" s="1">
        <f>IFERROR(__xludf.DUMMYFUNCTION("""COMPUTED_VALUE"""),3384.94)</f>
        <v>3384.94</v>
      </c>
      <c r="F1129" s="1">
        <f>IFERROR(__xludf.DUMMYFUNCTION("""COMPUTED_VALUE"""),2341290.0)</f>
        <v>2341290</v>
      </c>
    </row>
    <row r="1130">
      <c r="A1130" s="2">
        <f>IFERROR(__xludf.DUMMYFUNCTION("""COMPUTED_VALUE"""),43668.64583333333)</f>
        <v>43668.64583</v>
      </c>
      <c r="B1130" s="1">
        <f>IFERROR(__xludf.DUMMYFUNCTION("""COMPUTED_VALUE"""),3352.17)</f>
        <v>3352.17</v>
      </c>
      <c r="C1130" s="1">
        <f>IFERROR(__xludf.DUMMYFUNCTION("""COMPUTED_VALUE"""),3469.22)</f>
        <v>3469.22</v>
      </c>
      <c r="D1130" s="1">
        <f>IFERROR(__xludf.DUMMYFUNCTION("""COMPUTED_VALUE"""),3286.63)</f>
        <v>3286.63</v>
      </c>
      <c r="E1130" s="1">
        <f>IFERROR(__xludf.DUMMYFUNCTION("""COMPUTED_VALUE"""),3370.9)</f>
        <v>3370.9</v>
      </c>
      <c r="F1130" s="1">
        <f>IFERROR(__xludf.DUMMYFUNCTION("""COMPUTED_VALUE"""),522088.0)</f>
        <v>522088</v>
      </c>
    </row>
    <row r="1131">
      <c r="A1131" s="2">
        <f>IFERROR(__xludf.DUMMYFUNCTION("""COMPUTED_VALUE"""),43669.64583333333)</f>
        <v>43669.64583</v>
      </c>
      <c r="B1131" s="1">
        <f>IFERROR(__xludf.DUMMYFUNCTION("""COMPUTED_VALUE"""),3375.58)</f>
        <v>3375.58</v>
      </c>
      <c r="C1131" s="1">
        <f>IFERROR(__xludf.DUMMYFUNCTION("""COMPUTED_VALUE"""),3473.9)</f>
        <v>3473.9</v>
      </c>
      <c r="D1131" s="1">
        <f>IFERROR(__xludf.DUMMYFUNCTION("""COMPUTED_VALUE"""),3338.13)</f>
        <v>3338.13</v>
      </c>
      <c r="E1131" s="1">
        <f>IFERROR(__xludf.DUMMYFUNCTION("""COMPUTED_VALUE"""),3338.13)</f>
        <v>3338.13</v>
      </c>
      <c r="F1131" s="1">
        <f>IFERROR(__xludf.DUMMYFUNCTION("""COMPUTED_VALUE"""),563334.0)</f>
        <v>563334</v>
      </c>
    </row>
    <row r="1132">
      <c r="A1132" s="2">
        <f>IFERROR(__xludf.DUMMYFUNCTION("""COMPUTED_VALUE"""),43670.64583333333)</f>
        <v>43670.64583</v>
      </c>
      <c r="B1132" s="1">
        <f>IFERROR(__xludf.DUMMYFUNCTION("""COMPUTED_VALUE"""),3342.81)</f>
        <v>3342.81</v>
      </c>
      <c r="C1132" s="1">
        <f>IFERROR(__xludf.DUMMYFUNCTION("""COMPUTED_VALUE"""),3413.04)</f>
        <v>3413.04</v>
      </c>
      <c r="D1132" s="1">
        <f>IFERROR(__xludf.DUMMYFUNCTION("""COMPUTED_VALUE"""),3155.54)</f>
        <v>3155.54</v>
      </c>
      <c r="E1132" s="1">
        <f>IFERROR(__xludf.DUMMYFUNCTION("""COMPUTED_VALUE"""),3235.13)</f>
        <v>3235.13</v>
      </c>
      <c r="F1132" s="1">
        <f>IFERROR(__xludf.DUMMYFUNCTION("""COMPUTED_VALUE"""),469752.0)</f>
        <v>469752</v>
      </c>
    </row>
    <row r="1133">
      <c r="A1133" s="2">
        <f>IFERROR(__xludf.DUMMYFUNCTION("""COMPUTED_VALUE"""),43671.64583333333)</f>
        <v>43671.64583</v>
      </c>
      <c r="B1133" s="1">
        <f>IFERROR(__xludf.DUMMYFUNCTION("""COMPUTED_VALUE"""),3314.72)</f>
        <v>3314.72</v>
      </c>
      <c r="C1133" s="1">
        <f>IFERROR(__xludf.DUMMYFUNCTION("""COMPUTED_VALUE"""),3314.72)</f>
        <v>3314.72</v>
      </c>
      <c r="D1133" s="1">
        <f>IFERROR(__xludf.DUMMYFUNCTION("""COMPUTED_VALUE"""),3104.04)</f>
        <v>3104.04</v>
      </c>
      <c r="E1133" s="1">
        <f>IFERROR(__xludf.DUMMYFUNCTION("""COMPUTED_VALUE"""),3146.17)</f>
        <v>3146.17</v>
      </c>
      <c r="F1133" s="1">
        <f>IFERROR(__xludf.DUMMYFUNCTION("""COMPUTED_VALUE"""),265999.0)</f>
        <v>265999</v>
      </c>
    </row>
    <row r="1134">
      <c r="A1134" s="2">
        <f>IFERROR(__xludf.DUMMYFUNCTION("""COMPUTED_VALUE"""),43672.64583333333)</f>
        <v>43672.64583</v>
      </c>
      <c r="B1134" s="1">
        <f>IFERROR(__xludf.DUMMYFUNCTION("""COMPUTED_VALUE"""),3113.4)</f>
        <v>3113.4</v>
      </c>
      <c r="C1134" s="1">
        <f>IFERROR(__xludf.DUMMYFUNCTION("""COMPUTED_VALUE"""),3178.95)</f>
        <v>3178.95</v>
      </c>
      <c r="D1134" s="1">
        <f>IFERROR(__xludf.DUMMYFUNCTION("""COMPUTED_VALUE"""),3052.54)</f>
        <v>3052.54</v>
      </c>
      <c r="E1134" s="1">
        <f>IFERROR(__xludf.DUMMYFUNCTION("""COMPUTED_VALUE"""),3066.58)</f>
        <v>3066.58</v>
      </c>
      <c r="F1134" s="1">
        <f>IFERROR(__xludf.DUMMYFUNCTION("""COMPUTED_VALUE"""),233044.0)</f>
        <v>233044</v>
      </c>
    </row>
    <row r="1135">
      <c r="A1135" s="2">
        <f>IFERROR(__xludf.DUMMYFUNCTION("""COMPUTED_VALUE"""),43675.64583333333)</f>
        <v>43675.64583</v>
      </c>
      <c r="B1135" s="1">
        <f>IFERROR(__xludf.DUMMYFUNCTION("""COMPUTED_VALUE"""),3038.49)</f>
        <v>3038.49</v>
      </c>
      <c r="C1135" s="1">
        <f>IFERROR(__xludf.DUMMYFUNCTION("""COMPUTED_VALUE"""),3150.85)</f>
        <v>3150.85</v>
      </c>
      <c r="D1135" s="1">
        <f>IFERROR(__xludf.DUMMYFUNCTION("""COMPUTED_VALUE"""),2893.36)</f>
        <v>2893.36</v>
      </c>
      <c r="E1135" s="1">
        <f>IFERROR(__xludf.DUMMYFUNCTION("""COMPUTED_VALUE"""),2907.4)</f>
        <v>2907.4</v>
      </c>
      <c r="F1135" s="1">
        <f>IFERROR(__xludf.DUMMYFUNCTION("""COMPUTED_VALUE"""),341023.0)</f>
        <v>341023</v>
      </c>
    </row>
    <row r="1136">
      <c r="A1136" s="2">
        <f>IFERROR(__xludf.DUMMYFUNCTION("""COMPUTED_VALUE"""),43676.64583333333)</f>
        <v>43676.64583</v>
      </c>
      <c r="B1136" s="1">
        <f>IFERROR(__xludf.DUMMYFUNCTION("""COMPUTED_VALUE"""),2804.4)</f>
        <v>2804.4</v>
      </c>
      <c r="C1136" s="1">
        <f>IFERROR(__xludf.DUMMYFUNCTION("""COMPUTED_VALUE"""),3029.13)</f>
        <v>3029.13</v>
      </c>
      <c r="D1136" s="1">
        <f>IFERROR(__xludf.DUMMYFUNCTION("""COMPUTED_VALUE"""),2804.4)</f>
        <v>2804.4</v>
      </c>
      <c r="E1136" s="1">
        <f>IFERROR(__xludf.DUMMYFUNCTION("""COMPUTED_VALUE"""),2954.22)</f>
        <v>2954.22</v>
      </c>
      <c r="F1136" s="1">
        <f>IFERROR(__xludf.DUMMYFUNCTION("""COMPUTED_VALUE"""),332690.0)</f>
        <v>332690</v>
      </c>
    </row>
    <row r="1137">
      <c r="A1137" s="2">
        <f>IFERROR(__xludf.DUMMYFUNCTION("""COMPUTED_VALUE"""),43677.64583333333)</f>
        <v>43677.64583</v>
      </c>
      <c r="B1137" s="1">
        <f>IFERROR(__xludf.DUMMYFUNCTION("""COMPUTED_VALUE"""),2926.13)</f>
        <v>2926.13</v>
      </c>
      <c r="C1137" s="1">
        <f>IFERROR(__xludf.DUMMYFUNCTION("""COMPUTED_VALUE"""),3839.08)</f>
        <v>3839.08</v>
      </c>
      <c r="D1137" s="1">
        <f>IFERROR(__xludf.DUMMYFUNCTION("""COMPUTED_VALUE"""),2926.13)</f>
        <v>2926.13</v>
      </c>
      <c r="E1137" s="1">
        <f>IFERROR(__xludf.DUMMYFUNCTION("""COMPUTED_VALUE"""),3839.08)</f>
        <v>3839.08</v>
      </c>
      <c r="F1137" s="1">
        <f>IFERROR(__xludf.DUMMYFUNCTION("""COMPUTED_VALUE"""),5061150.0)</f>
        <v>5061150</v>
      </c>
    </row>
    <row r="1138">
      <c r="A1138" s="2">
        <f>IFERROR(__xludf.DUMMYFUNCTION("""COMPUTED_VALUE"""),43678.64583333333)</f>
        <v>43678.64583</v>
      </c>
      <c r="B1138" s="1">
        <f>IFERROR(__xludf.DUMMYFUNCTION("""COMPUTED_VALUE"""),3839.08)</f>
        <v>3839.08</v>
      </c>
      <c r="C1138" s="1">
        <f>IFERROR(__xludf.DUMMYFUNCTION("""COMPUTED_VALUE"""),3913.99)</f>
        <v>3913.99</v>
      </c>
      <c r="D1138" s="1">
        <f>IFERROR(__xludf.DUMMYFUNCTION("""COMPUTED_VALUE"""),3295.99)</f>
        <v>3295.99</v>
      </c>
      <c r="E1138" s="1">
        <f>IFERROR(__xludf.DUMMYFUNCTION("""COMPUTED_VALUE"""),3487.94)</f>
        <v>3487.94</v>
      </c>
      <c r="F1138" s="1">
        <f>IFERROR(__xludf.DUMMYFUNCTION("""COMPUTED_VALUE"""),1.0809721E7)</f>
        <v>10809721</v>
      </c>
    </row>
    <row r="1139">
      <c r="A1139" s="2">
        <f>IFERROR(__xludf.DUMMYFUNCTION("""COMPUTED_VALUE"""),43679.64583333333)</f>
        <v>43679.64583</v>
      </c>
      <c r="B1139" s="1">
        <f>IFERROR(__xludf.DUMMYFUNCTION("""COMPUTED_VALUE"""),3342.81)</f>
        <v>3342.81</v>
      </c>
      <c r="C1139" s="1">
        <f>IFERROR(__xludf.DUMMYFUNCTION("""COMPUTED_VALUE"""),3586.26)</f>
        <v>3586.26</v>
      </c>
      <c r="D1139" s="1">
        <f>IFERROR(__xludf.DUMMYFUNCTION("""COMPUTED_VALUE"""),3314.72)</f>
        <v>3314.72</v>
      </c>
      <c r="E1139" s="1">
        <f>IFERROR(__xludf.DUMMYFUNCTION("""COMPUTED_VALUE"""),3459.85)</f>
        <v>3459.85</v>
      </c>
      <c r="F1139" s="1">
        <f>IFERROR(__xludf.DUMMYFUNCTION("""COMPUTED_VALUE"""),2130425.0)</f>
        <v>2130425</v>
      </c>
    </row>
    <row r="1140">
      <c r="A1140" s="2">
        <f>IFERROR(__xludf.DUMMYFUNCTION("""COMPUTED_VALUE"""),43682.64583333333)</f>
        <v>43682.64583</v>
      </c>
      <c r="B1140" s="1">
        <f>IFERROR(__xludf.DUMMYFUNCTION("""COMPUTED_VALUE"""),3459.85)</f>
        <v>3459.85</v>
      </c>
      <c r="C1140" s="1">
        <f>IFERROR(__xludf.DUMMYFUNCTION("""COMPUTED_VALUE"""),3501.99)</f>
        <v>3501.99</v>
      </c>
      <c r="D1140" s="1">
        <f>IFERROR(__xludf.DUMMYFUNCTION("""COMPUTED_VALUE"""),2860.58)</f>
        <v>2860.58</v>
      </c>
      <c r="E1140" s="1">
        <f>IFERROR(__xludf.DUMMYFUNCTION("""COMPUTED_VALUE"""),2860.58)</f>
        <v>2860.58</v>
      </c>
      <c r="F1140" s="1">
        <f>IFERROR(__xludf.DUMMYFUNCTION("""COMPUTED_VALUE"""),1546917.0)</f>
        <v>1546917</v>
      </c>
    </row>
    <row r="1141">
      <c r="A1141" s="2">
        <f>IFERROR(__xludf.DUMMYFUNCTION("""COMPUTED_VALUE"""),43683.64583333333)</f>
        <v>43683.64583</v>
      </c>
      <c r="B1141" s="1">
        <f>IFERROR(__xludf.DUMMYFUNCTION("""COMPUTED_VALUE"""),2752.9)</f>
        <v>2752.9</v>
      </c>
      <c r="C1141" s="1">
        <f>IFERROR(__xludf.DUMMYFUNCTION("""COMPUTED_VALUE"""),3178.95)</f>
        <v>3178.95</v>
      </c>
      <c r="D1141" s="1">
        <f>IFERROR(__xludf.DUMMYFUNCTION("""COMPUTED_VALUE"""),2528.17)</f>
        <v>2528.17</v>
      </c>
      <c r="E1141" s="1">
        <f>IFERROR(__xludf.DUMMYFUNCTION("""COMPUTED_VALUE"""),2841.86)</f>
        <v>2841.86</v>
      </c>
      <c r="F1141" s="1">
        <f>IFERROR(__xludf.DUMMYFUNCTION("""COMPUTED_VALUE"""),1896377.0)</f>
        <v>1896377</v>
      </c>
    </row>
    <row r="1142">
      <c r="A1142" s="2">
        <f>IFERROR(__xludf.DUMMYFUNCTION("""COMPUTED_VALUE"""),43684.64583333333)</f>
        <v>43684.64583</v>
      </c>
      <c r="B1142" s="1">
        <f>IFERROR(__xludf.DUMMYFUNCTION("""COMPUTED_VALUE"""),2874.63)</f>
        <v>2874.63</v>
      </c>
      <c r="C1142" s="1">
        <f>IFERROR(__xludf.DUMMYFUNCTION("""COMPUTED_VALUE"""),3099.35)</f>
        <v>3099.35</v>
      </c>
      <c r="D1142" s="1">
        <f>IFERROR(__xludf.DUMMYFUNCTION("""COMPUTED_VALUE"""),2874.63)</f>
        <v>2874.63</v>
      </c>
      <c r="E1142" s="1">
        <f>IFERROR(__xludf.DUMMYFUNCTION("""COMPUTED_VALUE"""),2968.26)</f>
        <v>2968.26</v>
      </c>
      <c r="F1142" s="1">
        <f>IFERROR(__xludf.DUMMYFUNCTION("""COMPUTED_VALUE"""),1180500.0)</f>
        <v>1180500</v>
      </c>
    </row>
    <row r="1143">
      <c r="A1143" s="2">
        <f>IFERROR(__xludf.DUMMYFUNCTION("""COMPUTED_VALUE"""),43685.64583333333)</f>
        <v>43685.64583</v>
      </c>
      <c r="B1143" s="1">
        <f>IFERROR(__xludf.DUMMYFUNCTION("""COMPUTED_VALUE"""),2968.26)</f>
        <v>2968.26</v>
      </c>
      <c r="C1143" s="1">
        <f>IFERROR(__xludf.DUMMYFUNCTION("""COMPUTED_VALUE"""),3230.44)</f>
        <v>3230.44</v>
      </c>
      <c r="D1143" s="1">
        <f>IFERROR(__xludf.DUMMYFUNCTION("""COMPUTED_VALUE"""),2968.26)</f>
        <v>2968.26</v>
      </c>
      <c r="E1143" s="1">
        <f>IFERROR(__xludf.DUMMYFUNCTION("""COMPUTED_VALUE"""),3089.99)</f>
        <v>3089.99</v>
      </c>
      <c r="F1143" s="1">
        <f>IFERROR(__xludf.DUMMYFUNCTION("""COMPUTED_VALUE"""),1205401.0)</f>
        <v>1205401</v>
      </c>
    </row>
    <row r="1144">
      <c r="A1144" s="2">
        <f>IFERROR(__xludf.DUMMYFUNCTION("""COMPUTED_VALUE"""),43686.64583333333)</f>
        <v>43686.64583</v>
      </c>
      <c r="B1144" s="1">
        <f>IFERROR(__xludf.DUMMYFUNCTION("""COMPUTED_VALUE"""),3160.22)</f>
        <v>3160.22</v>
      </c>
      <c r="C1144" s="1">
        <f>IFERROR(__xludf.DUMMYFUNCTION("""COMPUTED_VALUE"""),3225.76)</f>
        <v>3225.76</v>
      </c>
      <c r="D1144" s="1">
        <f>IFERROR(__xludf.DUMMYFUNCTION("""COMPUTED_VALUE"""),3085.31)</f>
        <v>3085.31</v>
      </c>
      <c r="E1144" s="1">
        <f>IFERROR(__xludf.DUMMYFUNCTION("""COMPUTED_VALUE"""),3113.4)</f>
        <v>3113.4</v>
      </c>
      <c r="F1144" s="1">
        <f>IFERROR(__xludf.DUMMYFUNCTION("""COMPUTED_VALUE"""),788951.0)</f>
        <v>788951</v>
      </c>
    </row>
    <row r="1145">
      <c r="A1145" s="2">
        <f>IFERROR(__xludf.DUMMYFUNCTION("""COMPUTED_VALUE"""),43689.64583333333)</f>
        <v>43689.64583</v>
      </c>
      <c r="B1145" s="1">
        <f>IFERROR(__xludf.DUMMYFUNCTION("""COMPUTED_VALUE"""),3094.67)</f>
        <v>3094.67</v>
      </c>
      <c r="C1145" s="1">
        <f>IFERROR(__xludf.DUMMYFUNCTION("""COMPUTED_VALUE"""),3310.04)</f>
        <v>3310.04</v>
      </c>
      <c r="D1145" s="1">
        <f>IFERROR(__xludf.DUMMYFUNCTION("""COMPUTED_VALUE"""),3089.99)</f>
        <v>3089.99</v>
      </c>
      <c r="E1145" s="1">
        <f>IFERROR(__xludf.DUMMYFUNCTION("""COMPUTED_VALUE"""),3202.35)</f>
        <v>3202.35</v>
      </c>
      <c r="F1145" s="1">
        <f>IFERROR(__xludf.DUMMYFUNCTION("""COMPUTED_VALUE"""),1503275.0)</f>
        <v>1503275</v>
      </c>
    </row>
    <row r="1146">
      <c r="A1146" s="2">
        <f>IFERROR(__xludf.DUMMYFUNCTION("""COMPUTED_VALUE"""),43690.64583333333)</f>
        <v>43690.64583</v>
      </c>
      <c r="B1146" s="1">
        <f>IFERROR(__xludf.DUMMYFUNCTION("""COMPUTED_VALUE"""),3183.63)</f>
        <v>3183.63</v>
      </c>
      <c r="C1146" s="1">
        <f>IFERROR(__xludf.DUMMYFUNCTION("""COMPUTED_VALUE"""),3342.81)</f>
        <v>3342.81</v>
      </c>
      <c r="D1146" s="1">
        <f>IFERROR(__xludf.DUMMYFUNCTION("""COMPUTED_VALUE"""),3174.26)</f>
        <v>3174.26</v>
      </c>
      <c r="E1146" s="1">
        <f>IFERROR(__xludf.DUMMYFUNCTION("""COMPUTED_VALUE"""),3239.81)</f>
        <v>3239.81</v>
      </c>
      <c r="F1146" s="1">
        <f>IFERROR(__xludf.DUMMYFUNCTION("""COMPUTED_VALUE"""),928655.0)</f>
        <v>928655</v>
      </c>
    </row>
    <row r="1147">
      <c r="A1147" s="2">
        <f>IFERROR(__xludf.DUMMYFUNCTION("""COMPUTED_VALUE"""),43691.64583333333)</f>
        <v>43691.64583</v>
      </c>
      <c r="B1147" s="1">
        <f>IFERROR(__xludf.DUMMYFUNCTION("""COMPUTED_VALUE"""),3286.63)</f>
        <v>3286.63</v>
      </c>
      <c r="C1147" s="1">
        <f>IFERROR(__xludf.DUMMYFUNCTION("""COMPUTED_VALUE"""),3324.08)</f>
        <v>3324.08</v>
      </c>
      <c r="D1147" s="1">
        <f>IFERROR(__xludf.DUMMYFUNCTION("""COMPUTED_VALUE"""),3202.35)</f>
        <v>3202.35</v>
      </c>
      <c r="E1147" s="1">
        <f>IFERROR(__xludf.DUMMYFUNCTION("""COMPUTED_VALUE"""),3258.54)</f>
        <v>3258.54</v>
      </c>
      <c r="F1147" s="1">
        <f>IFERROR(__xludf.DUMMYFUNCTION("""COMPUTED_VALUE"""),495049.0)</f>
        <v>495049</v>
      </c>
    </row>
    <row r="1148">
      <c r="A1148" s="2">
        <f>IFERROR(__xludf.DUMMYFUNCTION("""COMPUTED_VALUE"""),43693.64583333333)</f>
        <v>43693.64583</v>
      </c>
      <c r="B1148" s="1">
        <f>IFERROR(__xludf.DUMMYFUNCTION("""COMPUTED_VALUE"""),3558.17)</f>
        <v>3558.17</v>
      </c>
      <c r="C1148" s="1">
        <f>IFERROR(__xludf.DUMMYFUNCTION("""COMPUTED_VALUE"""),3614.35)</f>
        <v>3614.35</v>
      </c>
      <c r="D1148" s="1">
        <f>IFERROR(__xludf.DUMMYFUNCTION("""COMPUTED_VALUE"""),3169.58)</f>
        <v>3169.58</v>
      </c>
      <c r="E1148" s="1">
        <f>IFERROR(__xludf.DUMMYFUNCTION("""COMPUTED_VALUE"""),3295.99)</f>
        <v>3295.99</v>
      </c>
      <c r="F1148" s="1">
        <f>IFERROR(__xludf.DUMMYFUNCTION("""COMPUTED_VALUE"""),1889549.0)</f>
        <v>1889549</v>
      </c>
    </row>
    <row r="1149">
      <c r="A1149" s="2">
        <f>IFERROR(__xludf.DUMMYFUNCTION("""COMPUTED_VALUE"""),43696.64583333333)</f>
        <v>43696.64583</v>
      </c>
      <c r="B1149" s="1">
        <f>IFERROR(__xludf.DUMMYFUNCTION("""COMPUTED_VALUE"""),3333.44)</f>
        <v>3333.44</v>
      </c>
      <c r="C1149" s="1">
        <f>IFERROR(__xludf.DUMMYFUNCTION("""COMPUTED_VALUE"""),3534.76)</f>
        <v>3534.76</v>
      </c>
      <c r="D1149" s="1">
        <f>IFERROR(__xludf.DUMMYFUNCTION("""COMPUTED_VALUE"""),3230.44)</f>
        <v>3230.44</v>
      </c>
      <c r="E1149" s="1">
        <f>IFERROR(__xludf.DUMMYFUNCTION("""COMPUTED_VALUE"""),3487.94)</f>
        <v>3487.94</v>
      </c>
      <c r="F1149" s="1">
        <f>IFERROR(__xludf.DUMMYFUNCTION("""COMPUTED_VALUE"""),1868638.0)</f>
        <v>1868638</v>
      </c>
    </row>
    <row r="1150">
      <c r="A1150" s="2">
        <f>IFERROR(__xludf.DUMMYFUNCTION("""COMPUTED_VALUE"""),43697.64583333333)</f>
        <v>43697.64583</v>
      </c>
      <c r="B1150" s="1">
        <f>IFERROR(__xludf.DUMMYFUNCTION("""COMPUTED_VALUE"""),3754.81)</f>
        <v>3754.81</v>
      </c>
      <c r="C1150" s="1">
        <f>IFERROR(__xludf.DUMMYFUNCTION("""COMPUTED_VALUE"""),3810.99)</f>
        <v>3810.99</v>
      </c>
      <c r="D1150" s="1">
        <f>IFERROR(__xludf.DUMMYFUNCTION("""COMPUTED_VALUE"""),3464.54)</f>
        <v>3464.54</v>
      </c>
      <c r="E1150" s="1">
        <f>IFERROR(__xludf.DUMMYFUNCTION("""COMPUTED_VALUE"""),3464.54)</f>
        <v>3464.54</v>
      </c>
      <c r="F1150" s="1">
        <f>IFERROR(__xludf.DUMMYFUNCTION("""COMPUTED_VALUE"""),3299024.0)</f>
        <v>3299024</v>
      </c>
    </row>
    <row r="1151">
      <c r="A1151" s="2">
        <f>IFERROR(__xludf.DUMMYFUNCTION("""COMPUTED_VALUE"""),43698.64583333333)</f>
        <v>43698.64583</v>
      </c>
      <c r="B1151" s="1">
        <f>IFERROR(__xludf.DUMMYFUNCTION("""COMPUTED_VALUE"""),3422.4)</f>
        <v>3422.4</v>
      </c>
      <c r="C1151" s="1">
        <f>IFERROR(__xludf.DUMMYFUNCTION("""COMPUTED_VALUE"""),3497.31)</f>
        <v>3497.31</v>
      </c>
      <c r="D1151" s="1">
        <f>IFERROR(__xludf.DUMMYFUNCTION("""COMPUTED_VALUE"""),3389.63)</f>
        <v>3389.63</v>
      </c>
      <c r="E1151" s="1">
        <f>IFERROR(__xludf.DUMMYFUNCTION("""COMPUTED_VALUE"""),3389.63)</f>
        <v>3389.63</v>
      </c>
      <c r="F1151" s="1">
        <f>IFERROR(__xludf.DUMMYFUNCTION("""COMPUTED_VALUE"""),484632.0)</f>
        <v>484632</v>
      </c>
    </row>
    <row r="1152">
      <c r="A1152" s="2">
        <f>IFERROR(__xludf.DUMMYFUNCTION("""COMPUTED_VALUE"""),43699.64583333333)</f>
        <v>43699.64583</v>
      </c>
      <c r="B1152" s="1">
        <f>IFERROR(__xludf.DUMMYFUNCTION("""COMPUTED_VALUE"""),3417.72)</f>
        <v>3417.72</v>
      </c>
      <c r="C1152" s="1">
        <f>IFERROR(__xludf.DUMMYFUNCTION("""COMPUTED_VALUE"""),3455.17)</f>
        <v>3455.17</v>
      </c>
      <c r="D1152" s="1">
        <f>IFERROR(__xludf.DUMMYFUNCTION("""COMPUTED_VALUE"""),3291.31)</f>
        <v>3291.31</v>
      </c>
      <c r="E1152" s="1">
        <f>IFERROR(__xludf.DUMMYFUNCTION("""COMPUTED_VALUE"""),3295.99)</f>
        <v>3295.99</v>
      </c>
      <c r="F1152" s="1">
        <f>IFERROR(__xludf.DUMMYFUNCTION("""COMPUTED_VALUE"""),377638.0)</f>
        <v>377638</v>
      </c>
    </row>
    <row r="1153">
      <c r="A1153" s="2">
        <f>IFERROR(__xludf.DUMMYFUNCTION("""COMPUTED_VALUE"""),43700.64583333333)</f>
        <v>43700.64583</v>
      </c>
      <c r="B1153" s="1">
        <f>IFERROR(__xludf.DUMMYFUNCTION("""COMPUTED_VALUE"""),3277.26)</f>
        <v>3277.26</v>
      </c>
      <c r="C1153" s="1">
        <f>IFERROR(__xludf.DUMMYFUNCTION("""COMPUTED_VALUE"""),3333.44)</f>
        <v>3333.44</v>
      </c>
      <c r="D1153" s="1">
        <f>IFERROR(__xludf.DUMMYFUNCTION("""COMPUTED_VALUE"""),3239.81)</f>
        <v>3239.81</v>
      </c>
      <c r="E1153" s="1">
        <f>IFERROR(__xludf.DUMMYFUNCTION("""COMPUTED_VALUE"""),3267.9)</f>
        <v>3267.9</v>
      </c>
      <c r="F1153" s="1">
        <f>IFERROR(__xludf.DUMMYFUNCTION("""COMPUTED_VALUE"""),256172.0)</f>
        <v>256172</v>
      </c>
    </row>
    <row r="1154">
      <c r="A1154" s="2">
        <f>IFERROR(__xludf.DUMMYFUNCTION("""COMPUTED_VALUE"""),43703.64583333333)</f>
        <v>43703.64583</v>
      </c>
      <c r="B1154" s="1">
        <f>IFERROR(__xludf.DUMMYFUNCTION("""COMPUTED_VALUE"""),3155.54)</f>
        <v>3155.54</v>
      </c>
      <c r="C1154" s="1">
        <f>IFERROR(__xludf.DUMMYFUNCTION("""COMPUTED_VALUE"""),3202.35)</f>
        <v>3202.35</v>
      </c>
      <c r="D1154" s="1">
        <f>IFERROR(__xludf.DUMMYFUNCTION("""COMPUTED_VALUE"""),3104.04)</f>
        <v>3104.04</v>
      </c>
      <c r="E1154" s="1">
        <f>IFERROR(__xludf.DUMMYFUNCTION("""COMPUTED_VALUE"""),3118.08)</f>
        <v>3118.08</v>
      </c>
      <c r="F1154" s="1">
        <f>IFERROR(__xludf.DUMMYFUNCTION("""COMPUTED_VALUE"""),333647.0)</f>
        <v>333647</v>
      </c>
    </row>
    <row r="1155">
      <c r="A1155" s="2">
        <f>IFERROR(__xludf.DUMMYFUNCTION("""COMPUTED_VALUE"""),43704.64583333333)</f>
        <v>43704.64583</v>
      </c>
      <c r="B1155" s="1">
        <f>IFERROR(__xludf.DUMMYFUNCTION("""COMPUTED_VALUE"""),3136.81)</f>
        <v>3136.81</v>
      </c>
      <c r="C1155" s="1">
        <f>IFERROR(__xludf.DUMMYFUNCTION("""COMPUTED_VALUE"""),3211.72)</f>
        <v>3211.72</v>
      </c>
      <c r="D1155" s="1">
        <f>IFERROR(__xludf.DUMMYFUNCTION("""COMPUTED_VALUE"""),3122.76)</f>
        <v>3122.76</v>
      </c>
      <c r="E1155" s="1">
        <f>IFERROR(__xludf.DUMMYFUNCTION("""COMPUTED_VALUE"""),3122.76)</f>
        <v>3122.76</v>
      </c>
      <c r="F1155" s="1">
        <f>IFERROR(__xludf.DUMMYFUNCTION("""COMPUTED_VALUE"""),258353.0)</f>
        <v>258353</v>
      </c>
    </row>
    <row r="1156">
      <c r="A1156" s="2">
        <f>IFERROR(__xludf.DUMMYFUNCTION("""COMPUTED_VALUE"""),43705.64583333333)</f>
        <v>43705.64583</v>
      </c>
      <c r="B1156" s="1">
        <f>IFERROR(__xludf.DUMMYFUNCTION("""COMPUTED_VALUE"""),3118.08)</f>
        <v>3118.08</v>
      </c>
      <c r="C1156" s="1">
        <f>IFERROR(__xludf.DUMMYFUNCTION("""COMPUTED_VALUE"""),3291.31)</f>
        <v>3291.31</v>
      </c>
      <c r="D1156" s="1">
        <f>IFERROR(__xludf.DUMMYFUNCTION("""COMPUTED_VALUE"""),3113.4)</f>
        <v>3113.4</v>
      </c>
      <c r="E1156" s="1">
        <f>IFERROR(__xludf.DUMMYFUNCTION("""COMPUTED_VALUE"""),3263.22)</f>
        <v>3263.22</v>
      </c>
      <c r="F1156" s="1">
        <f>IFERROR(__xludf.DUMMYFUNCTION("""COMPUTED_VALUE"""),550909.0)</f>
        <v>550909</v>
      </c>
    </row>
    <row r="1157">
      <c r="A1157" s="2">
        <f>IFERROR(__xludf.DUMMYFUNCTION("""COMPUTED_VALUE"""),43706.64583333333)</f>
        <v>43706.64583</v>
      </c>
      <c r="B1157" s="1">
        <f>IFERROR(__xludf.DUMMYFUNCTION("""COMPUTED_VALUE"""),3230.44)</f>
        <v>3230.44</v>
      </c>
      <c r="C1157" s="1">
        <f>IFERROR(__xludf.DUMMYFUNCTION("""COMPUTED_VALUE"""),3501.99)</f>
        <v>3501.99</v>
      </c>
      <c r="D1157" s="1">
        <f>IFERROR(__xludf.DUMMYFUNCTION("""COMPUTED_VALUE"""),3192.99)</f>
        <v>3192.99</v>
      </c>
      <c r="E1157" s="1">
        <f>IFERROR(__xludf.DUMMYFUNCTION("""COMPUTED_VALUE"""),3197.67)</f>
        <v>3197.67</v>
      </c>
      <c r="F1157" s="1">
        <f>IFERROR(__xludf.DUMMYFUNCTION("""COMPUTED_VALUE"""),1244920.0)</f>
        <v>1244920</v>
      </c>
    </row>
    <row r="1158">
      <c r="A1158" s="2">
        <f>IFERROR(__xludf.DUMMYFUNCTION("""COMPUTED_VALUE"""),43707.64583333333)</f>
        <v>43707.64583</v>
      </c>
      <c r="B1158" s="1">
        <f>IFERROR(__xludf.DUMMYFUNCTION("""COMPUTED_VALUE"""),3211.72)</f>
        <v>3211.72</v>
      </c>
      <c r="C1158" s="1">
        <f>IFERROR(__xludf.DUMMYFUNCTION("""COMPUTED_VALUE"""),3380.26)</f>
        <v>3380.26</v>
      </c>
      <c r="D1158" s="1">
        <f>IFERROR(__xludf.DUMMYFUNCTION("""COMPUTED_VALUE"""),3211.72)</f>
        <v>3211.72</v>
      </c>
      <c r="E1158" s="1">
        <f>IFERROR(__xludf.DUMMYFUNCTION("""COMPUTED_VALUE"""),3277.26)</f>
        <v>3277.26</v>
      </c>
      <c r="F1158" s="1">
        <f>IFERROR(__xludf.DUMMYFUNCTION("""COMPUTED_VALUE"""),543588.0)</f>
        <v>543588</v>
      </c>
    </row>
    <row r="1159">
      <c r="A1159" s="2">
        <f>IFERROR(__xludf.DUMMYFUNCTION("""COMPUTED_VALUE"""),43710.64583333333)</f>
        <v>43710.64583</v>
      </c>
      <c r="B1159" s="1">
        <f>IFERROR(__xludf.DUMMYFUNCTION("""COMPUTED_VALUE"""),3263.22)</f>
        <v>3263.22</v>
      </c>
      <c r="C1159" s="1">
        <f>IFERROR(__xludf.DUMMYFUNCTION("""COMPUTED_VALUE"""),3464.54)</f>
        <v>3464.54</v>
      </c>
      <c r="D1159" s="1">
        <f>IFERROR(__xludf.DUMMYFUNCTION("""COMPUTED_VALUE"""),3263.22)</f>
        <v>3263.22</v>
      </c>
      <c r="E1159" s="1">
        <f>IFERROR(__xludf.DUMMYFUNCTION("""COMPUTED_VALUE"""),3380.26)</f>
        <v>3380.26</v>
      </c>
      <c r="F1159" s="1">
        <f>IFERROR(__xludf.DUMMYFUNCTION("""COMPUTED_VALUE"""),802788.0)</f>
        <v>802788</v>
      </c>
    </row>
    <row r="1160">
      <c r="A1160" s="2">
        <f>IFERROR(__xludf.DUMMYFUNCTION("""COMPUTED_VALUE"""),43711.64583333333)</f>
        <v>43711.64583</v>
      </c>
      <c r="B1160" s="1">
        <f>IFERROR(__xludf.DUMMYFUNCTION("""COMPUTED_VALUE"""),3361.54)</f>
        <v>3361.54</v>
      </c>
      <c r="C1160" s="1">
        <f>IFERROR(__xludf.DUMMYFUNCTION("""COMPUTED_VALUE"""),3487.94)</f>
        <v>3487.94</v>
      </c>
      <c r="D1160" s="1">
        <f>IFERROR(__xludf.DUMMYFUNCTION("""COMPUTED_VALUE"""),3342.81)</f>
        <v>3342.81</v>
      </c>
      <c r="E1160" s="1">
        <f>IFERROR(__xludf.DUMMYFUNCTION("""COMPUTED_VALUE"""),3431.76)</f>
        <v>3431.76</v>
      </c>
      <c r="F1160" s="1">
        <f>IFERROR(__xludf.DUMMYFUNCTION("""COMPUTED_VALUE"""),1256713.0)</f>
        <v>1256713</v>
      </c>
    </row>
    <row r="1161">
      <c r="A1161" s="2">
        <f>IFERROR(__xludf.DUMMYFUNCTION("""COMPUTED_VALUE"""),43712.64583333333)</f>
        <v>43712.64583</v>
      </c>
      <c r="B1161" s="1">
        <f>IFERROR(__xludf.DUMMYFUNCTION("""COMPUTED_VALUE"""),3422.4)</f>
        <v>3422.4</v>
      </c>
      <c r="C1161" s="1">
        <f>IFERROR(__xludf.DUMMYFUNCTION("""COMPUTED_VALUE"""),3497.31)</f>
        <v>3497.31</v>
      </c>
      <c r="D1161" s="1">
        <f>IFERROR(__xludf.DUMMYFUNCTION("""COMPUTED_VALUE"""),3389.63)</f>
        <v>3389.63</v>
      </c>
      <c r="E1161" s="1">
        <f>IFERROR(__xludf.DUMMYFUNCTION("""COMPUTED_VALUE"""),3459.85)</f>
        <v>3459.85</v>
      </c>
      <c r="F1161" s="1">
        <f>IFERROR(__xludf.DUMMYFUNCTION("""COMPUTED_VALUE"""),534911.0)</f>
        <v>534911</v>
      </c>
    </row>
    <row r="1162">
      <c r="A1162" s="2">
        <f>IFERROR(__xludf.DUMMYFUNCTION("""COMPUTED_VALUE"""),43713.64583333333)</f>
        <v>43713.64583</v>
      </c>
      <c r="B1162" s="1">
        <f>IFERROR(__xludf.DUMMYFUNCTION("""COMPUTED_VALUE"""),3501.99)</f>
        <v>3501.99</v>
      </c>
      <c r="C1162" s="1">
        <f>IFERROR(__xludf.DUMMYFUNCTION("""COMPUTED_VALUE"""),3604.99)</f>
        <v>3604.99</v>
      </c>
      <c r="D1162" s="1">
        <f>IFERROR(__xludf.DUMMYFUNCTION("""COMPUTED_VALUE"""),3441.13)</f>
        <v>3441.13</v>
      </c>
      <c r="E1162" s="1">
        <f>IFERROR(__xludf.DUMMYFUNCTION("""COMPUTED_VALUE"""),3516.04)</f>
        <v>3516.04</v>
      </c>
      <c r="F1162" s="1">
        <f>IFERROR(__xludf.DUMMYFUNCTION("""COMPUTED_VALUE"""),1400915.0)</f>
        <v>1400915</v>
      </c>
    </row>
    <row r="1163">
      <c r="A1163" s="2">
        <f>IFERROR(__xludf.DUMMYFUNCTION("""COMPUTED_VALUE"""),43714.64583333333)</f>
        <v>43714.64583</v>
      </c>
      <c r="B1163" s="1">
        <f>IFERROR(__xludf.DUMMYFUNCTION("""COMPUTED_VALUE"""),3567.53)</f>
        <v>3567.53</v>
      </c>
      <c r="C1163" s="1">
        <f>IFERROR(__xludf.DUMMYFUNCTION("""COMPUTED_VALUE"""),3595.63)</f>
        <v>3595.63</v>
      </c>
      <c r="D1163" s="1">
        <f>IFERROR(__xludf.DUMMYFUNCTION("""COMPUTED_VALUE"""),3455.17)</f>
        <v>3455.17</v>
      </c>
      <c r="E1163" s="1">
        <f>IFERROR(__xludf.DUMMYFUNCTION("""COMPUTED_VALUE"""),3469.22)</f>
        <v>3469.22</v>
      </c>
      <c r="F1163" s="1">
        <f>IFERROR(__xludf.DUMMYFUNCTION("""COMPUTED_VALUE"""),770446.0)</f>
        <v>770446</v>
      </c>
    </row>
    <row r="1164">
      <c r="A1164" s="2">
        <f>IFERROR(__xludf.DUMMYFUNCTION("""COMPUTED_VALUE"""),43717.64583333333)</f>
        <v>43717.64583</v>
      </c>
      <c r="B1164" s="1">
        <f>IFERROR(__xludf.DUMMYFUNCTION("""COMPUTED_VALUE"""),3530.08)</f>
        <v>3530.08</v>
      </c>
      <c r="C1164" s="1">
        <f>IFERROR(__xludf.DUMMYFUNCTION("""COMPUTED_VALUE"""),3530.08)</f>
        <v>3530.08</v>
      </c>
      <c r="D1164" s="1">
        <f>IFERROR(__xludf.DUMMYFUNCTION("""COMPUTED_VALUE"""),3380.26)</f>
        <v>3380.26</v>
      </c>
      <c r="E1164" s="1">
        <f>IFERROR(__xludf.DUMMYFUNCTION("""COMPUTED_VALUE"""),3380.26)</f>
        <v>3380.26</v>
      </c>
      <c r="F1164" s="1">
        <f>IFERROR(__xludf.DUMMYFUNCTION("""COMPUTED_VALUE"""),362110.0)</f>
        <v>362110</v>
      </c>
    </row>
    <row r="1165">
      <c r="A1165" s="2">
        <f>IFERROR(__xludf.DUMMYFUNCTION("""COMPUTED_VALUE"""),43718.64583333333)</f>
        <v>43718.64583</v>
      </c>
      <c r="B1165" s="1">
        <f>IFERROR(__xludf.DUMMYFUNCTION("""COMPUTED_VALUE"""),3408.35)</f>
        <v>3408.35</v>
      </c>
      <c r="C1165" s="1">
        <f>IFERROR(__xludf.DUMMYFUNCTION("""COMPUTED_VALUE"""),3455.17)</f>
        <v>3455.17</v>
      </c>
      <c r="D1165" s="1">
        <f>IFERROR(__xludf.DUMMYFUNCTION("""COMPUTED_VALUE"""),3375.58)</f>
        <v>3375.58</v>
      </c>
      <c r="E1165" s="1">
        <f>IFERROR(__xludf.DUMMYFUNCTION("""COMPUTED_VALUE"""),3389.63)</f>
        <v>3389.63</v>
      </c>
      <c r="F1165" s="1">
        <f>IFERROR(__xludf.DUMMYFUNCTION("""COMPUTED_VALUE"""),275883.0)</f>
        <v>275883</v>
      </c>
    </row>
    <row r="1166">
      <c r="A1166" s="2">
        <f>IFERROR(__xludf.DUMMYFUNCTION("""COMPUTED_VALUE"""),43719.64583333333)</f>
        <v>43719.64583</v>
      </c>
      <c r="B1166" s="1">
        <f>IFERROR(__xludf.DUMMYFUNCTION("""COMPUTED_VALUE"""),3408.35)</f>
        <v>3408.35</v>
      </c>
      <c r="C1166" s="1">
        <f>IFERROR(__xludf.DUMMYFUNCTION("""COMPUTED_VALUE"""),3441.13)</f>
        <v>3441.13</v>
      </c>
      <c r="D1166" s="1">
        <f>IFERROR(__xludf.DUMMYFUNCTION("""COMPUTED_VALUE"""),3347.49)</f>
        <v>3347.49</v>
      </c>
      <c r="E1166" s="1">
        <f>IFERROR(__xludf.DUMMYFUNCTION("""COMPUTED_VALUE"""),3361.54)</f>
        <v>3361.54</v>
      </c>
      <c r="F1166" s="1">
        <f>IFERROR(__xludf.DUMMYFUNCTION("""COMPUTED_VALUE"""),225466.0)</f>
        <v>225466</v>
      </c>
    </row>
    <row r="1167">
      <c r="A1167" s="2">
        <f>IFERROR(__xludf.DUMMYFUNCTION("""COMPUTED_VALUE"""),43724.64583333333)</f>
        <v>43724.64583</v>
      </c>
      <c r="B1167" s="1">
        <f>IFERROR(__xludf.DUMMYFUNCTION("""COMPUTED_VALUE"""),3398.99)</f>
        <v>3398.99</v>
      </c>
      <c r="C1167" s="1">
        <f>IFERROR(__xludf.DUMMYFUNCTION("""COMPUTED_VALUE"""),3459.85)</f>
        <v>3459.85</v>
      </c>
      <c r="D1167" s="1">
        <f>IFERROR(__xludf.DUMMYFUNCTION("""COMPUTED_VALUE"""),3328.76)</f>
        <v>3328.76</v>
      </c>
      <c r="E1167" s="1">
        <f>IFERROR(__xludf.DUMMYFUNCTION("""COMPUTED_VALUE"""),3436.44)</f>
        <v>3436.44</v>
      </c>
      <c r="F1167" s="1">
        <f>IFERROR(__xludf.DUMMYFUNCTION("""COMPUTED_VALUE"""),270821.0)</f>
        <v>270821</v>
      </c>
    </row>
    <row r="1168">
      <c r="A1168" s="2">
        <f>IFERROR(__xludf.DUMMYFUNCTION("""COMPUTED_VALUE"""),43725.64583333333)</f>
        <v>43725.64583</v>
      </c>
      <c r="B1168" s="1">
        <f>IFERROR(__xludf.DUMMYFUNCTION("""COMPUTED_VALUE"""),3319.4)</f>
        <v>3319.4</v>
      </c>
      <c r="C1168" s="1">
        <f>IFERROR(__xludf.DUMMYFUNCTION("""COMPUTED_VALUE"""),3417.72)</f>
        <v>3417.72</v>
      </c>
      <c r="D1168" s="1">
        <f>IFERROR(__xludf.DUMMYFUNCTION("""COMPUTED_VALUE"""),3267.9)</f>
        <v>3267.9</v>
      </c>
      <c r="E1168" s="1">
        <f>IFERROR(__xludf.DUMMYFUNCTION("""COMPUTED_VALUE"""),3417.72)</f>
        <v>3417.72</v>
      </c>
      <c r="F1168" s="1">
        <f>IFERROR(__xludf.DUMMYFUNCTION("""COMPUTED_VALUE"""),477193.0)</f>
        <v>477193</v>
      </c>
    </row>
    <row r="1169">
      <c r="A1169" s="2">
        <f>IFERROR(__xludf.DUMMYFUNCTION("""COMPUTED_VALUE"""),43726.64583333333)</f>
        <v>43726.64583</v>
      </c>
      <c r="B1169" s="1">
        <f>IFERROR(__xludf.DUMMYFUNCTION("""COMPUTED_VALUE"""),3422.4)</f>
        <v>3422.4</v>
      </c>
      <c r="C1169" s="1">
        <f>IFERROR(__xludf.DUMMYFUNCTION("""COMPUTED_VALUE"""),3473.9)</f>
        <v>3473.9</v>
      </c>
      <c r="D1169" s="1">
        <f>IFERROR(__xludf.DUMMYFUNCTION("""COMPUTED_VALUE"""),3370.9)</f>
        <v>3370.9</v>
      </c>
      <c r="E1169" s="1">
        <f>IFERROR(__xludf.DUMMYFUNCTION("""COMPUTED_VALUE"""),3422.4)</f>
        <v>3422.4</v>
      </c>
      <c r="F1169" s="1">
        <f>IFERROR(__xludf.DUMMYFUNCTION("""COMPUTED_VALUE"""),366856.0)</f>
        <v>366856</v>
      </c>
    </row>
    <row r="1170">
      <c r="A1170" s="2">
        <f>IFERROR(__xludf.DUMMYFUNCTION("""COMPUTED_VALUE"""),43727.64583333333)</f>
        <v>43727.64583</v>
      </c>
      <c r="B1170" s="1">
        <f>IFERROR(__xludf.DUMMYFUNCTION("""COMPUTED_VALUE"""),3464.54)</f>
        <v>3464.54</v>
      </c>
      <c r="C1170" s="1">
        <f>IFERROR(__xludf.DUMMYFUNCTION("""COMPUTED_VALUE"""),3628.4)</f>
        <v>3628.4</v>
      </c>
      <c r="D1170" s="1">
        <f>IFERROR(__xludf.DUMMYFUNCTION("""COMPUTED_VALUE"""),3427.08)</f>
        <v>3427.08</v>
      </c>
      <c r="E1170" s="1">
        <f>IFERROR(__xludf.DUMMYFUNCTION("""COMPUTED_VALUE"""),3436.44)</f>
        <v>3436.44</v>
      </c>
      <c r="F1170" s="1">
        <f>IFERROR(__xludf.DUMMYFUNCTION("""COMPUTED_VALUE"""),1267448.0)</f>
        <v>1267448</v>
      </c>
    </row>
    <row r="1171">
      <c r="A1171" s="2">
        <f>IFERROR(__xludf.DUMMYFUNCTION("""COMPUTED_VALUE"""),43728.64583333333)</f>
        <v>43728.64583</v>
      </c>
      <c r="B1171" s="1">
        <f>IFERROR(__xludf.DUMMYFUNCTION("""COMPUTED_VALUE"""),3441.13)</f>
        <v>3441.13</v>
      </c>
      <c r="C1171" s="1">
        <f>IFERROR(__xludf.DUMMYFUNCTION("""COMPUTED_VALUE"""),3633.08)</f>
        <v>3633.08</v>
      </c>
      <c r="D1171" s="1">
        <f>IFERROR(__xludf.DUMMYFUNCTION("""COMPUTED_VALUE"""),3384.94)</f>
        <v>3384.94</v>
      </c>
      <c r="E1171" s="1">
        <f>IFERROR(__xludf.DUMMYFUNCTION("""COMPUTED_VALUE"""),3506.67)</f>
        <v>3506.67</v>
      </c>
      <c r="F1171" s="1">
        <f>IFERROR(__xludf.DUMMYFUNCTION("""COMPUTED_VALUE"""),1665776.0)</f>
        <v>1665776</v>
      </c>
    </row>
    <row r="1172">
      <c r="A1172" s="2">
        <f>IFERROR(__xludf.DUMMYFUNCTION("""COMPUTED_VALUE"""),43731.64583333333)</f>
        <v>43731.64583</v>
      </c>
      <c r="B1172" s="1">
        <f>IFERROR(__xludf.DUMMYFUNCTION("""COMPUTED_VALUE"""),3633.08)</f>
        <v>3633.08</v>
      </c>
      <c r="C1172" s="1">
        <f>IFERROR(__xludf.DUMMYFUNCTION("""COMPUTED_VALUE"""),3651.81)</f>
        <v>3651.81</v>
      </c>
      <c r="D1172" s="1">
        <f>IFERROR(__xludf.DUMMYFUNCTION("""COMPUTED_VALUE"""),3464.54)</f>
        <v>3464.54</v>
      </c>
      <c r="E1172" s="1">
        <f>IFERROR(__xludf.DUMMYFUNCTION("""COMPUTED_VALUE"""),3469.22)</f>
        <v>3469.22</v>
      </c>
      <c r="F1172" s="1">
        <f>IFERROR(__xludf.DUMMYFUNCTION("""COMPUTED_VALUE"""),1394471.0)</f>
        <v>1394471</v>
      </c>
    </row>
    <row r="1173">
      <c r="A1173" s="2">
        <f>IFERROR(__xludf.DUMMYFUNCTION("""COMPUTED_VALUE"""),43732.64583333333)</f>
        <v>43732.64583</v>
      </c>
      <c r="B1173" s="1">
        <f>IFERROR(__xludf.DUMMYFUNCTION("""COMPUTED_VALUE"""),3455.17)</f>
        <v>3455.17</v>
      </c>
      <c r="C1173" s="1">
        <f>IFERROR(__xludf.DUMMYFUNCTION("""COMPUTED_VALUE"""),3548.81)</f>
        <v>3548.81</v>
      </c>
      <c r="D1173" s="1">
        <f>IFERROR(__xludf.DUMMYFUNCTION("""COMPUTED_VALUE"""),3441.13)</f>
        <v>3441.13</v>
      </c>
      <c r="E1173" s="1">
        <f>IFERROR(__xludf.DUMMYFUNCTION("""COMPUTED_VALUE"""),3530.08)</f>
        <v>3530.08</v>
      </c>
      <c r="F1173" s="1">
        <f>IFERROR(__xludf.DUMMYFUNCTION("""COMPUTED_VALUE"""),490105.0)</f>
        <v>490105</v>
      </c>
    </row>
    <row r="1174">
      <c r="A1174" s="2">
        <f>IFERROR(__xludf.DUMMYFUNCTION("""COMPUTED_VALUE"""),43733.64583333333)</f>
        <v>43733.64583</v>
      </c>
      <c r="B1174" s="1">
        <f>IFERROR(__xludf.DUMMYFUNCTION("""COMPUTED_VALUE"""),3530.08)</f>
        <v>3530.08</v>
      </c>
      <c r="C1174" s="1">
        <f>IFERROR(__xludf.DUMMYFUNCTION("""COMPUTED_VALUE"""),3534.76)</f>
        <v>3534.76</v>
      </c>
      <c r="D1174" s="1">
        <f>IFERROR(__xludf.DUMMYFUNCTION("""COMPUTED_VALUE"""),3333.44)</f>
        <v>3333.44</v>
      </c>
      <c r="E1174" s="1">
        <f>IFERROR(__xludf.DUMMYFUNCTION("""COMPUTED_VALUE"""),3380.26)</f>
        <v>3380.26</v>
      </c>
      <c r="F1174" s="1">
        <f>IFERROR(__xludf.DUMMYFUNCTION("""COMPUTED_VALUE"""),519544.0)</f>
        <v>519544</v>
      </c>
    </row>
    <row r="1175">
      <c r="A1175" s="2">
        <f>IFERROR(__xludf.DUMMYFUNCTION("""COMPUTED_VALUE"""),43734.64583333333)</f>
        <v>43734.64583</v>
      </c>
      <c r="B1175" s="1">
        <f>IFERROR(__xludf.DUMMYFUNCTION("""COMPUTED_VALUE"""),3384.94)</f>
        <v>3384.94</v>
      </c>
      <c r="C1175" s="1">
        <f>IFERROR(__xludf.DUMMYFUNCTION("""COMPUTED_VALUE"""),3408.35)</f>
        <v>3408.35</v>
      </c>
      <c r="D1175" s="1">
        <f>IFERROR(__xludf.DUMMYFUNCTION("""COMPUTED_VALUE"""),3188.31)</f>
        <v>3188.31</v>
      </c>
      <c r="E1175" s="1">
        <f>IFERROR(__xludf.DUMMYFUNCTION("""COMPUTED_VALUE"""),3235.13)</f>
        <v>3235.13</v>
      </c>
      <c r="F1175" s="1">
        <f>IFERROR(__xludf.DUMMYFUNCTION("""COMPUTED_VALUE"""),508456.0)</f>
        <v>508456</v>
      </c>
    </row>
    <row r="1176">
      <c r="A1176" s="2">
        <f>IFERROR(__xludf.DUMMYFUNCTION("""COMPUTED_VALUE"""),43735.64583333333)</f>
        <v>43735.64583</v>
      </c>
      <c r="B1176" s="1">
        <f>IFERROR(__xludf.DUMMYFUNCTION("""COMPUTED_VALUE"""),3258.54)</f>
        <v>3258.54</v>
      </c>
      <c r="C1176" s="1">
        <f>IFERROR(__xludf.DUMMYFUNCTION("""COMPUTED_VALUE"""),3338.13)</f>
        <v>3338.13</v>
      </c>
      <c r="D1176" s="1">
        <f>IFERROR(__xludf.DUMMYFUNCTION("""COMPUTED_VALUE"""),3005.72)</f>
        <v>3005.72</v>
      </c>
      <c r="E1176" s="1">
        <f>IFERROR(__xludf.DUMMYFUNCTION("""COMPUTED_VALUE"""),3108.72)</f>
        <v>3108.72</v>
      </c>
      <c r="F1176" s="1">
        <f>IFERROR(__xludf.DUMMYFUNCTION("""COMPUTED_VALUE"""),762454.0)</f>
        <v>762454</v>
      </c>
    </row>
    <row r="1177">
      <c r="A1177" s="2">
        <f>IFERROR(__xludf.DUMMYFUNCTION("""COMPUTED_VALUE"""),43738.64583333333)</f>
        <v>43738.64583</v>
      </c>
      <c r="B1177" s="1">
        <f>IFERROR(__xludf.DUMMYFUNCTION("""COMPUTED_VALUE"""),3150.0)</f>
        <v>3150</v>
      </c>
      <c r="C1177" s="1">
        <f>IFERROR(__xludf.DUMMYFUNCTION("""COMPUTED_VALUE"""),3290.0)</f>
        <v>3290</v>
      </c>
      <c r="D1177" s="1">
        <f>IFERROR(__xludf.DUMMYFUNCTION("""COMPUTED_VALUE"""),3100.0)</f>
        <v>3100</v>
      </c>
      <c r="E1177" s="1">
        <f>IFERROR(__xludf.DUMMYFUNCTION("""COMPUTED_VALUE"""),3170.0)</f>
        <v>3170</v>
      </c>
      <c r="F1177" s="1">
        <f>IFERROR(__xludf.DUMMYFUNCTION("""COMPUTED_VALUE"""),326307.0)</f>
        <v>326307</v>
      </c>
    </row>
    <row r="1178">
      <c r="A1178" s="2">
        <f>IFERROR(__xludf.DUMMYFUNCTION("""COMPUTED_VALUE"""),43739.64583333333)</f>
        <v>43739.64583</v>
      </c>
      <c r="B1178" s="1">
        <f>IFERROR(__xludf.DUMMYFUNCTION("""COMPUTED_VALUE"""),3170.0)</f>
        <v>3170</v>
      </c>
      <c r="C1178" s="1">
        <f>IFERROR(__xludf.DUMMYFUNCTION("""COMPUTED_VALUE"""),3260.0)</f>
        <v>3260</v>
      </c>
      <c r="D1178" s="1">
        <f>IFERROR(__xludf.DUMMYFUNCTION("""COMPUTED_VALUE"""),3140.0)</f>
        <v>3140</v>
      </c>
      <c r="E1178" s="1">
        <f>IFERROR(__xludf.DUMMYFUNCTION("""COMPUTED_VALUE"""),3190.0)</f>
        <v>3190</v>
      </c>
      <c r="F1178" s="1">
        <f>IFERROR(__xludf.DUMMYFUNCTION("""COMPUTED_VALUE"""),154164.0)</f>
        <v>154164</v>
      </c>
    </row>
    <row r="1179">
      <c r="A1179" s="2">
        <f>IFERROR(__xludf.DUMMYFUNCTION("""COMPUTED_VALUE"""),43740.64583333333)</f>
        <v>43740.64583</v>
      </c>
      <c r="B1179" s="1">
        <f>IFERROR(__xludf.DUMMYFUNCTION("""COMPUTED_VALUE"""),3190.0)</f>
        <v>3190</v>
      </c>
      <c r="C1179" s="1">
        <f>IFERROR(__xludf.DUMMYFUNCTION("""COMPUTED_VALUE"""),3325.0)</f>
        <v>3325</v>
      </c>
      <c r="D1179" s="1">
        <f>IFERROR(__xludf.DUMMYFUNCTION("""COMPUTED_VALUE"""),3160.0)</f>
        <v>3160</v>
      </c>
      <c r="E1179" s="1">
        <f>IFERROR(__xludf.DUMMYFUNCTION("""COMPUTED_VALUE"""),3220.0)</f>
        <v>3220</v>
      </c>
      <c r="F1179" s="1">
        <f>IFERROR(__xludf.DUMMYFUNCTION("""COMPUTED_VALUE"""),297471.0)</f>
        <v>297471</v>
      </c>
    </row>
    <row r="1180">
      <c r="A1180" s="2">
        <f>IFERROR(__xludf.DUMMYFUNCTION("""COMPUTED_VALUE"""),43742.64583333333)</f>
        <v>43742.64583</v>
      </c>
      <c r="B1180" s="1">
        <f>IFERROR(__xludf.DUMMYFUNCTION("""COMPUTED_VALUE"""),3220.0)</f>
        <v>3220</v>
      </c>
      <c r="C1180" s="1">
        <f>IFERROR(__xludf.DUMMYFUNCTION("""COMPUTED_VALUE"""),3300.0)</f>
        <v>3300</v>
      </c>
      <c r="D1180" s="1">
        <f>IFERROR(__xludf.DUMMYFUNCTION("""COMPUTED_VALUE"""),3200.0)</f>
        <v>3200</v>
      </c>
      <c r="E1180" s="1">
        <f>IFERROR(__xludf.DUMMYFUNCTION("""COMPUTED_VALUE"""),3225.0)</f>
        <v>3225</v>
      </c>
      <c r="F1180" s="1">
        <f>IFERROR(__xludf.DUMMYFUNCTION("""COMPUTED_VALUE"""),134573.0)</f>
        <v>134573</v>
      </c>
    </row>
    <row r="1181">
      <c r="A1181" s="2">
        <f>IFERROR(__xludf.DUMMYFUNCTION("""COMPUTED_VALUE"""),43745.64583333333)</f>
        <v>43745.64583</v>
      </c>
      <c r="B1181" s="1">
        <f>IFERROR(__xludf.DUMMYFUNCTION("""COMPUTED_VALUE"""),3210.0)</f>
        <v>3210</v>
      </c>
      <c r="C1181" s="1">
        <f>IFERROR(__xludf.DUMMYFUNCTION("""COMPUTED_VALUE"""),3300.0)</f>
        <v>3300</v>
      </c>
      <c r="D1181" s="1">
        <f>IFERROR(__xludf.DUMMYFUNCTION("""COMPUTED_VALUE"""),3195.0)</f>
        <v>3195</v>
      </c>
      <c r="E1181" s="1">
        <f>IFERROR(__xludf.DUMMYFUNCTION("""COMPUTED_VALUE"""),3200.0)</f>
        <v>3200</v>
      </c>
      <c r="F1181" s="1">
        <f>IFERROR(__xludf.DUMMYFUNCTION("""COMPUTED_VALUE"""),113217.0)</f>
        <v>113217</v>
      </c>
    </row>
    <row r="1182">
      <c r="A1182" s="2">
        <f>IFERROR(__xludf.DUMMYFUNCTION("""COMPUTED_VALUE"""),43746.64583333333)</f>
        <v>43746.64583</v>
      </c>
      <c r="B1182" s="1">
        <f>IFERROR(__xludf.DUMMYFUNCTION("""COMPUTED_VALUE"""),3120.0)</f>
        <v>3120</v>
      </c>
      <c r="C1182" s="1">
        <f>IFERROR(__xludf.DUMMYFUNCTION("""COMPUTED_VALUE"""),3185.0)</f>
        <v>3185</v>
      </c>
      <c r="D1182" s="1">
        <f>IFERROR(__xludf.DUMMYFUNCTION("""COMPUTED_VALUE"""),3100.0)</f>
        <v>3100</v>
      </c>
      <c r="E1182" s="1">
        <f>IFERROR(__xludf.DUMMYFUNCTION("""COMPUTED_VALUE"""),3155.0)</f>
        <v>3155</v>
      </c>
      <c r="F1182" s="1">
        <f>IFERROR(__xludf.DUMMYFUNCTION("""COMPUTED_VALUE"""),195712.0)</f>
        <v>195712</v>
      </c>
    </row>
    <row r="1183">
      <c r="A1183" s="2">
        <f>IFERROR(__xludf.DUMMYFUNCTION("""COMPUTED_VALUE"""),43748.64583333333)</f>
        <v>43748.64583</v>
      </c>
      <c r="B1183" s="1">
        <f>IFERROR(__xludf.DUMMYFUNCTION("""COMPUTED_VALUE"""),3120.0)</f>
        <v>3120</v>
      </c>
      <c r="C1183" s="1">
        <f>IFERROR(__xludf.DUMMYFUNCTION("""COMPUTED_VALUE"""),3150.0)</f>
        <v>3150</v>
      </c>
      <c r="D1183" s="1">
        <f>IFERROR(__xludf.DUMMYFUNCTION("""COMPUTED_VALUE"""),3070.0)</f>
        <v>3070</v>
      </c>
      <c r="E1183" s="1">
        <f>IFERROR(__xludf.DUMMYFUNCTION("""COMPUTED_VALUE"""),3085.0)</f>
        <v>3085</v>
      </c>
      <c r="F1183" s="1">
        <f>IFERROR(__xludf.DUMMYFUNCTION("""COMPUTED_VALUE"""),181454.0)</f>
        <v>181454</v>
      </c>
    </row>
    <row r="1184">
      <c r="A1184" s="2">
        <f>IFERROR(__xludf.DUMMYFUNCTION("""COMPUTED_VALUE"""),43749.64583333333)</f>
        <v>43749.64583</v>
      </c>
      <c r="B1184" s="1">
        <f>IFERROR(__xludf.DUMMYFUNCTION("""COMPUTED_VALUE"""),3080.0)</f>
        <v>3080</v>
      </c>
      <c r="C1184" s="1">
        <f>IFERROR(__xludf.DUMMYFUNCTION("""COMPUTED_VALUE"""),3120.0)</f>
        <v>3120</v>
      </c>
      <c r="D1184" s="1">
        <f>IFERROR(__xludf.DUMMYFUNCTION("""COMPUTED_VALUE"""),3080.0)</f>
        <v>3080</v>
      </c>
      <c r="E1184" s="1">
        <f>IFERROR(__xludf.DUMMYFUNCTION("""COMPUTED_VALUE"""),3085.0)</f>
        <v>3085</v>
      </c>
      <c r="F1184" s="1">
        <f>IFERROR(__xludf.DUMMYFUNCTION("""COMPUTED_VALUE"""),135283.0)</f>
        <v>135283</v>
      </c>
    </row>
    <row r="1185">
      <c r="A1185" s="2">
        <f>IFERROR(__xludf.DUMMYFUNCTION("""COMPUTED_VALUE"""),43752.64583333333)</f>
        <v>43752.64583</v>
      </c>
      <c r="B1185" s="1">
        <f>IFERROR(__xludf.DUMMYFUNCTION("""COMPUTED_VALUE"""),3080.0)</f>
        <v>3080</v>
      </c>
      <c r="C1185" s="1">
        <f>IFERROR(__xludf.DUMMYFUNCTION("""COMPUTED_VALUE"""),3145.0)</f>
        <v>3145</v>
      </c>
      <c r="D1185" s="1">
        <f>IFERROR(__xludf.DUMMYFUNCTION("""COMPUTED_VALUE"""),3065.0)</f>
        <v>3065</v>
      </c>
      <c r="E1185" s="1">
        <f>IFERROR(__xludf.DUMMYFUNCTION("""COMPUTED_VALUE"""),3130.0)</f>
        <v>3130</v>
      </c>
      <c r="F1185" s="1">
        <f>IFERROR(__xludf.DUMMYFUNCTION("""COMPUTED_VALUE"""),161556.0)</f>
        <v>161556</v>
      </c>
    </row>
    <row r="1186">
      <c r="A1186" s="2">
        <f>IFERROR(__xludf.DUMMYFUNCTION("""COMPUTED_VALUE"""),43753.64583333333)</f>
        <v>43753.64583</v>
      </c>
      <c r="B1186" s="1">
        <f>IFERROR(__xludf.DUMMYFUNCTION("""COMPUTED_VALUE"""),3190.0)</f>
        <v>3190</v>
      </c>
      <c r="C1186" s="1">
        <f>IFERROR(__xludf.DUMMYFUNCTION("""COMPUTED_VALUE"""),3275.0)</f>
        <v>3275</v>
      </c>
      <c r="D1186" s="1">
        <f>IFERROR(__xludf.DUMMYFUNCTION("""COMPUTED_VALUE"""),3135.0)</f>
        <v>3135</v>
      </c>
      <c r="E1186" s="1">
        <f>IFERROR(__xludf.DUMMYFUNCTION("""COMPUTED_VALUE"""),3155.0)</f>
        <v>3155</v>
      </c>
      <c r="F1186" s="1">
        <f>IFERROR(__xludf.DUMMYFUNCTION("""COMPUTED_VALUE"""),540669.0)</f>
        <v>540669</v>
      </c>
    </row>
    <row r="1187">
      <c r="A1187" s="2">
        <f>IFERROR(__xludf.DUMMYFUNCTION("""COMPUTED_VALUE"""),43754.64583333333)</f>
        <v>43754.64583</v>
      </c>
      <c r="B1187" s="1">
        <f>IFERROR(__xludf.DUMMYFUNCTION("""COMPUTED_VALUE"""),3155.0)</f>
        <v>3155</v>
      </c>
      <c r="C1187" s="1">
        <f>IFERROR(__xludf.DUMMYFUNCTION("""COMPUTED_VALUE"""),3340.0)</f>
        <v>3340</v>
      </c>
      <c r="D1187" s="1">
        <f>IFERROR(__xludf.DUMMYFUNCTION("""COMPUTED_VALUE"""),3155.0)</f>
        <v>3155</v>
      </c>
      <c r="E1187" s="1">
        <f>IFERROR(__xludf.DUMMYFUNCTION("""COMPUTED_VALUE"""),3185.0)</f>
        <v>3185</v>
      </c>
      <c r="F1187" s="1">
        <f>IFERROR(__xludf.DUMMYFUNCTION("""COMPUTED_VALUE"""),633603.0)</f>
        <v>633603</v>
      </c>
    </row>
    <row r="1188">
      <c r="A1188" s="2">
        <f>IFERROR(__xludf.DUMMYFUNCTION("""COMPUTED_VALUE"""),43755.64583333333)</f>
        <v>43755.64583</v>
      </c>
      <c r="B1188" s="1">
        <f>IFERROR(__xludf.DUMMYFUNCTION("""COMPUTED_VALUE"""),3190.0)</f>
        <v>3190</v>
      </c>
      <c r="C1188" s="1">
        <f>IFERROR(__xludf.DUMMYFUNCTION("""COMPUTED_VALUE"""),3255.0)</f>
        <v>3255</v>
      </c>
      <c r="D1188" s="1">
        <f>IFERROR(__xludf.DUMMYFUNCTION("""COMPUTED_VALUE"""),3150.0)</f>
        <v>3150</v>
      </c>
      <c r="E1188" s="1">
        <f>IFERROR(__xludf.DUMMYFUNCTION("""COMPUTED_VALUE"""),3150.0)</f>
        <v>3150</v>
      </c>
      <c r="F1188" s="1">
        <f>IFERROR(__xludf.DUMMYFUNCTION("""COMPUTED_VALUE"""),215949.0)</f>
        <v>215949</v>
      </c>
    </row>
    <row r="1189">
      <c r="A1189" s="2">
        <f>IFERROR(__xludf.DUMMYFUNCTION("""COMPUTED_VALUE"""),43756.64583333333)</f>
        <v>43756.64583</v>
      </c>
      <c r="B1189" s="1">
        <f>IFERROR(__xludf.DUMMYFUNCTION("""COMPUTED_VALUE"""),3215.0)</f>
        <v>3215</v>
      </c>
      <c r="C1189" s="1">
        <f>IFERROR(__xludf.DUMMYFUNCTION("""COMPUTED_VALUE"""),3215.0)</f>
        <v>3215</v>
      </c>
      <c r="D1189" s="1">
        <f>IFERROR(__xludf.DUMMYFUNCTION("""COMPUTED_VALUE"""),3130.0)</f>
        <v>3130</v>
      </c>
      <c r="E1189" s="1">
        <f>IFERROR(__xludf.DUMMYFUNCTION("""COMPUTED_VALUE"""),3130.0)</f>
        <v>3130</v>
      </c>
      <c r="F1189" s="1">
        <f>IFERROR(__xludf.DUMMYFUNCTION("""COMPUTED_VALUE"""),169640.0)</f>
        <v>169640</v>
      </c>
    </row>
    <row r="1190">
      <c r="A1190" s="2">
        <f>IFERROR(__xludf.DUMMYFUNCTION("""COMPUTED_VALUE"""),43759.64583333333)</f>
        <v>43759.64583</v>
      </c>
      <c r="B1190" s="1">
        <f>IFERROR(__xludf.DUMMYFUNCTION("""COMPUTED_VALUE"""),3250.0)</f>
        <v>3250</v>
      </c>
      <c r="C1190" s="1">
        <f>IFERROR(__xludf.DUMMYFUNCTION("""COMPUTED_VALUE"""),3325.0)</f>
        <v>3325</v>
      </c>
      <c r="D1190" s="1">
        <f>IFERROR(__xludf.DUMMYFUNCTION("""COMPUTED_VALUE"""),3070.0)</f>
        <v>3070</v>
      </c>
      <c r="E1190" s="1">
        <f>IFERROR(__xludf.DUMMYFUNCTION("""COMPUTED_VALUE"""),3070.0)</f>
        <v>3070</v>
      </c>
      <c r="F1190" s="1">
        <f>IFERROR(__xludf.DUMMYFUNCTION("""COMPUTED_VALUE"""),1069074.0)</f>
        <v>1069074</v>
      </c>
    </row>
    <row r="1191">
      <c r="A1191" s="2">
        <f>IFERROR(__xludf.DUMMYFUNCTION("""COMPUTED_VALUE"""),43760.64583333333)</f>
        <v>43760.64583</v>
      </c>
      <c r="B1191" s="1">
        <f>IFERROR(__xludf.DUMMYFUNCTION("""COMPUTED_VALUE"""),3070.0)</f>
        <v>3070</v>
      </c>
      <c r="C1191" s="1">
        <f>IFERROR(__xludf.DUMMYFUNCTION("""COMPUTED_VALUE"""),3070.0)</f>
        <v>3070</v>
      </c>
      <c r="D1191" s="1">
        <f>IFERROR(__xludf.DUMMYFUNCTION("""COMPUTED_VALUE"""),2900.0)</f>
        <v>2900</v>
      </c>
      <c r="E1191" s="1">
        <f>IFERROR(__xludf.DUMMYFUNCTION("""COMPUTED_VALUE"""),2905.0)</f>
        <v>2905</v>
      </c>
      <c r="F1191" s="1">
        <f>IFERROR(__xludf.DUMMYFUNCTION("""COMPUTED_VALUE"""),602890.0)</f>
        <v>602890</v>
      </c>
    </row>
    <row r="1192">
      <c r="A1192" s="2">
        <f>IFERROR(__xludf.DUMMYFUNCTION("""COMPUTED_VALUE"""),43761.64583333333)</f>
        <v>43761.64583</v>
      </c>
      <c r="B1192" s="1">
        <f>IFERROR(__xludf.DUMMYFUNCTION("""COMPUTED_VALUE"""),2910.0)</f>
        <v>2910</v>
      </c>
      <c r="C1192" s="1">
        <f>IFERROR(__xludf.DUMMYFUNCTION("""COMPUTED_VALUE"""),2940.0)</f>
        <v>2940</v>
      </c>
      <c r="D1192" s="1">
        <f>IFERROR(__xludf.DUMMYFUNCTION("""COMPUTED_VALUE"""),2790.0)</f>
        <v>2790</v>
      </c>
      <c r="E1192" s="1">
        <f>IFERROR(__xludf.DUMMYFUNCTION("""COMPUTED_VALUE"""),2940.0)</f>
        <v>2940</v>
      </c>
      <c r="F1192" s="1">
        <f>IFERROR(__xludf.DUMMYFUNCTION("""COMPUTED_VALUE"""),506636.0)</f>
        <v>506636</v>
      </c>
    </row>
    <row r="1193">
      <c r="A1193" s="2">
        <f>IFERROR(__xludf.DUMMYFUNCTION("""COMPUTED_VALUE"""),43762.64583333333)</f>
        <v>43762.64583</v>
      </c>
      <c r="B1193" s="1">
        <f>IFERROR(__xludf.DUMMYFUNCTION("""COMPUTED_VALUE"""),2995.0)</f>
        <v>2995</v>
      </c>
      <c r="C1193" s="1">
        <f>IFERROR(__xludf.DUMMYFUNCTION("""COMPUTED_VALUE"""),3820.0)</f>
        <v>3820</v>
      </c>
      <c r="D1193" s="1">
        <f>IFERROR(__xludf.DUMMYFUNCTION("""COMPUTED_VALUE"""),2965.0)</f>
        <v>2965</v>
      </c>
      <c r="E1193" s="1">
        <f>IFERROR(__xludf.DUMMYFUNCTION("""COMPUTED_VALUE"""),3625.0)</f>
        <v>3625</v>
      </c>
      <c r="F1193" s="1">
        <f>IFERROR(__xludf.DUMMYFUNCTION("""COMPUTED_VALUE"""),2.1281416E7)</f>
        <v>21281416</v>
      </c>
    </row>
    <row r="1194">
      <c r="A1194" s="2">
        <f>IFERROR(__xludf.DUMMYFUNCTION("""COMPUTED_VALUE"""),43763.64583333333)</f>
        <v>43763.64583</v>
      </c>
      <c r="B1194" s="1">
        <f>IFERROR(__xludf.DUMMYFUNCTION("""COMPUTED_VALUE"""),3585.0)</f>
        <v>3585</v>
      </c>
      <c r="C1194" s="1">
        <f>IFERROR(__xludf.DUMMYFUNCTION("""COMPUTED_VALUE"""),4500.0)</f>
        <v>4500</v>
      </c>
      <c r="D1194" s="1">
        <f>IFERROR(__xludf.DUMMYFUNCTION("""COMPUTED_VALUE"""),3505.0)</f>
        <v>3505</v>
      </c>
      <c r="E1194" s="1">
        <f>IFERROR(__xludf.DUMMYFUNCTION("""COMPUTED_VALUE"""),3950.0)</f>
        <v>3950</v>
      </c>
      <c r="F1194" s="1">
        <f>IFERROR(__xludf.DUMMYFUNCTION("""COMPUTED_VALUE"""),2.9798222E7)</f>
        <v>29798222</v>
      </c>
    </row>
    <row r="1195">
      <c r="A1195" s="2">
        <f>IFERROR(__xludf.DUMMYFUNCTION("""COMPUTED_VALUE"""),43766.64583333333)</f>
        <v>43766.64583</v>
      </c>
      <c r="B1195" s="1">
        <f>IFERROR(__xludf.DUMMYFUNCTION("""COMPUTED_VALUE"""),4020.0)</f>
        <v>4020</v>
      </c>
      <c r="C1195" s="1">
        <f>IFERROR(__xludf.DUMMYFUNCTION("""COMPUTED_VALUE"""),4350.0)</f>
        <v>4350</v>
      </c>
      <c r="D1195" s="1">
        <f>IFERROR(__xludf.DUMMYFUNCTION("""COMPUTED_VALUE"""),3625.0)</f>
        <v>3625</v>
      </c>
      <c r="E1195" s="1">
        <f>IFERROR(__xludf.DUMMYFUNCTION("""COMPUTED_VALUE"""),3725.0)</f>
        <v>3725</v>
      </c>
      <c r="F1195" s="1">
        <f>IFERROR(__xludf.DUMMYFUNCTION("""COMPUTED_VALUE"""),1.2237602E7)</f>
        <v>12237602</v>
      </c>
    </row>
    <row r="1196">
      <c r="A1196" s="2">
        <f>IFERROR(__xludf.DUMMYFUNCTION("""COMPUTED_VALUE"""),43767.64583333333)</f>
        <v>43767.64583</v>
      </c>
      <c r="B1196" s="1">
        <f>IFERROR(__xludf.DUMMYFUNCTION("""COMPUTED_VALUE"""),3720.0)</f>
        <v>3720</v>
      </c>
      <c r="C1196" s="1">
        <f>IFERROR(__xludf.DUMMYFUNCTION("""COMPUTED_VALUE"""),4000.0)</f>
        <v>4000</v>
      </c>
      <c r="D1196" s="1">
        <f>IFERROR(__xludf.DUMMYFUNCTION("""COMPUTED_VALUE"""),3605.0)</f>
        <v>3605</v>
      </c>
      <c r="E1196" s="1">
        <f>IFERROR(__xludf.DUMMYFUNCTION("""COMPUTED_VALUE"""),3825.0)</f>
        <v>3825</v>
      </c>
      <c r="F1196" s="1">
        <f>IFERROR(__xludf.DUMMYFUNCTION("""COMPUTED_VALUE"""),5339000.0)</f>
        <v>5339000</v>
      </c>
    </row>
    <row r="1197">
      <c r="A1197" s="2">
        <f>IFERROR(__xludf.DUMMYFUNCTION("""COMPUTED_VALUE"""),43768.64583333333)</f>
        <v>43768.64583</v>
      </c>
      <c r="B1197" s="1">
        <f>IFERROR(__xludf.DUMMYFUNCTION("""COMPUTED_VALUE"""),3720.0)</f>
        <v>3720</v>
      </c>
      <c r="C1197" s="1">
        <f>IFERROR(__xludf.DUMMYFUNCTION("""COMPUTED_VALUE"""),3970.0)</f>
        <v>3970</v>
      </c>
      <c r="D1197" s="1">
        <f>IFERROR(__xludf.DUMMYFUNCTION("""COMPUTED_VALUE"""),3630.0)</f>
        <v>3630</v>
      </c>
      <c r="E1197" s="1">
        <f>IFERROR(__xludf.DUMMYFUNCTION("""COMPUTED_VALUE"""),3660.0)</f>
        <v>3660</v>
      </c>
      <c r="F1197" s="1">
        <f>IFERROR(__xludf.DUMMYFUNCTION("""COMPUTED_VALUE"""),4511297.0)</f>
        <v>4511297</v>
      </c>
    </row>
    <row r="1198">
      <c r="A1198" s="2">
        <f>IFERROR(__xludf.DUMMYFUNCTION("""COMPUTED_VALUE"""),43769.64583333333)</f>
        <v>43769.64583</v>
      </c>
      <c r="B1198" s="1">
        <f>IFERROR(__xludf.DUMMYFUNCTION("""COMPUTED_VALUE"""),3730.0)</f>
        <v>3730</v>
      </c>
      <c r="C1198" s="1">
        <f>IFERROR(__xludf.DUMMYFUNCTION("""COMPUTED_VALUE"""),4100.0)</f>
        <v>4100</v>
      </c>
      <c r="D1198" s="1">
        <f>IFERROR(__xludf.DUMMYFUNCTION("""COMPUTED_VALUE"""),3700.0)</f>
        <v>3700</v>
      </c>
      <c r="E1198" s="1">
        <f>IFERROR(__xludf.DUMMYFUNCTION("""COMPUTED_VALUE"""),3900.0)</f>
        <v>3900</v>
      </c>
      <c r="F1198" s="1">
        <f>IFERROR(__xludf.DUMMYFUNCTION("""COMPUTED_VALUE"""),8884724.0)</f>
        <v>8884724</v>
      </c>
    </row>
    <row r="1199">
      <c r="A1199" s="2">
        <f>IFERROR(__xludf.DUMMYFUNCTION("""COMPUTED_VALUE"""),43770.64583333333)</f>
        <v>43770.64583</v>
      </c>
      <c r="B1199" s="1">
        <f>IFERROR(__xludf.DUMMYFUNCTION("""COMPUTED_VALUE"""),3860.0)</f>
        <v>3860</v>
      </c>
      <c r="C1199" s="1">
        <f>IFERROR(__xludf.DUMMYFUNCTION("""COMPUTED_VALUE"""),3995.0)</f>
        <v>3995</v>
      </c>
      <c r="D1199" s="1">
        <f>IFERROR(__xludf.DUMMYFUNCTION("""COMPUTED_VALUE"""),3755.0)</f>
        <v>3755</v>
      </c>
      <c r="E1199" s="1">
        <f>IFERROR(__xludf.DUMMYFUNCTION("""COMPUTED_VALUE"""),3780.0)</f>
        <v>3780</v>
      </c>
      <c r="F1199" s="1">
        <f>IFERROR(__xludf.DUMMYFUNCTION("""COMPUTED_VALUE"""),2839724.0)</f>
        <v>2839724</v>
      </c>
    </row>
    <row r="1200">
      <c r="A1200" s="2">
        <f>IFERROR(__xludf.DUMMYFUNCTION("""COMPUTED_VALUE"""),43773.64583333333)</f>
        <v>43773.64583</v>
      </c>
      <c r="B1200" s="1">
        <f>IFERROR(__xludf.DUMMYFUNCTION("""COMPUTED_VALUE"""),3780.0)</f>
        <v>3780</v>
      </c>
      <c r="C1200" s="1">
        <f>IFERROR(__xludf.DUMMYFUNCTION("""COMPUTED_VALUE"""),3895.0)</f>
        <v>3895</v>
      </c>
      <c r="D1200" s="1">
        <f>IFERROR(__xludf.DUMMYFUNCTION("""COMPUTED_VALUE"""),3660.0)</f>
        <v>3660</v>
      </c>
      <c r="E1200" s="1">
        <f>IFERROR(__xludf.DUMMYFUNCTION("""COMPUTED_VALUE"""),3890.0)</f>
        <v>3890</v>
      </c>
      <c r="F1200" s="1">
        <f>IFERROR(__xludf.DUMMYFUNCTION("""COMPUTED_VALUE"""),3877096.0)</f>
        <v>3877096</v>
      </c>
    </row>
    <row r="1201">
      <c r="A1201" s="2">
        <f>IFERROR(__xludf.DUMMYFUNCTION("""COMPUTED_VALUE"""),43774.64583333333)</f>
        <v>43774.64583</v>
      </c>
      <c r="B1201" s="1">
        <f>IFERROR(__xludf.DUMMYFUNCTION("""COMPUTED_VALUE"""),4025.0)</f>
        <v>4025</v>
      </c>
      <c r="C1201" s="1">
        <f>IFERROR(__xludf.DUMMYFUNCTION("""COMPUTED_VALUE"""),4100.0)</f>
        <v>4100</v>
      </c>
      <c r="D1201" s="1">
        <f>IFERROR(__xludf.DUMMYFUNCTION("""COMPUTED_VALUE"""),3780.0)</f>
        <v>3780</v>
      </c>
      <c r="E1201" s="1">
        <f>IFERROR(__xludf.DUMMYFUNCTION("""COMPUTED_VALUE"""),3780.0)</f>
        <v>3780</v>
      </c>
      <c r="F1201" s="1">
        <f>IFERROR(__xludf.DUMMYFUNCTION("""COMPUTED_VALUE"""),5628190.0)</f>
        <v>5628190</v>
      </c>
    </row>
    <row r="1202">
      <c r="A1202" s="2">
        <f>IFERROR(__xludf.DUMMYFUNCTION("""COMPUTED_VALUE"""),43775.64583333333)</f>
        <v>43775.64583</v>
      </c>
      <c r="B1202" s="1">
        <f>IFERROR(__xludf.DUMMYFUNCTION("""COMPUTED_VALUE"""),3780.0)</f>
        <v>3780</v>
      </c>
      <c r="C1202" s="1">
        <f>IFERROR(__xludf.DUMMYFUNCTION("""COMPUTED_VALUE"""),3875.0)</f>
        <v>3875</v>
      </c>
      <c r="D1202" s="1">
        <f>IFERROR(__xludf.DUMMYFUNCTION("""COMPUTED_VALUE"""),3735.0)</f>
        <v>3735</v>
      </c>
      <c r="E1202" s="1">
        <f>IFERROR(__xludf.DUMMYFUNCTION("""COMPUTED_VALUE"""),3850.0)</f>
        <v>3850</v>
      </c>
      <c r="F1202" s="1">
        <f>IFERROR(__xludf.DUMMYFUNCTION("""COMPUTED_VALUE"""),1219158.0)</f>
        <v>1219158</v>
      </c>
    </row>
    <row r="1203">
      <c r="A1203" s="2">
        <f>IFERROR(__xludf.DUMMYFUNCTION("""COMPUTED_VALUE"""),43776.64583333333)</f>
        <v>43776.64583</v>
      </c>
      <c r="B1203" s="1">
        <f>IFERROR(__xludf.DUMMYFUNCTION("""COMPUTED_VALUE"""),3795.0)</f>
        <v>3795</v>
      </c>
      <c r="C1203" s="1">
        <f>IFERROR(__xludf.DUMMYFUNCTION("""COMPUTED_VALUE"""),3815.0)</f>
        <v>3815</v>
      </c>
      <c r="D1203" s="1">
        <f>IFERROR(__xludf.DUMMYFUNCTION("""COMPUTED_VALUE"""),3655.0)</f>
        <v>3655</v>
      </c>
      <c r="E1203" s="1">
        <f>IFERROR(__xludf.DUMMYFUNCTION("""COMPUTED_VALUE"""),3665.0)</f>
        <v>3665</v>
      </c>
      <c r="F1203" s="1">
        <f>IFERROR(__xludf.DUMMYFUNCTION("""COMPUTED_VALUE"""),941383.0)</f>
        <v>941383</v>
      </c>
    </row>
    <row r="1204">
      <c r="A1204" s="2">
        <f>IFERROR(__xludf.DUMMYFUNCTION("""COMPUTED_VALUE"""),43777.64583333333)</f>
        <v>43777.64583</v>
      </c>
      <c r="B1204" s="1">
        <f>IFERROR(__xludf.DUMMYFUNCTION("""COMPUTED_VALUE"""),3670.0)</f>
        <v>3670</v>
      </c>
      <c r="C1204" s="1">
        <f>IFERROR(__xludf.DUMMYFUNCTION("""COMPUTED_VALUE"""),3715.0)</f>
        <v>3715</v>
      </c>
      <c r="D1204" s="1">
        <f>IFERROR(__xludf.DUMMYFUNCTION("""COMPUTED_VALUE"""),3615.0)</f>
        <v>3615</v>
      </c>
      <c r="E1204" s="1">
        <f>IFERROR(__xludf.DUMMYFUNCTION("""COMPUTED_VALUE"""),3690.0)</f>
        <v>3690</v>
      </c>
      <c r="F1204" s="1">
        <f>IFERROR(__xludf.DUMMYFUNCTION("""COMPUTED_VALUE"""),564919.0)</f>
        <v>564919</v>
      </c>
    </row>
    <row r="1205">
      <c r="A1205" s="2">
        <f>IFERROR(__xludf.DUMMYFUNCTION("""COMPUTED_VALUE"""),43780.64583333333)</f>
        <v>43780.64583</v>
      </c>
      <c r="B1205" s="1">
        <f>IFERROR(__xludf.DUMMYFUNCTION("""COMPUTED_VALUE"""),3710.0)</f>
        <v>3710</v>
      </c>
      <c r="C1205" s="1">
        <f>IFERROR(__xludf.DUMMYFUNCTION("""COMPUTED_VALUE"""),3860.0)</f>
        <v>3860</v>
      </c>
      <c r="D1205" s="1">
        <f>IFERROR(__xludf.DUMMYFUNCTION("""COMPUTED_VALUE"""),3540.0)</f>
        <v>3540</v>
      </c>
      <c r="E1205" s="1">
        <f>IFERROR(__xludf.DUMMYFUNCTION("""COMPUTED_VALUE"""),3850.0)</f>
        <v>3850</v>
      </c>
      <c r="F1205" s="1">
        <f>IFERROR(__xludf.DUMMYFUNCTION("""COMPUTED_VALUE"""),1572624.0)</f>
        <v>1572624</v>
      </c>
    </row>
    <row r="1206">
      <c r="A1206" s="2">
        <f>IFERROR(__xludf.DUMMYFUNCTION("""COMPUTED_VALUE"""),43781.64583333333)</f>
        <v>43781.64583</v>
      </c>
      <c r="B1206" s="1">
        <f>IFERROR(__xludf.DUMMYFUNCTION("""COMPUTED_VALUE"""),3790.0)</f>
        <v>3790</v>
      </c>
      <c r="C1206" s="1">
        <f>IFERROR(__xludf.DUMMYFUNCTION("""COMPUTED_VALUE"""),3810.0)</f>
        <v>3810</v>
      </c>
      <c r="D1206" s="1">
        <f>IFERROR(__xludf.DUMMYFUNCTION("""COMPUTED_VALUE"""),3670.0)</f>
        <v>3670</v>
      </c>
      <c r="E1206" s="1">
        <f>IFERROR(__xludf.DUMMYFUNCTION("""COMPUTED_VALUE"""),3695.0)</f>
        <v>3695</v>
      </c>
      <c r="F1206" s="1">
        <f>IFERROR(__xludf.DUMMYFUNCTION("""COMPUTED_VALUE"""),961493.0)</f>
        <v>961493</v>
      </c>
    </row>
    <row r="1207">
      <c r="A1207" s="2">
        <f>IFERROR(__xludf.DUMMYFUNCTION("""COMPUTED_VALUE"""),43782.64583333333)</f>
        <v>43782.64583</v>
      </c>
      <c r="B1207" s="1">
        <f>IFERROR(__xludf.DUMMYFUNCTION("""COMPUTED_VALUE"""),3625.0)</f>
        <v>3625</v>
      </c>
      <c r="C1207" s="1">
        <f>IFERROR(__xludf.DUMMYFUNCTION("""COMPUTED_VALUE"""),3715.0)</f>
        <v>3715</v>
      </c>
      <c r="D1207" s="1">
        <f>IFERROR(__xludf.DUMMYFUNCTION("""COMPUTED_VALUE"""),3535.0)</f>
        <v>3535</v>
      </c>
      <c r="E1207" s="1">
        <f>IFERROR(__xludf.DUMMYFUNCTION("""COMPUTED_VALUE"""),3545.0)</f>
        <v>3545</v>
      </c>
      <c r="F1207" s="1">
        <f>IFERROR(__xludf.DUMMYFUNCTION("""COMPUTED_VALUE"""),685435.0)</f>
        <v>685435</v>
      </c>
    </row>
    <row r="1208">
      <c r="A1208" s="2">
        <f>IFERROR(__xludf.DUMMYFUNCTION("""COMPUTED_VALUE"""),43783.6875)</f>
        <v>43783.6875</v>
      </c>
      <c r="B1208" s="1">
        <f>IFERROR(__xludf.DUMMYFUNCTION("""COMPUTED_VALUE"""),3525.0)</f>
        <v>3525</v>
      </c>
      <c r="C1208" s="1">
        <f>IFERROR(__xludf.DUMMYFUNCTION("""COMPUTED_VALUE"""),3780.0)</f>
        <v>3780</v>
      </c>
      <c r="D1208" s="1">
        <f>IFERROR(__xludf.DUMMYFUNCTION("""COMPUTED_VALUE"""),3455.0)</f>
        <v>3455</v>
      </c>
      <c r="E1208" s="1">
        <f>IFERROR(__xludf.DUMMYFUNCTION("""COMPUTED_VALUE"""),3650.0)</f>
        <v>3650</v>
      </c>
      <c r="F1208" s="1">
        <f>IFERROR(__xludf.DUMMYFUNCTION("""COMPUTED_VALUE"""),2253412.0)</f>
        <v>2253412</v>
      </c>
    </row>
    <row r="1209">
      <c r="A1209" s="2">
        <f>IFERROR(__xludf.DUMMYFUNCTION("""COMPUTED_VALUE"""),43784.64583333333)</f>
        <v>43784.64583</v>
      </c>
      <c r="B1209" s="1">
        <f>IFERROR(__xludf.DUMMYFUNCTION("""COMPUTED_VALUE"""),3630.0)</f>
        <v>3630</v>
      </c>
      <c r="C1209" s="1">
        <f>IFERROR(__xludf.DUMMYFUNCTION("""COMPUTED_VALUE"""),3705.0)</f>
        <v>3705</v>
      </c>
      <c r="D1209" s="1">
        <f>IFERROR(__xludf.DUMMYFUNCTION("""COMPUTED_VALUE"""),3540.0)</f>
        <v>3540</v>
      </c>
      <c r="E1209" s="1">
        <f>IFERROR(__xludf.DUMMYFUNCTION("""COMPUTED_VALUE"""),3550.0)</f>
        <v>3550</v>
      </c>
      <c r="F1209" s="1">
        <f>IFERROR(__xludf.DUMMYFUNCTION("""COMPUTED_VALUE"""),514805.0)</f>
        <v>514805</v>
      </c>
    </row>
    <row r="1210">
      <c r="A1210" s="2">
        <f>IFERROR(__xludf.DUMMYFUNCTION("""COMPUTED_VALUE"""),43787.64583333333)</f>
        <v>43787.64583</v>
      </c>
      <c r="B1210" s="1">
        <f>IFERROR(__xludf.DUMMYFUNCTION("""COMPUTED_VALUE"""),3505.0)</f>
        <v>3505</v>
      </c>
      <c r="C1210" s="1">
        <f>IFERROR(__xludf.DUMMYFUNCTION("""COMPUTED_VALUE"""),3580.0)</f>
        <v>3580</v>
      </c>
      <c r="D1210" s="1">
        <f>IFERROR(__xludf.DUMMYFUNCTION("""COMPUTED_VALUE"""),3480.0)</f>
        <v>3480</v>
      </c>
      <c r="E1210" s="1">
        <f>IFERROR(__xludf.DUMMYFUNCTION("""COMPUTED_VALUE"""),3500.0)</f>
        <v>3500</v>
      </c>
      <c r="F1210" s="1">
        <f>IFERROR(__xludf.DUMMYFUNCTION("""COMPUTED_VALUE"""),307779.0)</f>
        <v>307779</v>
      </c>
    </row>
    <row r="1211">
      <c r="A1211" s="2">
        <f>IFERROR(__xludf.DUMMYFUNCTION("""COMPUTED_VALUE"""),43788.64583333333)</f>
        <v>43788.64583</v>
      </c>
      <c r="B1211" s="1">
        <f>IFERROR(__xludf.DUMMYFUNCTION("""COMPUTED_VALUE"""),3480.0)</f>
        <v>3480</v>
      </c>
      <c r="C1211" s="1">
        <f>IFERROR(__xludf.DUMMYFUNCTION("""COMPUTED_VALUE"""),3565.0)</f>
        <v>3565</v>
      </c>
      <c r="D1211" s="1">
        <f>IFERROR(__xludf.DUMMYFUNCTION("""COMPUTED_VALUE"""),3350.0)</f>
        <v>3350</v>
      </c>
      <c r="E1211" s="1">
        <f>IFERROR(__xludf.DUMMYFUNCTION("""COMPUTED_VALUE"""),3360.0)</f>
        <v>3360</v>
      </c>
      <c r="F1211" s="1">
        <f>IFERROR(__xludf.DUMMYFUNCTION("""COMPUTED_VALUE"""),715831.0)</f>
        <v>715831</v>
      </c>
    </row>
    <row r="1212">
      <c r="A1212" s="2">
        <f>IFERROR(__xludf.DUMMYFUNCTION("""COMPUTED_VALUE"""),43789.64583333333)</f>
        <v>43789.64583</v>
      </c>
      <c r="B1212" s="1">
        <f>IFERROR(__xludf.DUMMYFUNCTION("""COMPUTED_VALUE"""),3335.0)</f>
        <v>3335</v>
      </c>
      <c r="C1212" s="1">
        <f>IFERROR(__xludf.DUMMYFUNCTION("""COMPUTED_VALUE"""),3475.0)</f>
        <v>3475</v>
      </c>
      <c r="D1212" s="1">
        <f>IFERROR(__xludf.DUMMYFUNCTION("""COMPUTED_VALUE"""),3205.0)</f>
        <v>3205</v>
      </c>
      <c r="E1212" s="1">
        <f>IFERROR(__xludf.DUMMYFUNCTION("""COMPUTED_VALUE"""),3250.0)</f>
        <v>3250</v>
      </c>
      <c r="F1212" s="1">
        <f>IFERROR(__xludf.DUMMYFUNCTION("""COMPUTED_VALUE"""),819302.0)</f>
        <v>819302</v>
      </c>
    </row>
    <row r="1213">
      <c r="A1213" s="2">
        <f>IFERROR(__xludf.DUMMYFUNCTION("""COMPUTED_VALUE"""),43790.64583333333)</f>
        <v>43790.64583</v>
      </c>
      <c r="B1213" s="1">
        <f>IFERROR(__xludf.DUMMYFUNCTION("""COMPUTED_VALUE"""),3290.0)</f>
        <v>3290</v>
      </c>
      <c r="C1213" s="1">
        <f>IFERROR(__xludf.DUMMYFUNCTION("""COMPUTED_VALUE"""),3525.0)</f>
        <v>3525</v>
      </c>
      <c r="D1213" s="1">
        <f>IFERROR(__xludf.DUMMYFUNCTION("""COMPUTED_VALUE"""),3125.0)</f>
        <v>3125</v>
      </c>
      <c r="E1213" s="1">
        <f>IFERROR(__xludf.DUMMYFUNCTION("""COMPUTED_VALUE"""),3130.0)</f>
        <v>3130</v>
      </c>
      <c r="F1213" s="1">
        <f>IFERROR(__xludf.DUMMYFUNCTION("""COMPUTED_VALUE"""),1618730.0)</f>
        <v>1618730</v>
      </c>
    </row>
    <row r="1214">
      <c r="A1214" s="2">
        <f>IFERROR(__xludf.DUMMYFUNCTION("""COMPUTED_VALUE"""),43791.64583333333)</f>
        <v>43791.64583</v>
      </c>
      <c r="B1214" s="1">
        <f>IFERROR(__xludf.DUMMYFUNCTION("""COMPUTED_VALUE"""),2890.0)</f>
        <v>2890</v>
      </c>
      <c r="C1214" s="1">
        <f>IFERROR(__xludf.DUMMYFUNCTION("""COMPUTED_VALUE"""),2930.0)</f>
        <v>2930</v>
      </c>
      <c r="D1214" s="1">
        <f>IFERROR(__xludf.DUMMYFUNCTION("""COMPUTED_VALUE"""),2775.0)</f>
        <v>2775</v>
      </c>
      <c r="E1214" s="1">
        <f>IFERROR(__xludf.DUMMYFUNCTION("""COMPUTED_VALUE"""),2805.0)</f>
        <v>2805</v>
      </c>
      <c r="F1214" s="1">
        <f>IFERROR(__xludf.DUMMYFUNCTION("""COMPUTED_VALUE"""),4676257.0)</f>
        <v>4676257</v>
      </c>
    </row>
    <row r="1215">
      <c r="A1215" s="2">
        <f>IFERROR(__xludf.DUMMYFUNCTION("""COMPUTED_VALUE"""),43794.64583333333)</f>
        <v>43794.64583</v>
      </c>
      <c r="B1215" s="1">
        <f>IFERROR(__xludf.DUMMYFUNCTION("""COMPUTED_VALUE"""),2815.0)</f>
        <v>2815</v>
      </c>
      <c r="C1215" s="1">
        <f>IFERROR(__xludf.DUMMYFUNCTION("""COMPUTED_VALUE"""),2870.0)</f>
        <v>2870</v>
      </c>
      <c r="D1215" s="1">
        <f>IFERROR(__xludf.DUMMYFUNCTION("""COMPUTED_VALUE"""),2785.0)</f>
        <v>2785</v>
      </c>
      <c r="E1215" s="1">
        <f>IFERROR(__xludf.DUMMYFUNCTION("""COMPUTED_VALUE"""),2795.0)</f>
        <v>2795</v>
      </c>
      <c r="F1215" s="1">
        <f>IFERROR(__xludf.DUMMYFUNCTION("""COMPUTED_VALUE"""),1124023.0)</f>
        <v>1124023</v>
      </c>
    </row>
    <row r="1216">
      <c r="A1216" s="2">
        <f>IFERROR(__xludf.DUMMYFUNCTION("""COMPUTED_VALUE"""),43795.64583333333)</f>
        <v>43795.64583</v>
      </c>
      <c r="B1216" s="1">
        <f>IFERROR(__xludf.DUMMYFUNCTION("""COMPUTED_VALUE"""),2810.0)</f>
        <v>2810</v>
      </c>
      <c r="C1216" s="1">
        <f>IFERROR(__xludf.DUMMYFUNCTION("""COMPUTED_VALUE"""),2830.0)</f>
        <v>2830</v>
      </c>
      <c r="D1216" s="1">
        <f>IFERROR(__xludf.DUMMYFUNCTION("""COMPUTED_VALUE"""),2775.0)</f>
        <v>2775</v>
      </c>
      <c r="E1216" s="1">
        <f>IFERROR(__xludf.DUMMYFUNCTION("""COMPUTED_VALUE"""),2805.0)</f>
        <v>2805</v>
      </c>
      <c r="F1216" s="1">
        <f>IFERROR(__xludf.DUMMYFUNCTION("""COMPUTED_VALUE"""),1714880.0)</f>
        <v>1714880</v>
      </c>
    </row>
    <row r="1217">
      <c r="A1217" s="2">
        <f>IFERROR(__xludf.DUMMYFUNCTION("""COMPUTED_VALUE"""),43796.64583333333)</f>
        <v>43796.64583</v>
      </c>
      <c r="B1217" s="1">
        <f>IFERROR(__xludf.DUMMYFUNCTION("""COMPUTED_VALUE"""),2820.0)</f>
        <v>2820</v>
      </c>
      <c r="C1217" s="1">
        <f>IFERROR(__xludf.DUMMYFUNCTION("""COMPUTED_VALUE"""),2845.0)</f>
        <v>2845</v>
      </c>
      <c r="D1217" s="1">
        <f>IFERROR(__xludf.DUMMYFUNCTION("""COMPUTED_VALUE"""),2785.0)</f>
        <v>2785</v>
      </c>
      <c r="E1217" s="1">
        <f>IFERROR(__xludf.DUMMYFUNCTION("""COMPUTED_VALUE"""),2790.0)</f>
        <v>2790</v>
      </c>
      <c r="F1217" s="1">
        <f>IFERROR(__xludf.DUMMYFUNCTION("""COMPUTED_VALUE"""),1046860.0)</f>
        <v>1046860</v>
      </c>
    </row>
    <row r="1218">
      <c r="A1218" s="2">
        <f>IFERROR(__xludf.DUMMYFUNCTION("""COMPUTED_VALUE"""),43797.64583333333)</f>
        <v>43797.64583</v>
      </c>
      <c r="B1218" s="1">
        <f>IFERROR(__xludf.DUMMYFUNCTION("""COMPUTED_VALUE"""),2840.0)</f>
        <v>2840</v>
      </c>
      <c r="C1218" s="1">
        <f>IFERROR(__xludf.DUMMYFUNCTION("""COMPUTED_VALUE"""),3145.0)</f>
        <v>3145</v>
      </c>
      <c r="D1218" s="1">
        <f>IFERROR(__xludf.DUMMYFUNCTION("""COMPUTED_VALUE"""),2805.0)</f>
        <v>2805</v>
      </c>
      <c r="E1218" s="1">
        <f>IFERROR(__xludf.DUMMYFUNCTION("""COMPUTED_VALUE"""),2805.0)</f>
        <v>2805</v>
      </c>
      <c r="F1218" s="1">
        <f>IFERROR(__xludf.DUMMYFUNCTION("""COMPUTED_VALUE"""),1.0365726E7)</f>
        <v>10365726</v>
      </c>
    </row>
    <row r="1219">
      <c r="A1219" s="2">
        <f>IFERROR(__xludf.DUMMYFUNCTION("""COMPUTED_VALUE"""),43798.64583333333)</f>
        <v>43798.64583</v>
      </c>
      <c r="B1219" s="1">
        <f>IFERROR(__xludf.DUMMYFUNCTION("""COMPUTED_VALUE"""),2770.0)</f>
        <v>2770</v>
      </c>
      <c r="C1219" s="1">
        <f>IFERROR(__xludf.DUMMYFUNCTION("""COMPUTED_VALUE"""),2790.0)</f>
        <v>2790</v>
      </c>
      <c r="D1219" s="1">
        <f>IFERROR(__xludf.DUMMYFUNCTION("""COMPUTED_VALUE"""),2630.0)</f>
        <v>2630</v>
      </c>
      <c r="E1219" s="1">
        <f>IFERROR(__xludf.DUMMYFUNCTION("""COMPUTED_VALUE"""),2645.0)</f>
        <v>2645</v>
      </c>
      <c r="F1219" s="1">
        <f>IFERROR(__xludf.DUMMYFUNCTION("""COMPUTED_VALUE"""),2496844.0)</f>
        <v>2496844</v>
      </c>
    </row>
    <row r="1220">
      <c r="A1220" s="2">
        <f>IFERROR(__xludf.DUMMYFUNCTION("""COMPUTED_VALUE"""),43801.64583333333)</f>
        <v>43801.64583</v>
      </c>
      <c r="B1220" s="1">
        <f>IFERROR(__xludf.DUMMYFUNCTION("""COMPUTED_VALUE"""),2645.0)</f>
        <v>2645</v>
      </c>
      <c r="C1220" s="1">
        <f>IFERROR(__xludf.DUMMYFUNCTION("""COMPUTED_VALUE"""),2730.0)</f>
        <v>2730</v>
      </c>
      <c r="D1220" s="1">
        <f>IFERROR(__xludf.DUMMYFUNCTION("""COMPUTED_VALUE"""),2640.0)</f>
        <v>2640</v>
      </c>
      <c r="E1220" s="1">
        <f>IFERROR(__xludf.DUMMYFUNCTION("""COMPUTED_VALUE"""),2640.0)</f>
        <v>2640</v>
      </c>
      <c r="F1220" s="1">
        <f>IFERROR(__xludf.DUMMYFUNCTION("""COMPUTED_VALUE"""),1264452.0)</f>
        <v>1264452</v>
      </c>
    </row>
    <row r="1221">
      <c r="A1221" s="2">
        <f>IFERROR(__xludf.DUMMYFUNCTION("""COMPUTED_VALUE"""),43802.64583333333)</f>
        <v>43802.64583</v>
      </c>
      <c r="B1221" s="1">
        <f>IFERROR(__xludf.DUMMYFUNCTION("""COMPUTED_VALUE"""),2560.0)</f>
        <v>2560</v>
      </c>
      <c r="C1221" s="1">
        <f>IFERROR(__xludf.DUMMYFUNCTION("""COMPUTED_VALUE"""),2680.0)</f>
        <v>2680</v>
      </c>
      <c r="D1221" s="1">
        <f>IFERROR(__xludf.DUMMYFUNCTION("""COMPUTED_VALUE"""),2530.0)</f>
        <v>2530</v>
      </c>
      <c r="E1221" s="1">
        <f>IFERROR(__xludf.DUMMYFUNCTION("""COMPUTED_VALUE"""),2665.0)</f>
        <v>2665</v>
      </c>
      <c r="F1221" s="1">
        <f>IFERROR(__xludf.DUMMYFUNCTION("""COMPUTED_VALUE"""),1181098.0)</f>
        <v>1181098</v>
      </c>
    </row>
    <row r="1222">
      <c r="A1222" s="2">
        <f>IFERROR(__xludf.DUMMYFUNCTION("""COMPUTED_VALUE"""),43803.64583333333)</f>
        <v>43803.64583</v>
      </c>
      <c r="B1222" s="1">
        <f>IFERROR(__xludf.DUMMYFUNCTION("""COMPUTED_VALUE"""),2650.0)</f>
        <v>2650</v>
      </c>
      <c r="C1222" s="1">
        <f>IFERROR(__xludf.DUMMYFUNCTION("""COMPUTED_VALUE"""),2685.0)</f>
        <v>2685</v>
      </c>
      <c r="D1222" s="1">
        <f>IFERROR(__xludf.DUMMYFUNCTION("""COMPUTED_VALUE"""),2600.0)</f>
        <v>2600</v>
      </c>
      <c r="E1222" s="1">
        <f>IFERROR(__xludf.DUMMYFUNCTION("""COMPUTED_VALUE"""),2620.0)</f>
        <v>2620</v>
      </c>
      <c r="F1222" s="1">
        <f>IFERROR(__xludf.DUMMYFUNCTION("""COMPUTED_VALUE"""),581861.0)</f>
        <v>581861</v>
      </c>
    </row>
    <row r="1223">
      <c r="A1223" s="2">
        <f>IFERROR(__xludf.DUMMYFUNCTION("""COMPUTED_VALUE"""),43804.64583333333)</f>
        <v>43804.64583</v>
      </c>
      <c r="B1223" s="1">
        <f>IFERROR(__xludf.DUMMYFUNCTION("""COMPUTED_VALUE"""),2700.0)</f>
        <v>2700</v>
      </c>
      <c r="C1223" s="1">
        <f>IFERROR(__xludf.DUMMYFUNCTION("""COMPUTED_VALUE"""),2705.0)</f>
        <v>2705</v>
      </c>
      <c r="D1223" s="1">
        <f>IFERROR(__xludf.DUMMYFUNCTION("""COMPUTED_VALUE"""),2530.0)</f>
        <v>2530</v>
      </c>
      <c r="E1223" s="1">
        <f>IFERROR(__xludf.DUMMYFUNCTION("""COMPUTED_VALUE"""),2545.0)</f>
        <v>2545</v>
      </c>
      <c r="F1223" s="1">
        <f>IFERROR(__xludf.DUMMYFUNCTION("""COMPUTED_VALUE"""),1015092.0)</f>
        <v>1015092</v>
      </c>
    </row>
    <row r="1224">
      <c r="A1224" s="2">
        <f>IFERROR(__xludf.DUMMYFUNCTION("""COMPUTED_VALUE"""),43805.64583333333)</f>
        <v>43805.64583</v>
      </c>
      <c r="B1224" s="1">
        <f>IFERROR(__xludf.DUMMYFUNCTION("""COMPUTED_VALUE"""),2520.0)</f>
        <v>2520</v>
      </c>
      <c r="C1224" s="1">
        <f>IFERROR(__xludf.DUMMYFUNCTION("""COMPUTED_VALUE"""),2620.0)</f>
        <v>2620</v>
      </c>
      <c r="D1224" s="1">
        <f>IFERROR(__xludf.DUMMYFUNCTION("""COMPUTED_VALUE"""),2520.0)</f>
        <v>2520</v>
      </c>
      <c r="E1224" s="1">
        <f>IFERROR(__xludf.DUMMYFUNCTION("""COMPUTED_VALUE"""),2605.0)</f>
        <v>2605</v>
      </c>
      <c r="F1224" s="1">
        <f>IFERROR(__xludf.DUMMYFUNCTION("""COMPUTED_VALUE"""),425339.0)</f>
        <v>425339</v>
      </c>
    </row>
    <row r="1225">
      <c r="A1225" s="2">
        <f>IFERROR(__xludf.DUMMYFUNCTION("""COMPUTED_VALUE"""),43808.64583333333)</f>
        <v>43808.64583</v>
      </c>
      <c r="B1225" s="1">
        <f>IFERROR(__xludf.DUMMYFUNCTION("""COMPUTED_VALUE"""),2605.0)</f>
        <v>2605</v>
      </c>
      <c r="C1225" s="1">
        <f>IFERROR(__xludf.DUMMYFUNCTION("""COMPUTED_VALUE"""),2865.0)</f>
        <v>2865</v>
      </c>
      <c r="D1225" s="1">
        <f>IFERROR(__xludf.DUMMYFUNCTION("""COMPUTED_VALUE"""),2605.0)</f>
        <v>2605</v>
      </c>
      <c r="E1225" s="1">
        <f>IFERROR(__xludf.DUMMYFUNCTION("""COMPUTED_VALUE"""),2705.0)</f>
        <v>2705</v>
      </c>
      <c r="F1225" s="1">
        <f>IFERROR(__xludf.DUMMYFUNCTION("""COMPUTED_VALUE"""),4801859.0)</f>
        <v>4801859</v>
      </c>
    </row>
    <row r="1226">
      <c r="A1226" s="2">
        <f>IFERROR(__xludf.DUMMYFUNCTION("""COMPUTED_VALUE"""),43809.64583333333)</f>
        <v>43809.64583</v>
      </c>
      <c r="B1226" s="1">
        <f>IFERROR(__xludf.DUMMYFUNCTION("""COMPUTED_VALUE"""),2680.0)</f>
        <v>2680</v>
      </c>
      <c r="C1226" s="1">
        <f>IFERROR(__xludf.DUMMYFUNCTION("""COMPUTED_VALUE"""),2700.0)</f>
        <v>2700</v>
      </c>
      <c r="D1226" s="1">
        <f>IFERROR(__xludf.DUMMYFUNCTION("""COMPUTED_VALUE"""),2630.0)</f>
        <v>2630</v>
      </c>
      <c r="E1226" s="1">
        <f>IFERROR(__xludf.DUMMYFUNCTION("""COMPUTED_VALUE"""),2650.0)</f>
        <v>2650</v>
      </c>
      <c r="F1226" s="1">
        <f>IFERROR(__xludf.DUMMYFUNCTION("""COMPUTED_VALUE"""),876756.0)</f>
        <v>876756</v>
      </c>
    </row>
    <row r="1227">
      <c r="A1227" s="2">
        <f>IFERROR(__xludf.DUMMYFUNCTION("""COMPUTED_VALUE"""),43810.64583333333)</f>
        <v>43810.64583</v>
      </c>
      <c r="B1227" s="1">
        <f>IFERROR(__xludf.DUMMYFUNCTION("""COMPUTED_VALUE"""),2700.0)</f>
        <v>2700</v>
      </c>
      <c r="C1227" s="1">
        <f>IFERROR(__xludf.DUMMYFUNCTION("""COMPUTED_VALUE"""),2765.0)</f>
        <v>2765</v>
      </c>
      <c r="D1227" s="1">
        <f>IFERROR(__xludf.DUMMYFUNCTION("""COMPUTED_VALUE"""),2655.0)</f>
        <v>2655</v>
      </c>
      <c r="E1227" s="1">
        <f>IFERROR(__xludf.DUMMYFUNCTION("""COMPUTED_VALUE"""),2670.0)</f>
        <v>2670</v>
      </c>
      <c r="F1227" s="1">
        <f>IFERROR(__xludf.DUMMYFUNCTION("""COMPUTED_VALUE"""),1770451.0)</f>
        <v>1770451</v>
      </c>
    </row>
    <row r="1228">
      <c r="A1228" s="2">
        <f>IFERROR(__xludf.DUMMYFUNCTION("""COMPUTED_VALUE"""),43811.64583333333)</f>
        <v>43811.64583</v>
      </c>
      <c r="B1228" s="1">
        <f>IFERROR(__xludf.DUMMYFUNCTION("""COMPUTED_VALUE"""),2675.0)</f>
        <v>2675</v>
      </c>
      <c r="C1228" s="1">
        <f>IFERROR(__xludf.DUMMYFUNCTION("""COMPUTED_VALUE"""),2730.0)</f>
        <v>2730</v>
      </c>
      <c r="D1228" s="1">
        <f>IFERROR(__xludf.DUMMYFUNCTION("""COMPUTED_VALUE"""),2660.0)</f>
        <v>2660</v>
      </c>
      <c r="E1228" s="1">
        <f>IFERROR(__xludf.DUMMYFUNCTION("""COMPUTED_VALUE"""),2665.0)</f>
        <v>2665</v>
      </c>
      <c r="F1228" s="1">
        <f>IFERROR(__xludf.DUMMYFUNCTION("""COMPUTED_VALUE"""),644646.0)</f>
        <v>644646</v>
      </c>
    </row>
    <row r="1229">
      <c r="A1229" s="2">
        <f>IFERROR(__xludf.DUMMYFUNCTION("""COMPUTED_VALUE"""),43815.64583333333)</f>
        <v>43815.64583</v>
      </c>
      <c r="B1229" s="1">
        <f>IFERROR(__xludf.DUMMYFUNCTION("""COMPUTED_VALUE"""),2740.0)</f>
        <v>2740</v>
      </c>
      <c r="C1229" s="1">
        <f>IFERROR(__xludf.DUMMYFUNCTION("""COMPUTED_VALUE"""),2820.0)</f>
        <v>2820</v>
      </c>
      <c r="D1229" s="1">
        <f>IFERROR(__xludf.DUMMYFUNCTION("""COMPUTED_VALUE"""),2740.0)</f>
        <v>2740</v>
      </c>
      <c r="E1229" s="1">
        <f>IFERROR(__xludf.DUMMYFUNCTION("""COMPUTED_VALUE"""),2745.0)</f>
        <v>2745</v>
      </c>
      <c r="F1229" s="1">
        <f>IFERROR(__xludf.DUMMYFUNCTION("""COMPUTED_VALUE"""),2278988.0)</f>
        <v>2278988</v>
      </c>
    </row>
    <row r="1230">
      <c r="A1230" s="2">
        <f>IFERROR(__xludf.DUMMYFUNCTION("""COMPUTED_VALUE"""),43816.64583333333)</f>
        <v>43816.64583</v>
      </c>
      <c r="B1230" s="1">
        <f>IFERROR(__xludf.DUMMYFUNCTION("""COMPUTED_VALUE"""),2745.0)</f>
        <v>2745</v>
      </c>
      <c r="C1230" s="1">
        <f>IFERROR(__xludf.DUMMYFUNCTION("""COMPUTED_VALUE"""),2745.0)</f>
        <v>2745</v>
      </c>
      <c r="D1230" s="1">
        <f>IFERROR(__xludf.DUMMYFUNCTION("""COMPUTED_VALUE"""),2710.0)</f>
        <v>2710</v>
      </c>
      <c r="E1230" s="1">
        <f>IFERROR(__xludf.DUMMYFUNCTION("""COMPUTED_VALUE"""),2715.0)</f>
        <v>2715</v>
      </c>
      <c r="F1230" s="1">
        <f>IFERROR(__xludf.DUMMYFUNCTION("""COMPUTED_VALUE"""),653410.0)</f>
        <v>653410</v>
      </c>
    </row>
    <row r="1231">
      <c r="A1231" s="2">
        <f>IFERROR(__xludf.DUMMYFUNCTION("""COMPUTED_VALUE"""),43817.64583333333)</f>
        <v>43817.64583</v>
      </c>
      <c r="B1231" s="1">
        <f>IFERROR(__xludf.DUMMYFUNCTION("""COMPUTED_VALUE"""),2735.0)</f>
        <v>2735</v>
      </c>
      <c r="C1231" s="1">
        <f>IFERROR(__xludf.DUMMYFUNCTION("""COMPUTED_VALUE"""),2755.0)</f>
        <v>2755</v>
      </c>
      <c r="D1231" s="1">
        <f>IFERROR(__xludf.DUMMYFUNCTION("""COMPUTED_VALUE"""),2710.0)</f>
        <v>2710</v>
      </c>
      <c r="E1231" s="1">
        <f>IFERROR(__xludf.DUMMYFUNCTION("""COMPUTED_VALUE"""),2715.0)</f>
        <v>2715</v>
      </c>
      <c r="F1231" s="1">
        <f>IFERROR(__xludf.DUMMYFUNCTION("""COMPUTED_VALUE"""),565052.0)</f>
        <v>565052</v>
      </c>
    </row>
    <row r="1232">
      <c r="A1232" s="2">
        <f>IFERROR(__xludf.DUMMYFUNCTION("""COMPUTED_VALUE"""),43818.64583333333)</f>
        <v>43818.64583</v>
      </c>
      <c r="B1232" s="1">
        <f>IFERROR(__xludf.DUMMYFUNCTION("""COMPUTED_VALUE"""),2720.0)</f>
        <v>2720</v>
      </c>
      <c r="C1232" s="1">
        <f>IFERROR(__xludf.DUMMYFUNCTION("""COMPUTED_VALUE"""),2760.0)</f>
        <v>2760</v>
      </c>
      <c r="D1232" s="1">
        <f>IFERROR(__xludf.DUMMYFUNCTION("""COMPUTED_VALUE"""),2710.0)</f>
        <v>2710</v>
      </c>
      <c r="E1232" s="1">
        <f>IFERROR(__xludf.DUMMYFUNCTION("""COMPUTED_VALUE"""),2710.0)</f>
        <v>2710</v>
      </c>
      <c r="F1232" s="1">
        <f>IFERROR(__xludf.DUMMYFUNCTION("""COMPUTED_VALUE"""),655910.0)</f>
        <v>655910</v>
      </c>
    </row>
    <row r="1233">
      <c r="A1233" s="2">
        <f>IFERROR(__xludf.DUMMYFUNCTION("""COMPUTED_VALUE"""),43819.64583333333)</f>
        <v>43819.64583</v>
      </c>
      <c r="B1233" s="1">
        <f>IFERROR(__xludf.DUMMYFUNCTION("""COMPUTED_VALUE"""),2720.0)</f>
        <v>2720</v>
      </c>
      <c r="C1233" s="1">
        <f>IFERROR(__xludf.DUMMYFUNCTION("""COMPUTED_VALUE"""),2780.0)</f>
        <v>2780</v>
      </c>
      <c r="D1233" s="1">
        <f>IFERROR(__xludf.DUMMYFUNCTION("""COMPUTED_VALUE"""),2680.0)</f>
        <v>2680</v>
      </c>
      <c r="E1233" s="1">
        <f>IFERROR(__xludf.DUMMYFUNCTION("""COMPUTED_VALUE"""),2770.0)</f>
        <v>2770</v>
      </c>
      <c r="F1233" s="1">
        <f>IFERROR(__xludf.DUMMYFUNCTION("""COMPUTED_VALUE"""),1312862.0)</f>
        <v>1312862</v>
      </c>
    </row>
    <row r="1234">
      <c r="A1234" s="2">
        <f>IFERROR(__xludf.DUMMYFUNCTION("""COMPUTED_VALUE"""),43822.64583333333)</f>
        <v>43822.64583</v>
      </c>
      <c r="B1234" s="1">
        <f>IFERROR(__xludf.DUMMYFUNCTION("""COMPUTED_VALUE"""),2760.0)</f>
        <v>2760</v>
      </c>
      <c r="C1234" s="1">
        <f>IFERROR(__xludf.DUMMYFUNCTION("""COMPUTED_VALUE"""),2765.0)</f>
        <v>2765</v>
      </c>
      <c r="D1234" s="1">
        <f>IFERROR(__xludf.DUMMYFUNCTION("""COMPUTED_VALUE"""),2705.0)</f>
        <v>2705</v>
      </c>
      <c r="E1234" s="1">
        <f>IFERROR(__xludf.DUMMYFUNCTION("""COMPUTED_VALUE"""),2705.0)</f>
        <v>2705</v>
      </c>
      <c r="F1234" s="1">
        <f>IFERROR(__xludf.DUMMYFUNCTION("""COMPUTED_VALUE"""),555122.0)</f>
        <v>555122</v>
      </c>
    </row>
    <row r="1235">
      <c r="A1235" s="2">
        <f>IFERROR(__xludf.DUMMYFUNCTION("""COMPUTED_VALUE"""),43823.64583333333)</f>
        <v>43823.64583</v>
      </c>
      <c r="B1235" s="1">
        <f>IFERROR(__xludf.DUMMYFUNCTION("""COMPUTED_VALUE"""),2680.0)</f>
        <v>2680</v>
      </c>
      <c r="C1235" s="1">
        <f>IFERROR(__xludf.DUMMYFUNCTION("""COMPUTED_VALUE"""),2715.0)</f>
        <v>2715</v>
      </c>
      <c r="D1235" s="1">
        <f>IFERROR(__xludf.DUMMYFUNCTION("""COMPUTED_VALUE"""),2615.0)</f>
        <v>2615</v>
      </c>
      <c r="E1235" s="1">
        <f>IFERROR(__xludf.DUMMYFUNCTION("""COMPUTED_VALUE"""),2615.0)</f>
        <v>2615</v>
      </c>
      <c r="F1235" s="1">
        <f>IFERROR(__xludf.DUMMYFUNCTION("""COMPUTED_VALUE"""),700310.0)</f>
        <v>700310</v>
      </c>
    </row>
    <row r="1236">
      <c r="A1236" s="2">
        <f>IFERROR(__xludf.DUMMYFUNCTION("""COMPUTED_VALUE"""),43825.64583333333)</f>
        <v>43825.64583</v>
      </c>
      <c r="B1236" s="1">
        <f>IFERROR(__xludf.DUMMYFUNCTION("""COMPUTED_VALUE"""),2670.0)</f>
        <v>2670</v>
      </c>
      <c r="C1236" s="1">
        <f>IFERROR(__xludf.DUMMYFUNCTION("""COMPUTED_VALUE"""),2670.0)</f>
        <v>2670</v>
      </c>
      <c r="D1236" s="1">
        <f>IFERROR(__xludf.DUMMYFUNCTION("""COMPUTED_VALUE"""),2615.0)</f>
        <v>2615</v>
      </c>
      <c r="E1236" s="1">
        <f>IFERROR(__xludf.DUMMYFUNCTION("""COMPUTED_VALUE"""),2615.0)</f>
        <v>2615</v>
      </c>
      <c r="F1236" s="1">
        <f>IFERROR(__xludf.DUMMYFUNCTION("""COMPUTED_VALUE"""),642185.0)</f>
        <v>642185</v>
      </c>
    </row>
    <row r="1237">
      <c r="A1237" s="2">
        <f>IFERROR(__xludf.DUMMYFUNCTION("""COMPUTED_VALUE"""),43826.64583333333)</f>
        <v>43826.64583</v>
      </c>
      <c r="B1237" s="1">
        <f>IFERROR(__xludf.DUMMYFUNCTION("""COMPUTED_VALUE"""),2630.0)</f>
        <v>2630</v>
      </c>
      <c r="C1237" s="1">
        <f>IFERROR(__xludf.DUMMYFUNCTION("""COMPUTED_VALUE"""),2725.0)</f>
        <v>2725</v>
      </c>
      <c r="D1237" s="1">
        <f>IFERROR(__xludf.DUMMYFUNCTION("""COMPUTED_VALUE"""),2620.0)</f>
        <v>2620</v>
      </c>
      <c r="E1237" s="1">
        <f>IFERROR(__xludf.DUMMYFUNCTION("""COMPUTED_VALUE"""),2685.0)</f>
        <v>2685</v>
      </c>
      <c r="F1237" s="1">
        <f>IFERROR(__xludf.DUMMYFUNCTION("""COMPUTED_VALUE"""),670254.0)</f>
        <v>670254</v>
      </c>
    </row>
    <row r="1238">
      <c r="A1238" s="2">
        <f>IFERROR(__xludf.DUMMYFUNCTION("""COMPUTED_VALUE"""),43829.64583333333)</f>
        <v>43829.64583</v>
      </c>
      <c r="B1238" s="1">
        <f>IFERROR(__xludf.DUMMYFUNCTION("""COMPUTED_VALUE"""),2685.0)</f>
        <v>2685</v>
      </c>
      <c r="C1238" s="1">
        <f>IFERROR(__xludf.DUMMYFUNCTION("""COMPUTED_VALUE"""),2740.0)</f>
        <v>2740</v>
      </c>
      <c r="D1238" s="1">
        <f>IFERROR(__xludf.DUMMYFUNCTION("""COMPUTED_VALUE"""),2670.0)</f>
        <v>2670</v>
      </c>
      <c r="E1238" s="1">
        <f>IFERROR(__xludf.DUMMYFUNCTION("""COMPUTED_VALUE"""),2735.0)</f>
        <v>2735</v>
      </c>
      <c r="F1238" s="1">
        <f>IFERROR(__xludf.DUMMYFUNCTION("""COMPUTED_VALUE"""),550071.0)</f>
        <v>550071</v>
      </c>
    </row>
    <row r="1239">
      <c r="A1239" s="2">
        <f>IFERROR(__xludf.DUMMYFUNCTION("""COMPUTED_VALUE"""),43832.64583333333)</f>
        <v>43832.64583</v>
      </c>
      <c r="B1239" s="1">
        <f>IFERROR(__xludf.DUMMYFUNCTION("""COMPUTED_VALUE"""),2810.0)</f>
        <v>2810</v>
      </c>
      <c r="C1239" s="1">
        <f>IFERROR(__xludf.DUMMYFUNCTION("""COMPUTED_VALUE"""),2910.0)</f>
        <v>2910</v>
      </c>
      <c r="D1239" s="1">
        <f>IFERROR(__xludf.DUMMYFUNCTION("""COMPUTED_VALUE"""),2760.0)</f>
        <v>2760</v>
      </c>
      <c r="E1239" s="1">
        <f>IFERROR(__xludf.DUMMYFUNCTION("""COMPUTED_VALUE"""),2790.0)</f>
        <v>2790</v>
      </c>
      <c r="F1239" s="1">
        <f>IFERROR(__xludf.DUMMYFUNCTION("""COMPUTED_VALUE"""),3730181.0)</f>
        <v>3730181</v>
      </c>
    </row>
    <row r="1240">
      <c r="A1240" s="2">
        <f>IFERROR(__xludf.DUMMYFUNCTION("""COMPUTED_VALUE"""),43833.64583333333)</f>
        <v>43833.64583</v>
      </c>
      <c r="B1240" s="1">
        <f>IFERROR(__xludf.DUMMYFUNCTION("""COMPUTED_VALUE"""),2790.0)</f>
        <v>2790</v>
      </c>
      <c r="C1240" s="1">
        <f>IFERROR(__xludf.DUMMYFUNCTION("""COMPUTED_VALUE"""),2795.0)</f>
        <v>2795</v>
      </c>
      <c r="D1240" s="1">
        <f>IFERROR(__xludf.DUMMYFUNCTION("""COMPUTED_VALUE"""),2745.0)</f>
        <v>2745</v>
      </c>
      <c r="E1240" s="1">
        <f>IFERROR(__xludf.DUMMYFUNCTION("""COMPUTED_VALUE"""),2750.0)</f>
        <v>2750</v>
      </c>
      <c r="F1240" s="1">
        <f>IFERROR(__xludf.DUMMYFUNCTION("""COMPUTED_VALUE"""),891856.0)</f>
        <v>891856</v>
      </c>
    </row>
    <row r="1241">
      <c r="A1241" s="2">
        <f>IFERROR(__xludf.DUMMYFUNCTION("""COMPUTED_VALUE"""),43836.64583333333)</f>
        <v>43836.64583</v>
      </c>
      <c r="B1241" s="1">
        <f>IFERROR(__xludf.DUMMYFUNCTION("""COMPUTED_VALUE"""),2715.0)</f>
        <v>2715</v>
      </c>
      <c r="C1241" s="1">
        <f>IFERROR(__xludf.DUMMYFUNCTION("""COMPUTED_VALUE"""),2780.0)</f>
        <v>2780</v>
      </c>
      <c r="D1241" s="1">
        <f>IFERROR(__xludf.DUMMYFUNCTION("""COMPUTED_VALUE"""),2700.0)</f>
        <v>2700</v>
      </c>
      <c r="E1241" s="1">
        <f>IFERROR(__xludf.DUMMYFUNCTION("""COMPUTED_VALUE"""),2710.0)</f>
        <v>2710</v>
      </c>
      <c r="F1241" s="1">
        <f>IFERROR(__xludf.DUMMYFUNCTION("""COMPUTED_VALUE"""),884513.0)</f>
        <v>884513</v>
      </c>
    </row>
    <row r="1242">
      <c r="A1242" s="2">
        <f>IFERROR(__xludf.DUMMYFUNCTION("""COMPUTED_VALUE"""),43837.64583333333)</f>
        <v>43837.64583</v>
      </c>
      <c r="B1242" s="1">
        <f>IFERROR(__xludf.DUMMYFUNCTION("""COMPUTED_VALUE"""),2715.0)</f>
        <v>2715</v>
      </c>
      <c r="C1242" s="1">
        <f>IFERROR(__xludf.DUMMYFUNCTION("""COMPUTED_VALUE"""),3100.0)</f>
        <v>3100</v>
      </c>
      <c r="D1242" s="1">
        <f>IFERROR(__xludf.DUMMYFUNCTION("""COMPUTED_VALUE"""),2715.0)</f>
        <v>2715</v>
      </c>
      <c r="E1242" s="1">
        <f>IFERROR(__xludf.DUMMYFUNCTION("""COMPUTED_VALUE"""),2860.0)</f>
        <v>2860</v>
      </c>
      <c r="F1242" s="1">
        <f>IFERROR(__xludf.DUMMYFUNCTION("""COMPUTED_VALUE"""),2.3092233E7)</f>
        <v>23092233</v>
      </c>
    </row>
    <row r="1243">
      <c r="A1243" s="2">
        <f>IFERROR(__xludf.DUMMYFUNCTION("""COMPUTED_VALUE"""),43838.64583333333)</f>
        <v>43838.64583</v>
      </c>
      <c r="B1243" s="1">
        <f>IFERROR(__xludf.DUMMYFUNCTION("""COMPUTED_VALUE"""),2840.0)</f>
        <v>2840</v>
      </c>
      <c r="C1243" s="1">
        <f>IFERROR(__xludf.DUMMYFUNCTION("""COMPUTED_VALUE"""),2855.0)</f>
        <v>2855</v>
      </c>
      <c r="D1243" s="1">
        <f>IFERROR(__xludf.DUMMYFUNCTION("""COMPUTED_VALUE"""),2725.0)</f>
        <v>2725</v>
      </c>
      <c r="E1243" s="1">
        <f>IFERROR(__xludf.DUMMYFUNCTION("""COMPUTED_VALUE"""),2735.0)</f>
        <v>2735</v>
      </c>
      <c r="F1243" s="1">
        <f>IFERROR(__xludf.DUMMYFUNCTION("""COMPUTED_VALUE"""),2617794.0)</f>
        <v>2617794</v>
      </c>
    </row>
    <row r="1244">
      <c r="A1244" s="2">
        <f>IFERROR(__xludf.DUMMYFUNCTION("""COMPUTED_VALUE"""),43839.64583333333)</f>
        <v>43839.64583</v>
      </c>
      <c r="B1244" s="1">
        <f>IFERROR(__xludf.DUMMYFUNCTION("""COMPUTED_VALUE"""),2790.0)</f>
        <v>2790</v>
      </c>
      <c r="C1244" s="1">
        <f>IFERROR(__xludf.DUMMYFUNCTION("""COMPUTED_VALUE"""),2890.0)</f>
        <v>2890</v>
      </c>
      <c r="D1244" s="1">
        <f>IFERROR(__xludf.DUMMYFUNCTION("""COMPUTED_VALUE"""),2790.0)</f>
        <v>2790</v>
      </c>
      <c r="E1244" s="1">
        <f>IFERROR(__xludf.DUMMYFUNCTION("""COMPUTED_VALUE"""),2825.0)</f>
        <v>2825</v>
      </c>
      <c r="F1244" s="1">
        <f>IFERROR(__xludf.DUMMYFUNCTION("""COMPUTED_VALUE"""),3642455.0)</f>
        <v>3642455</v>
      </c>
    </row>
    <row r="1245">
      <c r="A1245" s="2">
        <f>IFERROR(__xludf.DUMMYFUNCTION("""COMPUTED_VALUE"""),43840.64583333333)</f>
        <v>43840.64583</v>
      </c>
      <c r="B1245" s="1">
        <f>IFERROR(__xludf.DUMMYFUNCTION("""COMPUTED_VALUE"""),2910.0)</f>
        <v>2910</v>
      </c>
      <c r="C1245" s="1">
        <f>IFERROR(__xludf.DUMMYFUNCTION("""COMPUTED_VALUE"""),2955.0)</f>
        <v>2955</v>
      </c>
      <c r="D1245" s="1">
        <f>IFERROR(__xludf.DUMMYFUNCTION("""COMPUTED_VALUE"""),2830.0)</f>
        <v>2830</v>
      </c>
      <c r="E1245" s="1">
        <f>IFERROR(__xludf.DUMMYFUNCTION("""COMPUTED_VALUE"""),2850.0)</f>
        <v>2850</v>
      </c>
      <c r="F1245" s="1">
        <f>IFERROR(__xludf.DUMMYFUNCTION("""COMPUTED_VALUE"""),2898508.0)</f>
        <v>2898508</v>
      </c>
    </row>
    <row r="1246">
      <c r="A1246" s="2">
        <f>IFERROR(__xludf.DUMMYFUNCTION("""COMPUTED_VALUE"""),43843.64583333333)</f>
        <v>43843.64583</v>
      </c>
      <c r="B1246" s="1">
        <f>IFERROR(__xludf.DUMMYFUNCTION("""COMPUTED_VALUE"""),2930.0)</f>
        <v>2930</v>
      </c>
      <c r="C1246" s="1">
        <f>IFERROR(__xludf.DUMMYFUNCTION("""COMPUTED_VALUE"""),2950.0)</f>
        <v>2950</v>
      </c>
      <c r="D1246" s="1">
        <f>IFERROR(__xludf.DUMMYFUNCTION("""COMPUTED_VALUE"""),2830.0)</f>
        <v>2830</v>
      </c>
      <c r="E1246" s="1">
        <f>IFERROR(__xludf.DUMMYFUNCTION("""COMPUTED_VALUE"""),2870.0)</f>
        <v>2870</v>
      </c>
      <c r="F1246" s="1">
        <f>IFERROR(__xludf.DUMMYFUNCTION("""COMPUTED_VALUE"""),1940196.0)</f>
        <v>1940196</v>
      </c>
    </row>
    <row r="1247">
      <c r="A1247" s="2">
        <f>IFERROR(__xludf.DUMMYFUNCTION("""COMPUTED_VALUE"""),43844.64583333333)</f>
        <v>43844.64583</v>
      </c>
      <c r="B1247" s="1">
        <f>IFERROR(__xludf.DUMMYFUNCTION("""COMPUTED_VALUE"""),2855.0)</f>
        <v>2855</v>
      </c>
      <c r="C1247" s="1">
        <f>IFERROR(__xludf.DUMMYFUNCTION("""COMPUTED_VALUE"""),2895.0)</f>
        <v>2895</v>
      </c>
      <c r="D1247" s="1">
        <f>IFERROR(__xludf.DUMMYFUNCTION("""COMPUTED_VALUE"""),2835.0)</f>
        <v>2835</v>
      </c>
      <c r="E1247" s="1">
        <f>IFERROR(__xludf.DUMMYFUNCTION("""COMPUTED_VALUE"""),2875.0)</f>
        <v>2875</v>
      </c>
      <c r="F1247" s="1">
        <f>IFERROR(__xludf.DUMMYFUNCTION("""COMPUTED_VALUE"""),1866698.0)</f>
        <v>1866698</v>
      </c>
    </row>
    <row r="1248">
      <c r="A1248" s="2">
        <f>IFERROR(__xludf.DUMMYFUNCTION("""COMPUTED_VALUE"""),43845.64583333333)</f>
        <v>43845.64583</v>
      </c>
      <c r="B1248" s="1">
        <f>IFERROR(__xludf.DUMMYFUNCTION("""COMPUTED_VALUE"""),2880.0)</f>
        <v>2880</v>
      </c>
      <c r="C1248" s="1">
        <f>IFERROR(__xludf.DUMMYFUNCTION("""COMPUTED_VALUE"""),2905.0)</f>
        <v>2905</v>
      </c>
      <c r="D1248" s="1">
        <f>IFERROR(__xludf.DUMMYFUNCTION("""COMPUTED_VALUE"""),2855.0)</f>
        <v>2855</v>
      </c>
      <c r="E1248" s="1">
        <f>IFERROR(__xludf.DUMMYFUNCTION("""COMPUTED_VALUE"""),2885.0)</f>
        <v>2885</v>
      </c>
      <c r="F1248" s="1">
        <f>IFERROR(__xludf.DUMMYFUNCTION("""COMPUTED_VALUE"""),1178863.0)</f>
        <v>1178863</v>
      </c>
    </row>
    <row r="1249">
      <c r="A1249" s="2">
        <f>IFERROR(__xludf.DUMMYFUNCTION("""COMPUTED_VALUE"""),43846.64583333333)</f>
        <v>43846.64583</v>
      </c>
      <c r="B1249" s="1">
        <f>IFERROR(__xludf.DUMMYFUNCTION("""COMPUTED_VALUE"""),2890.0)</f>
        <v>2890</v>
      </c>
      <c r="C1249" s="1">
        <f>IFERROR(__xludf.DUMMYFUNCTION("""COMPUTED_VALUE"""),2900.0)</f>
        <v>2900</v>
      </c>
      <c r="D1249" s="1">
        <f>IFERROR(__xludf.DUMMYFUNCTION("""COMPUTED_VALUE"""),2840.0)</f>
        <v>2840</v>
      </c>
      <c r="E1249" s="1">
        <f>IFERROR(__xludf.DUMMYFUNCTION("""COMPUTED_VALUE"""),2850.0)</f>
        <v>2850</v>
      </c>
      <c r="F1249" s="1">
        <f>IFERROR(__xludf.DUMMYFUNCTION("""COMPUTED_VALUE"""),898549.0)</f>
        <v>898549</v>
      </c>
    </row>
    <row r="1250">
      <c r="A1250" s="2">
        <f>IFERROR(__xludf.DUMMYFUNCTION("""COMPUTED_VALUE"""),43847.64583333333)</f>
        <v>43847.64583</v>
      </c>
      <c r="B1250" s="1">
        <f>IFERROR(__xludf.DUMMYFUNCTION("""COMPUTED_VALUE"""),2850.0)</f>
        <v>2850</v>
      </c>
      <c r="C1250" s="1">
        <f>IFERROR(__xludf.DUMMYFUNCTION("""COMPUTED_VALUE"""),2875.0)</f>
        <v>2875</v>
      </c>
      <c r="D1250" s="1">
        <f>IFERROR(__xludf.DUMMYFUNCTION("""COMPUTED_VALUE"""),2830.0)</f>
        <v>2830</v>
      </c>
      <c r="E1250" s="1">
        <f>IFERROR(__xludf.DUMMYFUNCTION("""COMPUTED_VALUE"""),2840.0)</f>
        <v>2840</v>
      </c>
      <c r="F1250" s="1">
        <f>IFERROR(__xludf.DUMMYFUNCTION("""COMPUTED_VALUE"""),571562.0)</f>
        <v>571562</v>
      </c>
    </row>
    <row r="1251">
      <c r="A1251" s="2">
        <f>IFERROR(__xludf.DUMMYFUNCTION("""COMPUTED_VALUE"""),43850.64583333333)</f>
        <v>43850.64583</v>
      </c>
      <c r="B1251" s="1">
        <f>IFERROR(__xludf.DUMMYFUNCTION("""COMPUTED_VALUE"""),2860.0)</f>
        <v>2860</v>
      </c>
      <c r="C1251" s="1">
        <f>IFERROR(__xludf.DUMMYFUNCTION("""COMPUTED_VALUE"""),2945.0)</f>
        <v>2945</v>
      </c>
      <c r="D1251" s="1">
        <f>IFERROR(__xludf.DUMMYFUNCTION("""COMPUTED_VALUE"""),2830.0)</f>
        <v>2830</v>
      </c>
      <c r="E1251" s="1">
        <f>IFERROR(__xludf.DUMMYFUNCTION("""COMPUTED_VALUE"""),2860.0)</f>
        <v>2860</v>
      </c>
      <c r="F1251" s="1">
        <f>IFERROR(__xludf.DUMMYFUNCTION("""COMPUTED_VALUE"""),2374962.0)</f>
        <v>2374962</v>
      </c>
    </row>
    <row r="1252">
      <c r="A1252" s="2">
        <f>IFERROR(__xludf.DUMMYFUNCTION("""COMPUTED_VALUE"""),43851.64583333333)</f>
        <v>43851.64583</v>
      </c>
      <c r="B1252" s="1">
        <f>IFERROR(__xludf.DUMMYFUNCTION("""COMPUTED_VALUE"""),2860.0)</f>
        <v>2860</v>
      </c>
      <c r="C1252" s="1">
        <f>IFERROR(__xludf.DUMMYFUNCTION("""COMPUTED_VALUE"""),2915.0)</f>
        <v>2915</v>
      </c>
      <c r="D1252" s="1">
        <f>IFERROR(__xludf.DUMMYFUNCTION("""COMPUTED_VALUE"""),2835.0)</f>
        <v>2835</v>
      </c>
      <c r="E1252" s="1">
        <f>IFERROR(__xludf.DUMMYFUNCTION("""COMPUTED_VALUE"""),2855.0)</f>
        <v>2855</v>
      </c>
      <c r="F1252" s="1">
        <f>IFERROR(__xludf.DUMMYFUNCTION("""COMPUTED_VALUE"""),944468.0)</f>
        <v>944468</v>
      </c>
    </row>
    <row r="1253">
      <c r="A1253" s="2">
        <f>IFERROR(__xludf.DUMMYFUNCTION("""COMPUTED_VALUE"""),43852.64583333333)</f>
        <v>43852.64583</v>
      </c>
      <c r="B1253" s="1">
        <f>IFERROR(__xludf.DUMMYFUNCTION("""COMPUTED_VALUE"""),2855.0)</f>
        <v>2855</v>
      </c>
      <c r="C1253" s="1">
        <f>IFERROR(__xludf.DUMMYFUNCTION("""COMPUTED_VALUE"""),2880.0)</f>
        <v>2880</v>
      </c>
      <c r="D1253" s="1">
        <f>IFERROR(__xludf.DUMMYFUNCTION("""COMPUTED_VALUE"""),2835.0)</f>
        <v>2835</v>
      </c>
      <c r="E1253" s="1">
        <f>IFERROR(__xludf.DUMMYFUNCTION("""COMPUTED_VALUE"""),2860.0)</f>
        <v>2860</v>
      </c>
      <c r="F1253" s="1">
        <f>IFERROR(__xludf.DUMMYFUNCTION("""COMPUTED_VALUE"""),775752.0)</f>
        <v>775752</v>
      </c>
    </row>
    <row r="1254">
      <c r="A1254" s="2">
        <f>IFERROR(__xludf.DUMMYFUNCTION("""COMPUTED_VALUE"""),43853.64583333333)</f>
        <v>43853.64583</v>
      </c>
      <c r="B1254" s="1">
        <f>IFERROR(__xludf.DUMMYFUNCTION("""COMPUTED_VALUE"""),2880.0)</f>
        <v>2880</v>
      </c>
      <c r="C1254" s="1">
        <f>IFERROR(__xludf.DUMMYFUNCTION("""COMPUTED_VALUE"""),2915.0)</f>
        <v>2915</v>
      </c>
      <c r="D1254" s="1">
        <f>IFERROR(__xludf.DUMMYFUNCTION("""COMPUTED_VALUE"""),2845.0)</f>
        <v>2845</v>
      </c>
      <c r="E1254" s="1">
        <f>IFERROR(__xludf.DUMMYFUNCTION("""COMPUTED_VALUE"""),2850.0)</f>
        <v>2850</v>
      </c>
      <c r="F1254" s="1">
        <f>IFERROR(__xludf.DUMMYFUNCTION("""COMPUTED_VALUE"""),1777129.0)</f>
        <v>1777129</v>
      </c>
    </row>
    <row r="1255">
      <c r="A1255" s="2">
        <f>IFERROR(__xludf.DUMMYFUNCTION("""COMPUTED_VALUE"""),43858.64583333333)</f>
        <v>43858.64583</v>
      </c>
      <c r="B1255" s="1">
        <f>IFERROR(__xludf.DUMMYFUNCTION("""COMPUTED_VALUE"""),2750.0)</f>
        <v>2750</v>
      </c>
      <c r="C1255" s="1">
        <f>IFERROR(__xludf.DUMMYFUNCTION("""COMPUTED_VALUE"""),2760.0)</f>
        <v>2760</v>
      </c>
      <c r="D1255" s="1">
        <f>IFERROR(__xludf.DUMMYFUNCTION("""COMPUTED_VALUE"""),2685.0)</f>
        <v>2685</v>
      </c>
      <c r="E1255" s="1">
        <f>IFERROR(__xludf.DUMMYFUNCTION("""COMPUTED_VALUE"""),2705.0)</f>
        <v>2705</v>
      </c>
      <c r="F1255" s="1">
        <f>IFERROR(__xludf.DUMMYFUNCTION("""COMPUTED_VALUE"""),1178813.0)</f>
        <v>1178813</v>
      </c>
    </row>
    <row r="1256">
      <c r="A1256" s="2">
        <f>IFERROR(__xludf.DUMMYFUNCTION("""COMPUTED_VALUE"""),43859.64583333333)</f>
        <v>43859.64583</v>
      </c>
      <c r="B1256" s="1">
        <f>IFERROR(__xludf.DUMMYFUNCTION("""COMPUTED_VALUE"""),2720.0)</f>
        <v>2720</v>
      </c>
      <c r="C1256" s="1">
        <f>IFERROR(__xludf.DUMMYFUNCTION("""COMPUTED_VALUE"""),2760.0)</f>
        <v>2760</v>
      </c>
      <c r="D1256" s="1">
        <f>IFERROR(__xludf.DUMMYFUNCTION("""COMPUTED_VALUE"""),2705.0)</f>
        <v>2705</v>
      </c>
      <c r="E1256" s="1">
        <f>IFERROR(__xludf.DUMMYFUNCTION("""COMPUTED_VALUE"""),2720.0)</f>
        <v>2720</v>
      </c>
      <c r="F1256" s="1">
        <f>IFERROR(__xludf.DUMMYFUNCTION("""COMPUTED_VALUE"""),544010.0)</f>
        <v>544010</v>
      </c>
    </row>
    <row r="1257">
      <c r="A1257" s="2">
        <f>IFERROR(__xludf.DUMMYFUNCTION("""COMPUTED_VALUE"""),43860.64583333333)</f>
        <v>43860.64583</v>
      </c>
      <c r="B1257" s="1">
        <f>IFERROR(__xludf.DUMMYFUNCTION("""COMPUTED_VALUE"""),2730.0)</f>
        <v>2730</v>
      </c>
      <c r="C1257" s="1">
        <f>IFERROR(__xludf.DUMMYFUNCTION("""COMPUTED_VALUE"""),2830.0)</f>
        <v>2830</v>
      </c>
      <c r="D1257" s="1">
        <f>IFERROR(__xludf.DUMMYFUNCTION("""COMPUTED_VALUE"""),2660.0)</f>
        <v>2660</v>
      </c>
      <c r="E1257" s="1">
        <f>IFERROR(__xludf.DUMMYFUNCTION("""COMPUTED_VALUE"""),2750.0)</f>
        <v>2750</v>
      </c>
      <c r="F1257" s="1">
        <f>IFERROR(__xludf.DUMMYFUNCTION("""COMPUTED_VALUE"""),1316658.0)</f>
        <v>1316658</v>
      </c>
    </row>
    <row r="1258">
      <c r="A1258" s="2">
        <f>IFERROR(__xludf.DUMMYFUNCTION("""COMPUTED_VALUE"""),43861.64583333333)</f>
        <v>43861.64583</v>
      </c>
      <c r="B1258" s="1">
        <f>IFERROR(__xludf.DUMMYFUNCTION("""COMPUTED_VALUE"""),2730.0)</f>
        <v>2730</v>
      </c>
      <c r="C1258" s="1">
        <f>IFERROR(__xludf.DUMMYFUNCTION("""COMPUTED_VALUE"""),2760.0)</f>
        <v>2760</v>
      </c>
      <c r="D1258" s="1">
        <f>IFERROR(__xludf.DUMMYFUNCTION("""COMPUTED_VALUE"""),2575.0)</f>
        <v>2575</v>
      </c>
      <c r="E1258" s="1">
        <f>IFERROR(__xludf.DUMMYFUNCTION("""COMPUTED_VALUE"""),2600.0)</f>
        <v>2600</v>
      </c>
      <c r="F1258" s="1">
        <f>IFERROR(__xludf.DUMMYFUNCTION("""COMPUTED_VALUE"""),967687.0)</f>
        <v>967687</v>
      </c>
    </row>
    <row r="1259">
      <c r="A1259" s="2">
        <f>IFERROR(__xludf.DUMMYFUNCTION("""COMPUTED_VALUE"""),43864.64583333333)</f>
        <v>43864.64583</v>
      </c>
      <c r="B1259" s="1">
        <f>IFERROR(__xludf.DUMMYFUNCTION("""COMPUTED_VALUE"""),2470.0)</f>
        <v>2470</v>
      </c>
      <c r="C1259" s="1">
        <f>IFERROR(__xludf.DUMMYFUNCTION("""COMPUTED_VALUE"""),2595.0)</f>
        <v>2595</v>
      </c>
      <c r="D1259" s="1">
        <f>IFERROR(__xludf.DUMMYFUNCTION("""COMPUTED_VALUE"""),2455.0)</f>
        <v>2455</v>
      </c>
      <c r="E1259" s="1">
        <f>IFERROR(__xludf.DUMMYFUNCTION("""COMPUTED_VALUE"""),2565.0)</f>
        <v>2565</v>
      </c>
      <c r="F1259" s="1">
        <f>IFERROR(__xludf.DUMMYFUNCTION("""COMPUTED_VALUE"""),972617.0)</f>
        <v>972617</v>
      </c>
    </row>
    <row r="1260">
      <c r="A1260" s="2">
        <f>IFERROR(__xludf.DUMMYFUNCTION("""COMPUTED_VALUE"""),43865.64583333333)</f>
        <v>43865.64583</v>
      </c>
      <c r="B1260" s="1">
        <f>IFERROR(__xludf.DUMMYFUNCTION("""COMPUTED_VALUE"""),2565.0)</f>
        <v>2565</v>
      </c>
      <c r="C1260" s="1">
        <f>IFERROR(__xludf.DUMMYFUNCTION("""COMPUTED_VALUE"""),2640.0)</f>
        <v>2640</v>
      </c>
      <c r="D1260" s="1">
        <f>IFERROR(__xludf.DUMMYFUNCTION("""COMPUTED_VALUE"""),2565.0)</f>
        <v>2565</v>
      </c>
      <c r="E1260" s="1">
        <f>IFERROR(__xludf.DUMMYFUNCTION("""COMPUTED_VALUE"""),2630.0)</f>
        <v>2630</v>
      </c>
      <c r="F1260" s="1">
        <f>IFERROR(__xludf.DUMMYFUNCTION("""COMPUTED_VALUE"""),554738.0)</f>
        <v>554738</v>
      </c>
    </row>
    <row r="1261">
      <c r="A1261" s="2">
        <f>IFERROR(__xludf.DUMMYFUNCTION("""COMPUTED_VALUE"""),43866.64583333333)</f>
        <v>43866.64583</v>
      </c>
      <c r="B1261" s="1">
        <f>IFERROR(__xludf.DUMMYFUNCTION("""COMPUTED_VALUE"""),2635.0)</f>
        <v>2635</v>
      </c>
      <c r="C1261" s="1">
        <f>IFERROR(__xludf.DUMMYFUNCTION("""COMPUTED_VALUE"""),2755.0)</f>
        <v>2755</v>
      </c>
      <c r="D1261" s="1">
        <f>IFERROR(__xludf.DUMMYFUNCTION("""COMPUTED_VALUE"""),2625.0)</f>
        <v>2625</v>
      </c>
      <c r="E1261" s="1">
        <f>IFERROR(__xludf.DUMMYFUNCTION("""COMPUTED_VALUE"""),2740.0)</f>
        <v>2740</v>
      </c>
      <c r="F1261" s="1">
        <f>IFERROR(__xludf.DUMMYFUNCTION("""COMPUTED_VALUE"""),983775.0)</f>
        <v>983775</v>
      </c>
    </row>
    <row r="1262">
      <c r="A1262" s="2">
        <f>IFERROR(__xludf.DUMMYFUNCTION("""COMPUTED_VALUE"""),43867.64583333333)</f>
        <v>43867.64583</v>
      </c>
      <c r="B1262" s="1">
        <f>IFERROR(__xludf.DUMMYFUNCTION("""COMPUTED_VALUE"""),2795.0)</f>
        <v>2795</v>
      </c>
      <c r="C1262" s="1">
        <f>IFERROR(__xludf.DUMMYFUNCTION("""COMPUTED_VALUE"""),2850.0)</f>
        <v>2850</v>
      </c>
      <c r="D1262" s="1">
        <f>IFERROR(__xludf.DUMMYFUNCTION("""COMPUTED_VALUE"""),2720.0)</f>
        <v>2720</v>
      </c>
      <c r="E1262" s="1">
        <f>IFERROR(__xludf.DUMMYFUNCTION("""COMPUTED_VALUE"""),2735.0)</f>
        <v>2735</v>
      </c>
      <c r="F1262" s="1">
        <f>IFERROR(__xludf.DUMMYFUNCTION("""COMPUTED_VALUE"""),1203500.0)</f>
        <v>1203500</v>
      </c>
    </row>
    <row r="1263">
      <c r="A1263" s="2">
        <f>IFERROR(__xludf.DUMMYFUNCTION("""COMPUTED_VALUE"""),43868.64583333333)</f>
        <v>43868.64583</v>
      </c>
      <c r="B1263" s="1">
        <f>IFERROR(__xludf.DUMMYFUNCTION("""COMPUTED_VALUE"""),2715.0)</f>
        <v>2715</v>
      </c>
      <c r="C1263" s="1">
        <f>IFERROR(__xludf.DUMMYFUNCTION("""COMPUTED_VALUE"""),2845.0)</f>
        <v>2845</v>
      </c>
      <c r="D1263" s="1">
        <f>IFERROR(__xludf.DUMMYFUNCTION("""COMPUTED_VALUE"""),2710.0)</f>
        <v>2710</v>
      </c>
      <c r="E1263" s="1">
        <f>IFERROR(__xludf.DUMMYFUNCTION("""COMPUTED_VALUE"""),2760.0)</f>
        <v>2760</v>
      </c>
      <c r="F1263" s="1">
        <f>IFERROR(__xludf.DUMMYFUNCTION("""COMPUTED_VALUE"""),1978522.0)</f>
        <v>1978522</v>
      </c>
    </row>
    <row r="1264">
      <c r="A1264" s="2">
        <f>IFERROR(__xludf.DUMMYFUNCTION("""COMPUTED_VALUE"""),43871.64583333333)</f>
        <v>43871.64583</v>
      </c>
      <c r="B1264" s="1">
        <f>IFERROR(__xludf.DUMMYFUNCTION("""COMPUTED_VALUE"""),2755.0)</f>
        <v>2755</v>
      </c>
      <c r="C1264" s="1">
        <f>IFERROR(__xludf.DUMMYFUNCTION("""COMPUTED_VALUE"""),2820.0)</f>
        <v>2820</v>
      </c>
      <c r="D1264" s="1">
        <f>IFERROR(__xludf.DUMMYFUNCTION("""COMPUTED_VALUE"""),2720.0)</f>
        <v>2720</v>
      </c>
      <c r="E1264" s="1">
        <f>IFERROR(__xludf.DUMMYFUNCTION("""COMPUTED_VALUE"""),2750.0)</f>
        <v>2750</v>
      </c>
      <c r="F1264" s="1">
        <f>IFERROR(__xludf.DUMMYFUNCTION("""COMPUTED_VALUE"""),722110.0)</f>
        <v>722110</v>
      </c>
    </row>
    <row r="1265">
      <c r="A1265" s="2">
        <f>IFERROR(__xludf.DUMMYFUNCTION("""COMPUTED_VALUE"""),43872.64583333333)</f>
        <v>43872.64583</v>
      </c>
      <c r="B1265" s="1">
        <f>IFERROR(__xludf.DUMMYFUNCTION("""COMPUTED_VALUE"""),2750.0)</f>
        <v>2750</v>
      </c>
      <c r="C1265" s="1">
        <f>IFERROR(__xludf.DUMMYFUNCTION("""COMPUTED_VALUE"""),2795.0)</f>
        <v>2795</v>
      </c>
      <c r="D1265" s="1">
        <f>IFERROR(__xludf.DUMMYFUNCTION("""COMPUTED_VALUE"""),2720.0)</f>
        <v>2720</v>
      </c>
      <c r="E1265" s="1">
        <f>IFERROR(__xludf.DUMMYFUNCTION("""COMPUTED_VALUE"""),2750.0)</f>
        <v>2750</v>
      </c>
      <c r="F1265" s="1">
        <f>IFERROR(__xludf.DUMMYFUNCTION("""COMPUTED_VALUE"""),520179.0)</f>
        <v>520179</v>
      </c>
    </row>
    <row r="1266">
      <c r="A1266" s="2">
        <f>IFERROR(__xludf.DUMMYFUNCTION("""COMPUTED_VALUE"""),43873.64583333333)</f>
        <v>43873.64583</v>
      </c>
      <c r="B1266" s="1">
        <f>IFERROR(__xludf.DUMMYFUNCTION("""COMPUTED_VALUE"""),2785.0)</f>
        <v>2785</v>
      </c>
      <c r="C1266" s="1">
        <f>IFERROR(__xludf.DUMMYFUNCTION("""COMPUTED_VALUE"""),2925.0)</f>
        <v>2925</v>
      </c>
      <c r="D1266" s="1">
        <f>IFERROR(__xludf.DUMMYFUNCTION("""COMPUTED_VALUE"""),2770.0)</f>
        <v>2770</v>
      </c>
      <c r="E1266" s="1">
        <f>IFERROR(__xludf.DUMMYFUNCTION("""COMPUTED_VALUE"""),2810.0)</f>
        <v>2810</v>
      </c>
      <c r="F1266" s="1">
        <f>IFERROR(__xludf.DUMMYFUNCTION("""COMPUTED_VALUE"""),5098345.0)</f>
        <v>5098345</v>
      </c>
    </row>
    <row r="1267">
      <c r="A1267" s="2">
        <f>IFERROR(__xludf.DUMMYFUNCTION("""COMPUTED_VALUE"""),43874.64583333333)</f>
        <v>43874.64583</v>
      </c>
      <c r="B1267" s="1">
        <f>IFERROR(__xludf.DUMMYFUNCTION("""COMPUTED_VALUE"""),2810.0)</f>
        <v>2810</v>
      </c>
      <c r="C1267" s="1">
        <f>IFERROR(__xludf.DUMMYFUNCTION("""COMPUTED_VALUE"""),2885.0)</f>
        <v>2885</v>
      </c>
      <c r="D1267" s="1">
        <f>IFERROR(__xludf.DUMMYFUNCTION("""COMPUTED_VALUE"""),2800.0)</f>
        <v>2800</v>
      </c>
      <c r="E1267" s="1">
        <f>IFERROR(__xludf.DUMMYFUNCTION("""COMPUTED_VALUE"""),2835.0)</f>
        <v>2835</v>
      </c>
      <c r="F1267" s="1">
        <f>IFERROR(__xludf.DUMMYFUNCTION("""COMPUTED_VALUE"""),1473306.0)</f>
        <v>1473306</v>
      </c>
    </row>
    <row r="1268">
      <c r="A1268" s="2">
        <f>IFERROR(__xludf.DUMMYFUNCTION("""COMPUTED_VALUE"""),43875.64583333333)</f>
        <v>43875.64583</v>
      </c>
      <c r="B1268" s="1">
        <f>IFERROR(__xludf.DUMMYFUNCTION("""COMPUTED_VALUE"""),2840.0)</f>
        <v>2840</v>
      </c>
      <c r="C1268" s="1">
        <f>IFERROR(__xludf.DUMMYFUNCTION("""COMPUTED_VALUE"""),2890.0)</f>
        <v>2890</v>
      </c>
      <c r="D1268" s="1">
        <f>IFERROR(__xludf.DUMMYFUNCTION("""COMPUTED_VALUE"""),2825.0)</f>
        <v>2825</v>
      </c>
      <c r="E1268" s="1">
        <f>IFERROR(__xludf.DUMMYFUNCTION("""COMPUTED_VALUE"""),2840.0)</f>
        <v>2840</v>
      </c>
      <c r="F1268" s="1">
        <f>IFERROR(__xludf.DUMMYFUNCTION("""COMPUTED_VALUE"""),1494916.0)</f>
        <v>1494916</v>
      </c>
    </row>
    <row r="1269">
      <c r="A1269" s="2">
        <f>IFERROR(__xludf.DUMMYFUNCTION("""COMPUTED_VALUE"""),43878.64583333333)</f>
        <v>43878.64583</v>
      </c>
      <c r="B1269" s="1">
        <f>IFERROR(__xludf.DUMMYFUNCTION("""COMPUTED_VALUE"""),2875.0)</f>
        <v>2875</v>
      </c>
      <c r="C1269" s="1">
        <f>IFERROR(__xludf.DUMMYFUNCTION("""COMPUTED_VALUE"""),2880.0)</f>
        <v>2880</v>
      </c>
      <c r="D1269" s="1">
        <f>IFERROR(__xludf.DUMMYFUNCTION("""COMPUTED_VALUE"""),2820.0)</f>
        <v>2820</v>
      </c>
      <c r="E1269" s="1">
        <f>IFERROR(__xludf.DUMMYFUNCTION("""COMPUTED_VALUE"""),2845.0)</f>
        <v>2845</v>
      </c>
      <c r="F1269" s="1">
        <f>IFERROR(__xludf.DUMMYFUNCTION("""COMPUTED_VALUE"""),755405.0)</f>
        <v>755405</v>
      </c>
    </row>
    <row r="1270">
      <c r="A1270" s="2">
        <f>IFERROR(__xludf.DUMMYFUNCTION("""COMPUTED_VALUE"""),43879.64583333333)</f>
        <v>43879.64583</v>
      </c>
      <c r="B1270" s="1">
        <f>IFERROR(__xludf.DUMMYFUNCTION("""COMPUTED_VALUE"""),2835.0)</f>
        <v>2835</v>
      </c>
      <c r="C1270" s="1">
        <f>IFERROR(__xludf.DUMMYFUNCTION("""COMPUTED_VALUE"""),2865.0)</f>
        <v>2865</v>
      </c>
      <c r="D1270" s="1">
        <f>IFERROR(__xludf.DUMMYFUNCTION("""COMPUTED_VALUE"""),2785.0)</f>
        <v>2785</v>
      </c>
      <c r="E1270" s="1">
        <f>IFERROR(__xludf.DUMMYFUNCTION("""COMPUTED_VALUE"""),2785.0)</f>
        <v>2785</v>
      </c>
      <c r="F1270" s="1">
        <f>IFERROR(__xludf.DUMMYFUNCTION("""COMPUTED_VALUE"""),792261.0)</f>
        <v>792261</v>
      </c>
    </row>
    <row r="1271">
      <c r="A1271" s="2">
        <f>IFERROR(__xludf.DUMMYFUNCTION("""COMPUTED_VALUE"""),43880.64583333333)</f>
        <v>43880.64583</v>
      </c>
      <c r="B1271" s="1">
        <f>IFERROR(__xludf.DUMMYFUNCTION("""COMPUTED_VALUE"""),2800.0)</f>
        <v>2800</v>
      </c>
      <c r="C1271" s="1">
        <f>IFERROR(__xludf.DUMMYFUNCTION("""COMPUTED_VALUE"""),2820.0)</f>
        <v>2820</v>
      </c>
      <c r="D1271" s="1">
        <f>IFERROR(__xludf.DUMMYFUNCTION("""COMPUTED_VALUE"""),2700.0)</f>
        <v>2700</v>
      </c>
      <c r="E1271" s="1">
        <f>IFERROR(__xludf.DUMMYFUNCTION("""COMPUTED_VALUE"""),2815.0)</f>
        <v>2815</v>
      </c>
      <c r="F1271" s="1">
        <f>IFERROR(__xludf.DUMMYFUNCTION("""COMPUTED_VALUE"""),667277.0)</f>
        <v>667277</v>
      </c>
    </row>
    <row r="1272">
      <c r="A1272" s="2">
        <f>IFERROR(__xludf.DUMMYFUNCTION("""COMPUTED_VALUE"""),43881.64583333333)</f>
        <v>43881.64583</v>
      </c>
      <c r="B1272" s="1">
        <f>IFERROR(__xludf.DUMMYFUNCTION("""COMPUTED_VALUE"""),2820.0)</f>
        <v>2820</v>
      </c>
      <c r="C1272" s="1">
        <f>IFERROR(__xludf.DUMMYFUNCTION("""COMPUTED_VALUE"""),2865.0)</f>
        <v>2865</v>
      </c>
      <c r="D1272" s="1">
        <f>IFERROR(__xludf.DUMMYFUNCTION("""COMPUTED_VALUE"""),2750.0)</f>
        <v>2750</v>
      </c>
      <c r="E1272" s="1">
        <f>IFERROR(__xludf.DUMMYFUNCTION("""COMPUTED_VALUE"""),2750.0)</f>
        <v>2750</v>
      </c>
      <c r="F1272" s="1">
        <f>IFERROR(__xludf.DUMMYFUNCTION("""COMPUTED_VALUE"""),853286.0)</f>
        <v>853286</v>
      </c>
    </row>
    <row r="1273">
      <c r="A1273" s="2">
        <f>IFERROR(__xludf.DUMMYFUNCTION("""COMPUTED_VALUE"""),43882.64583333333)</f>
        <v>43882.64583</v>
      </c>
      <c r="B1273" s="1">
        <f>IFERROR(__xludf.DUMMYFUNCTION("""COMPUTED_VALUE"""),2705.0)</f>
        <v>2705</v>
      </c>
      <c r="C1273" s="1">
        <f>IFERROR(__xludf.DUMMYFUNCTION("""COMPUTED_VALUE"""),2750.0)</f>
        <v>2750</v>
      </c>
      <c r="D1273" s="1">
        <f>IFERROR(__xludf.DUMMYFUNCTION("""COMPUTED_VALUE"""),2635.0)</f>
        <v>2635</v>
      </c>
      <c r="E1273" s="1">
        <f>IFERROR(__xludf.DUMMYFUNCTION("""COMPUTED_VALUE"""),2665.0)</f>
        <v>2665</v>
      </c>
      <c r="F1273" s="1">
        <f>IFERROR(__xludf.DUMMYFUNCTION("""COMPUTED_VALUE"""),873559.0)</f>
        <v>873559</v>
      </c>
    </row>
    <row r="1274">
      <c r="A1274" s="2">
        <f>IFERROR(__xludf.DUMMYFUNCTION("""COMPUTED_VALUE"""),43885.64583333333)</f>
        <v>43885.64583</v>
      </c>
      <c r="B1274" s="1">
        <f>IFERROR(__xludf.DUMMYFUNCTION("""COMPUTED_VALUE"""),2575.0)</f>
        <v>2575</v>
      </c>
      <c r="C1274" s="1">
        <f>IFERROR(__xludf.DUMMYFUNCTION("""COMPUTED_VALUE"""),2625.0)</f>
        <v>2625</v>
      </c>
      <c r="D1274" s="1">
        <f>IFERROR(__xludf.DUMMYFUNCTION("""COMPUTED_VALUE"""),2535.0)</f>
        <v>2535</v>
      </c>
      <c r="E1274" s="1">
        <f>IFERROR(__xludf.DUMMYFUNCTION("""COMPUTED_VALUE"""),2545.0)</f>
        <v>2545</v>
      </c>
      <c r="F1274" s="1">
        <f>IFERROR(__xludf.DUMMYFUNCTION("""COMPUTED_VALUE"""),810779.0)</f>
        <v>810779</v>
      </c>
    </row>
    <row r="1275">
      <c r="A1275" s="2">
        <f>IFERROR(__xludf.DUMMYFUNCTION("""COMPUTED_VALUE"""),43886.64583333333)</f>
        <v>43886.64583</v>
      </c>
      <c r="B1275" s="1">
        <f>IFERROR(__xludf.DUMMYFUNCTION("""COMPUTED_VALUE"""),2520.0)</f>
        <v>2520</v>
      </c>
      <c r="C1275" s="1">
        <f>IFERROR(__xludf.DUMMYFUNCTION("""COMPUTED_VALUE"""),2620.0)</f>
        <v>2620</v>
      </c>
      <c r="D1275" s="1">
        <f>IFERROR(__xludf.DUMMYFUNCTION("""COMPUTED_VALUE"""),2520.0)</f>
        <v>2520</v>
      </c>
      <c r="E1275" s="1">
        <f>IFERROR(__xludf.DUMMYFUNCTION("""COMPUTED_VALUE"""),2620.0)</f>
        <v>2620</v>
      </c>
      <c r="F1275" s="1">
        <f>IFERROR(__xludf.DUMMYFUNCTION("""COMPUTED_VALUE"""),511816.0)</f>
        <v>511816</v>
      </c>
    </row>
    <row r="1276">
      <c r="A1276" s="2">
        <f>IFERROR(__xludf.DUMMYFUNCTION("""COMPUTED_VALUE"""),43887.64583333333)</f>
        <v>43887.64583</v>
      </c>
      <c r="B1276" s="1">
        <f>IFERROR(__xludf.DUMMYFUNCTION("""COMPUTED_VALUE"""),2550.0)</f>
        <v>2550</v>
      </c>
      <c r="C1276" s="1">
        <f>IFERROR(__xludf.DUMMYFUNCTION("""COMPUTED_VALUE"""),2610.0)</f>
        <v>2610</v>
      </c>
      <c r="D1276" s="1">
        <f>IFERROR(__xludf.DUMMYFUNCTION("""COMPUTED_VALUE"""),2535.0)</f>
        <v>2535</v>
      </c>
      <c r="E1276" s="1">
        <f>IFERROR(__xludf.DUMMYFUNCTION("""COMPUTED_VALUE"""),2600.0)</f>
        <v>2600</v>
      </c>
      <c r="F1276" s="1">
        <f>IFERROR(__xludf.DUMMYFUNCTION("""COMPUTED_VALUE"""),614067.0)</f>
        <v>614067</v>
      </c>
    </row>
    <row r="1277">
      <c r="A1277" s="2">
        <f>IFERROR(__xludf.DUMMYFUNCTION("""COMPUTED_VALUE"""),43888.64583333333)</f>
        <v>43888.64583</v>
      </c>
      <c r="B1277" s="1">
        <f>IFERROR(__xludf.DUMMYFUNCTION("""COMPUTED_VALUE"""),2640.0)</f>
        <v>2640</v>
      </c>
      <c r="C1277" s="1">
        <f>IFERROR(__xludf.DUMMYFUNCTION("""COMPUTED_VALUE"""),2690.0)</f>
        <v>2690</v>
      </c>
      <c r="D1277" s="1">
        <f>IFERROR(__xludf.DUMMYFUNCTION("""COMPUTED_VALUE"""),2505.0)</f>
        <v>2505</v>
      </c>
      <c r="E1277" s="1">
        <f>IFERROR(__xludf.DUMMYFUNCTION("""COMPUTED_VALUE"""),2515.0)</f>
        <v>2515</v>
      </c>
      <c r="F1277" s="1">
        <f>IFERROR(__xludf.DUMMYFUNCTION("""COMPUTED_VALUE"""),703727.0)</f>
        <v>703727</v>
      </c>
    </row>
    <row r="1278">
      <c r="A1278" s="2">
        <f>IFERROR(__xludf.DUMMYFUNCTION("""COMPUTED_VALUE"""),43889.64583333333)</f>
        <v>43889.64583</v>
      </c>
      <c r="B1278" s="1">
        <f>IFERROR(__xludf.DUMMYFUNCTION("""COMPUTED_VALUE"""),2450.0)</f>
        <v>2450</v>
      </c>
      <c r="C1278" s="1">
        <f>IFERROR(__xludf.DUMMYFUNCTION("""COMPUTED_VALUE"""),2495.0)</f>
        <v>2495</v>
      </c>
      <c r="D1278" s="1">
        <f>IFERROR(__xludf.DUMMYFUNCTION("""COMPUTED_VALUE"""),2285.0)</f>
        <v>2285</v>
      </c>
      <c r="E1278" s="1">
        <f>IFERROR(__xludf.DUMMYFUNCTION("""COMPUTED_VALUE"""),2325.0)</f>
        <v>2325</v>
      </c>
      <c r="F1278" s="1">
        <f>IFERROR(__xludf.DUMMYFUNCTION("""COMPUTED_VALUE"""),1176744.0)</f>
        <v>1176744</v>
      </c>
    </row>
    <row r="1279">
      <c r="A1279" s="2">
        <f>IFERROR(__xludf.DUMMYFUNCTION("""COMPUTED_VALUE"""),43892.64583333333)</f>
        <v>43892.64583</v>
      </c>
      <c r="B1279" s="1">
        <f>IFERROR(__xludf.DUMMYFUNCTION("""COMPUTED_VALUE"""),2315.0)</f>
        <v>2315</v>
      </c>
      <c r="C1279" s="1">
        <f>IFERROR(__xludf.DUMMYFUNCTION("""COMPUTED_VALUE"""),2390.0)</f>
        <v>2390</v>
      </c>
      <c r="D1279" s="1">
        <f>IFERROR(__xludf.DUMMYFUNCTION("""COMPUTED_VALUE"""),2260.0)</f>
        <v>2260</v>
      </c>
      <c r="E1279" s="1">
        <f>IFERROR(__xludf.DUMMYFUNCTION("""COMPUTED_VALUE"""),2340.0)</f>
        <v>2340</v>
      </c>
      <c r="F1279" s="1">
        <f>IFERROR(__xludf.DUMMYFUNCTION("""COMPUTED_VALUE"""),609973.0)</f>
        <v>609973</v>
      </c>
    </row>
    <row r="1280">
      <c r="A1280" s="2">
        <f>IFERROR(__xludf.DUMMYFUNCTION("""COMPUTED_VALUE"""),43893.64583333333)</f>
        <v>43893.64583</v>
      </c>
      <c r="B1280" s="1">
        <f>IFERROR(__xludf.DUMMYFUNCTION("""COMPUTED_VALUE"""),2390.0)</f>
        <v>2390</v>
      </c>
      <c r="C1280" s="1">
        <f>IFERROR(__xludf.DUMMYFUNCTION("""COMPUTED_VALUE"""),2430.0)</f>
        <v>2430</v>
      </c>
      <c r="D1280" s="1">
        <f>IFERROR(__xludf.DUMMYFUNCTION("""COMPUTED_VALUE"""),2330.0)</f>
        <v>2330</v>
      </c>
      <c r="E1280" s="1">
        <f>IFERROR(__xludf.DUMMYFUNCTION("""COMPUTED_VALUE"""),2330.0)</f>
        <v>2330</v>
      </c>
      <c r="F1280" s="1">
        <f>IFERROR(__xludf.DUMMYFUNCTION("""COMPUTED_VALUE"""),621379.0)</f>
        <v>621379</v>
      </c>
    </row>
    <row r="1281">
      <c r="A1281" s="2">
        <f>IFERROR(__xludf.DUMMYFUNCTION("""COMPUTED_VALUE"""),43894.64583333333)</f>
        <v>43894.64583</v>
      </c>
      <c r="B1281" s="1">
        <f>IFERROR(__xludf.DUMMYFUNCTION("""COMPUTED_VALUE"""),2320.0)</f>
        <v>2320</v>
      </c>
      <c r="C1281" s="1">
        <f>IFERROR(__xludf.DUMMYFUNCTION("""COMPUTED_VALUE"""),2430.0)</f>
        <v>2430</v>
      </c>
      <c r="D1281" s="1">
        <f>IFERROR(__xludf.DUMMYFUNCTION("""COMPUTED_VALUE"""),2320.0)</f>
        <v>2320</v>
      </c>
      <c r="E1281" s="1">
        <f>IFERROR(__xludf.DUMMYFUNCTION("""COMPUTED_VALUE"""),2415.0)</f>
        <v>2415</v>
      </c>
      <c r="F1281" s="1">
        <f>IFERROR(__xludf.DUMMYFUNCTION("""COMPUTED_VALUE"""),433456.0)</f>
        <v>433456</v>
      </c>
    </row>
    <row r="1282">
      <c r="A1282" s="2">
        <f>IFERROR(__xludf.DUMMYFUNCTION("""COMPUTED_VALUE"""),43895.64583333333)</f>
        <v>43895.64583</v>
      </c>
      <c r="B1282" s="1">
        <f>IFERROR(__xludf.DUMMYFUNCTION("""COMPUTED_VALUE"""),2465.0)</f>
        <v>2465</v>
      </c>
      <c r="C1282" s="1">
        <f>IFERROR(__xludf.DUMMYFUNCTION("""COMPUTED_VALUE"""),2490.0)</f>
        <v>2490</v>
      </c>
      <c r="D1282" s="1">
        <f>IFERROR(__xludf.DUMMYFUNCTION("""COMPUTED_VALUE"""),2410.0)</f>
        <v>2410</v>
      </c>
      <c r="E1282" s="1">
        <f>IFERROR(__xludf.DUMMYFUNCTION("""COMPUTED_VALUE"""),2440.0)</f>
        <v>2440</v>
      </c>
      <c r="F1282" s="1">
        <f>IFERROR(__xludf.DUMMYFUNCTION("""COMPUTED_VALUE"""),403344.0)</f>
        <v>403344</v>
      </c>
    </row>
    <row r="1283">
      <c r="A1283" s="2">
        <f>IFERROR(__xludf.DUMMYFUNCTION("""COMPUTED_VALUE"""),43896.64583333333)</f>
        <v>43896.64583</v>
      </c>
      <c r="B1283" s="1">
        <f>IFERROR(__xludf.DUMMYFUNCTION("""COMPUTED_VALUE"""),2400.0)</f>
        <v>2400</v>
      </c>
      <c r="C1283" s="1">
        <f>IFERROR(__xludf.DUMMYFUNCTION("""COMPUTED_VALUE"""),2450.0)</f>
        <v>2450</v>
      </c>
      <c r="D1283" s="1">
        <f>IFERROR(__xludf.DUMMYFUNCTION("""COMPUTED_VALUE"""),2350.0)</f>
        <v>2350</v>
      </c>
      <c r="E1283" s="1">
        <f>IFERROR(__xludf.DUMMYFUNCTION("""COMPUTED_VALUE"""),2375.0)</f>
        <v>2375</v>
      </c>
      <c r="F1283" s="1">
        <f>IFERROR(__xludf.DUMMYFUNCTION("""COMPUTED_VALUE"""),440284.0)</f>
        <v>440284</v>
      </c>
    </row>
    <row r="1284">
      <c r="A1284" s="2">
        <f>IFERROR(__xludf.DUMMYFUNCTION("""COMPUTED_VALUE"""),43899.64583333333)</f>
        <v>43899.64583</v>
      </c>
      <c r="B1284" s="1">
        <f>IFERROR(__xludf.DUMMYFUNCTION("""COMPUTED_VALUE"""),2335.0)</f>
        <v>2335</v>
      </c>
      <c r="C1284" s="1">
        <f>IFERROR(__xludf.DUMMYFUNCTION("""COMPUTED_VALUE"""),2335.0)</f>
        <v>2335</v>
      </c>
      <c r="D1284" s="1">
        <f>IFERROR(__xludf.DUMMYFUNCTION("""COMPUTED_VALUE"""),2195.0)</f>
        <v>2195</v>
      </c>
      <c r="E1284" s="1">
        <f>IFERROR(__xludf.DUMMYFUNCTION("""COMPUTED_VALUE"""),2200.0)</f>
        <v>2200</v>
      </c>
      <c r="F1284" s="1">
        <f>IFERROR(__xludf.DUMMYFUNCTION("""COMPUTED_VALUE"""),819517.0)</f>
        <v>819517</v>
      </c>
    </row>
    <row r="1285">
      <c r="A1285" s="2">
        <f>IFERROR(__xludf.DUMMYFUNCTION("""COMPUTED_VALUE"""),43900.64583333333)</f>
        <v>43900.64583</v>
      </c>
      <c r="B1285" s="1">
        <f>IFERROR(__xludf.DUMMYFUNCTION("""COMPUTED_VALUE"""),2175.0)</f>
        <v>2175</v>
      </c>
      <c r="C1285" s="1">
        <f>IFERROR(__xludf.DUMMYFUNCTION("""COMPUTED_VALUE"""),2235.0)</f>
        <v>2235</v>
      </c>
      <c r="D1285" s="1">
        <f>IFERROR(__xludf.DUMMYFUNCTION("""COMPUTED_VALUE"""),2100.0)</f>
        <v>2100</v>
      </c>
      <c r="E1285" s="1">
        <f>IFERROR(__xludf.DUMMYFUNCTION("""COMPUTED_VALUE"""),2205.0)</f>
        <v>2205</v>
      </c>
      <c r="F1285" s="1">
        <f>IFERROR(__xludf.DUMMYFUNCTION("""COMPUTED_VALUE"""),704944.0)</f>
        <v>704944</v>
      </c>
    </row>
    <row r="1286">
      <c r="A1286" s="2">
        <f>IFERROR(__xludf.DUMMYFUNCTION("""COMPUTED_VALUE"""),43901.64583333333)</f>
        <v>43901.64583</v>
      </c>
      <c r="B1286" s="1">
        <f>IFERROR(__xludf.DUMMYFUNCTION("""COMPUTED_VALUE"""),2220.0)</f>
        <v>2220</v>
      </c>
      <c r="C1286" s="1">
        <f>IFERROR(__xludf.DUMMYFUNCTION("""COMPUTED_VALUE"""),2245.0)</f>
        <v>2245</v>
      </c>
      <c r="D1286" s="1">
        <f>IFERROR(__xludf.DUMMYFUNCTION("""COMPUTED_VALUE"""),2040.0)</f>
        <v>2040</v>
      </c>
      <c r="E1286" s="1">
        <f>IFERROR(__xludf.DUMMYFUNCTION("""COMPUTED_VALUE"""),2065.0)</f>
        <v>2065</v>
      </c>
      <c r="F1286" s="1">
        <f>IFERROR(__xludf.DUMMYFUNCTION("""COMPUTED_VALUE"""),567776.0)</f>
        <v>567776</v>
      </c>
    </row>
    <row r="1287">
      <c r="A1287" s="2">
        <f>IFERROR(__xludf.DUMMYFUNCTION("""COMPUTED_VALUE"""),43902.64583333333)</f>
        <v>43902.64583</v>
      </c>
      <c r="B1287" s="1">
        <f>IFERROR(__xludf.DUMMYFUNCTION("""COMPUTED_VALUE"""),2035.0)</f>
        <v>2035</v>
      </c>
      <c r="C1287" s="1">
        <f>IFERROR(__xludf.DUMMYFUNCTION("""COMPUTED_VALUE"""),2085.0)</f>
        <v>2085</v>
      </c>
      <c r="D1287" s="1">
        <f>IFERROR(__xludf.DUMMYFUNCTION("""COMPUTED_VALUE"""),1835.0)</f>
        <v>1835</v>
      </c>
      <c r="E1287" s="1">
        <f>IFERROR(__xludf.DUMMYFUNCTION("""COMPUTED_VALUE"""),1875.0)</f>
        <v>1875</v>
      </c>
      <c r="F1287" s="1">
        <f>IFERROR(__xludf.DUMMYFUNCTION("""COMPUTED_VALUE"""),1013032.0)</f>
        <v>1013032</v>
      </c>
    </row>
    <row r="1288">
      <c r="A1288" s="2">
        <f>IFERROR(__xludf.DUMMYFUNCTION("""COMPUTED_VALUE"""),43903.64583333333)</f>
        <v>43903.64583</v>
      </c>
      <c r="B1288" s="1">
        <f>IFERROR(__xludf.DUMMYFUNCTION("""COMPUTED_VALUE"""),1690.0)</f>
        <v>1690</v>
      </c>
      <c r="C1288" s="1">
        <f>IFERROR(__xludf.DUMMYFUNCTION("""COMPUTED_VALUE"""),1725.0)</f>
        <v>1725</v>
      </c>
      <c r="D1288" s="1">
        <f>IFERROR(__xludf.DUMMYFUNCTION("""COMPUTED_VALUE"""),1420.0)</f>
        <v>1420</v>
      </c>
      <c r="E1288" s="1">
        <f>IFERROR(__xludf.DUMMYFUNCTION("""COMPUTED_VALUE"""),1570.0)</f>
        <v>1570</v>
      </c>
      <c r="F1288" s="1">
        <f>IFERROR(__xludf.DUMMYFUNCTION("""COMPUTED_VALUE"""),2921738.0)</f>
        <v>2921738</v>
      </c>
    </row>
    <row r="1289">
      <c r="A1289" s="2">
        <f>IFERROR(__xludf.DUMMYFUNCTION("""COMPUTED_VALUE"""),43907.64583333333)</f>
        <v>43907.64583</v>
      </c>
      <c r="B1289" s="1">
        <f>IFERROR(__xludf.DUMMYFUNCTION("""COMPUTED_VALUE"""),1285.0)</f>
        <v>1285</v>
      </c>
      <c r="C1289" s="1">
        <f>IFERROR(__xludf.DUMMYFUNCTION("""COMPUTED_VALUE"""),1495.0)</f>
        <v>1495</v>
      </c>
      <c r="D1289" s="1">
        <f>IFERROR(__xludf.DUMMYFUNCTION("""COMPUTED_VALUE"""),1285.0)</f>
        <v>1285</v>
      </c>
      <c r="E1289" s="1">
        <f>IFERROR(__xludf.DUMMYFUNCTION("""COMPUTED_VALUE"""),1490.0)</f>
        <v>1490</v>
      </c>
      <c r="F1289" s="1">
        <f>IFERROR(__xludf.DUMMYFUNCTION("""COMPUTED_VALUE"""),965673.0)</f>
        <v>965673</v>
      </c>
    </row>
    <row r="1290">
      <c r="A1290" s="2">
        <f>IFERROR(__xludf.DUMMYFUNCTION("""COMPUTED_VALUE"""),43908.64583333333)</f>
        <v>43908.64583</v>
      </c>
      <c r="B1290" s="1">
        <f>IFERROR(__xludf.DUMMYFUNCTION("""COMPUTED_VALUE"""),1530.0)</f>
        <v>1530</v>
      </c>
      <c r="C1290" s="1">
        <f>IFERROR(__xludf.DUMMYFUNCTION("""COMPUTED_VALUE"""),1570.0)</f>
        <v>1570</v>
      </c>
      <c r="D1290" s="1">
        <f>IFERROR(__xludf.DUMMYFUNCTION("""COMPUTED_VALUE"""),1400.0)</f>
        <v>1400</v>
      </c>
      <c r="E1290" s="1">
        <f>IFERROR(__xludf.DUMMYFUNCTION("""COMPUTED_VALUE"""),1400.0)</f>
        <v>1400</v>
      </c>
      <c r="F1290" s="1">
        <f>IFERROR(__xludf.DUMMYFUNCTION("""COMPUTED_VALUE"""),660839.0)</f>
        <v>660839</v>
      </c>
    </row>
    <row r="1291">
      <c r="A1291" s="2">
        <f>IFERROR(__xludf.DUMMYFUNCTION("""COMPUTED_VALUE"""),43909.64583333333)</f>
        <v>43909.64583</v>
      </c>
      <c r="B1291" s="1">
        <f>IFERROR(__xludf.DUMMYFUNCTION("""COMPUTED_VALUE"""),1415.0)</f>
        <v>1415</v>
      </c>
      <c r="C1291" s="1">
        <f>IFERROR(__xludf.DUMMYFUNCTION("""COMPUTED_VALUE"""),1465.0)</f>
        <v>1465</v>
      </c>
      <c r="D1291" s="1">
        <f>IFERROR(__xludf.DUMMYFUNCTION("""COMPUTED_VALUE"""),1070.0)</f>
        <v>1070</v>
      </c>
      <c r="E1291" s="1">
        <f>IFERROR(__xludf.DUMMYFUNCTION("""COMPUTED_VALUE"""),1125.0)</f>
        <v>1125</v>
      </c>
      <c r="F1291" s="1">
        <f>IFERROR(__xludf.DUMMYFUNCTION("""COMPUTED_VALUE"""),1409714.0)</f>
        <v>1409714</v>
      </c>
    </row>
    <row r="1292">
      <c r="A1292" s="2">
        <f>IFERROR(__xludf.DUMMYFUNCTION("""COMPUTED_VALUE"""),43910.64583333333)</f>
        <v>43910.64583</v>
      </c>
      <c r="B1292" s="1">
        <f>IFERROR(__xludf.DUMMYFUNCTION("""COMPUTED_VALUE"""),1135.0)</f>
        <v>1135</v>
      </c>
      <c r="C1292" s="1">
        <f>IFERROR(__xludf.DUMMYFUNCTION("""COMPUTED_VALUE"""),1290.0)</f>
        <v>1290</v>
      </c>
      <c r="D1292" s="1">
        <f>IFERROR(__xludf.DUMMYFUNCTION("""COMPUTED_VALUE"""),1135.0)</f>
        <v>1135</v>
      </c>
      <c r="E1292" s="1">
        <f>IFERROR(__xludf.DUMMYFUNCTION("""COMPUTED_VALUE"""),1280.0)</f>
        <v>1280</v>
      </c>
      <c r="F1292" s="1">
        <f>IFERROR(__xludf.DUMMYFUNCTION("""COMPUTED_VALUE"""),844517.0)</f>
        <v>844517</v>
      </c>
    </row>
    <row r="1293">
      <c r="A1293" s="2">
        <f>IFERROR(__xludf.DUMMYFUNCTION("""COMPUTED_VALUE"""),43913.64583333333)</f>
        <v>43913.64583</v>
      </c>
      <c r="B1293" s="1">
        <f>IFERROR(__xludf.DUMMYFUNCTION("""COMPUTED_VALUE"""),1155.0)</f>
        <v>1155</v>
      </c>
      <c r="C1293" s="1">
        <f>IFERROR(__xludf.DUMMYFUNCTION("""COMPUTED_VALUE"""),1245.0)</f>
        <v>1245</v>
      </c>
      <c r="D1293" s="1">
        <f>IFERROR(__xludf.DUMMYFUNCTION("""COMPUTED_VALUE"""),1155.0)</f>
        <v>1155</v>
      </c>
      <c r="E1293" s="1">
        <f>IFERROR(__xludf.DUMMYFUNCTION("""COMPUTED_VALUE"""),1185.0)</f>
        <v>1185</v>
      </c>
      <c r="F1293" s="1">
        <f>IFERROR(__xludf.DUMMYFUNCTION("""COMPUTED_VALUE"""),574995.0)</f>
        <v>574995</v>
      </c>
    </row>
    <row r="1294">
      <c r="A1294" s="2">
        <f>IFERROR(__xludf.DUMMYFUNCTION("""COMPUTED_VALUE"""),43914.64583333333)</f>
        <v>43914.64583</v>
      </c>
      <c r="B1294" s="1">
        <f>IFERROR(__xludf.DUMMYFUNCTION("""COMPUTED_VALUE"""),1245.0)</f>
        <v>1245</v>
      </c>
      <c r="C1294" s="1">
        <f>IFERROR(__xludf.DUMMYFUNCTION("""COMPUTED_VALUE"""),1280.0)</f>
        <v>1280</v>
      </c>
      <c r="D1294" s="1">
        <f>IFERROR(__xludf.DUMMYFUNCTION("""COMPUTED_VALUE"""),1200.0)</f>
        <v>1200</v>
      </c>
      <c r="E1294" s="1">
        <f>IFERROR(__xludf.DUMMYFUNCTION("""COMPUTED_VALUE"""),1280.0)</f>
        <v>1280</v>
      </c>
      <c r="F1294" s="1">
        <f>IFERROR(__xludf.DUMMYFUNCTION("""COMPUTED_VALUE"""),520130.0)</f>
        <v>520130</v>
      </c>
    </row>
    <row r="1295">
      <c r="A1295" s="2">
        <f>IFERROR(__xludf.DUMMYFUNCTION("""COMPUTED_VALUE"""),43915.64583333333)</f>
        <v>43915.64583</v>
      </c>
      <c r="B1295" s="1">
        <f>IFERROR(__xludf.DUMMYFUNCTION("""COMPUTED_VALUE"""),1330.0)</f>
        <v>1330</v>
      </c>
      <c r="C1295" s="1">
        <f>IFERROR(__xludf.DUMMYFUNCTION("""COMPUTED_VALUE"""),1415.0)</f>
        <v>1415</v>
      </c>
      <c r="D1295" s="1">
        <f>IFERROR(__xludf.DUMMYFUNCTION("""COMPUTED_VALUE"""),1305.0)</f>
        <v>1305</v>
      </c>
      <c r="E1295" s="1">
        <f>IFERROR(__xludf.DUMMYFUNCTION("""COMPUTED_VALUE"""),1370.0)</f>
        <v>1370</v>
      </c>
      <c r="F1295" s="1">
        <f>IFERROR(__xludf.DUMMYFUNCTION("""COMPUTED_VALUE"""),1053289.0)</f>
        <v>1053289</v>
      </c>
    </row>
    <row r="1296">
      <c r="A1296" s="2">
        <f>IFERROR(__xludf.DUMMYFUNCTION("""COMPUTED_VALUE"""),43916.64583333333)</f>
        <v>43916.64583</v>
      </c>
      <c r="B1296" s="1">
        <f>IFERROR(__xludf.DUMMYFUNCTION("""COMPUTED_VALUE"""),1380.0)</f>
        <v>1380</v>
      </c>
      <c r="C1296" s="1">
        <f>IFERROR(__xludf.DUMMYFUNCTION("""COMPUTED_VALUE"""),1475.0)</f>
        <v>1475</v>
      </c>
      <c r="D1296" s="1">
        <f>IFERROR(__xludf.DUMMYFUNCTION("""COMPUTED_VALUE"""),1340.0)</f>
        <v>1340</v>
      </c>
      <c r="E1296" s="1">
        <f>IFERROR(__xludf.DUMMYFUNCTION("""COMPUTED_VALUE"""),1450.0)</f>
        <v>1450</v>
      </c>
      <c r="F1296" s="1">
        <f>IFERROR(__xludf.DUMMYFUNCTION("""COMPUTED_VALUE"""),1406964.0)</f>
        <v>1406964</v>
      </c>
    </row>
    <row r="1297">
      <c r="A1297" s="2">
        <f>IFERROR(__xludf.DUMMYFUNCTION("""COMPUTED_VALUE"""),43917.64583333333)</f>
        <v>43917.64583</v>
      </c>
      <c r="B1297" s="1">
        <f>IFERROR(__xludf.DUMMYFUNCTION("""COMPUTED_VALUE"""),1510.0)</f>
        <v>1510</v>
      </c>
      <c r="C1297" s="1">
        <f>IFERROR(__xludf.DUMMYFUNCTION("""COMPUTED_VALUE"""),1540.0)</f>
        <v>1540</v>
      </c>
      <c r="D1297" s="1">
        <f>IFERROR(__xludf.DUMMYFUNCTION("""COMPUTED_VALUE"""),1385.0)</f>
        <v>1385</v>
      </c>
      <c r="E1297" s="1">
        <f>IFERROR(__xludf.DUMMYFUNCTION("""COMPUTED_VALUE"""),1460.0)</f>
        <v>1460</v>
      </c>
      <c r="F1297" s="1">
        <f>IFERROR(__xludf.DUMMYFUNCTION("""COMPUTED_VALUE"""),1729875.0)</f>
        <v>1729875</v>
      </c>
    </row>
    <row r="1298">
      <c r="A1298" s="2">
        <f>IFERROR(__xludf.DUMMYFUNCTION("""COMPUTED_VALUE"""),43920.64583333333)</f>
        <v>43920.64583</v>
      </c>
      <c r="B1298" s="1">
        <f>IFERROR(__xludf.DUMMYFUNCTION("""COMPUTED_VALUE"""),1410.0)</f>
        <v>1410</v>
      </c>
      <c r="C1298" s="1">
        <f>IFERROR(__xludf.DUMMYFUNCTION("""COMPUTED_VALUE"""),1505.0)</f>
        <v>1505</v>
      </c>
      <c r="D1298" s="1">
        <f>IFERROR(__xludf.DUMMYFUNCTION("""COMPUTED_VALUE"""),1300.0)</f>
        <v>1300</v>
      </c>
      <c r="E1298" s="1">
        <f>IFERROR(__xludf.DUMMYFUNCTION("""COMPUTED_VALUE"""),1505.0)</f>
        <v>1505</v>
      </c>
      <c r="F1298" s="1">
        <f>IFERROR(__xludf.DUMMYFUNCTION("""COMPUTED_VALUE"""),1120695.0)</f>
        <v>1120695</v>
      </c>
    </row>
    <row r="1299">
      <c r="A1299" s="2">
        <f>IFERROR(__xludf.DUMMYFUNCTION("""COMPUTED_VALUE"""),43921.64583333333)</f>
        <v>43921.64583</v>
      </c>
      <c r="B1299" s="1">
        <f>IFERROR(__xludf.DUMMYFUNCTION("""COMPUTED_VALUE"""),1555.0)</f>
        <v>1555</v>
      </c>
      <c r="C1299" s="1">
        <f>IFERROR(__xludf.DUMMYFUNCTION("""COMPUTED_VALUE"""),1600.0)</f>
        <v>1600</v>
      </c>
      <c r="D1299" s="1">
        <f>IFERROR(__xludf.DUMMYFUNCTION("""COMPUTED_VALUE"""),1505.0)</f>
        <v>1505</v>
      </c>
      <c r="E1299" s="1">
        <f>IFERROR(__xludf.DUMMYFUNCTION("""COMPUTED_VALUE"""),1580.0)</f>
        <v>1580</v>
      </c>
      <c r="F1299" s="1">
        <f>IFERROR(__xludf.DUMMYFUNCTION("""COMPUTED_VALUE"""),1405030.0)</f>
        <v>1405030</v>
      </c>
    </row>
    <row r="1300">
      <c r="A1300" s="2">
        <f>IFERROR(__xludf.DUMMYFUNCTION("""COMPUTED_VALUE"""),43922.64583333333)</f>
        <v>43922.64583</v>
      </c>
      <c r="B1300" s="1">
        <f>IFERROR(__xludf.DUMMYFUNCTION("""COMPUTED_VALUE"""),1600.0)</f>
        <v>1600</v>
      </c>
      <c r="C1300" s="1">
        <f>IFERROR(__xludf.DUMMYFUNCTION("""COMPUTED_VALUE"""),1840.0)</f>
        <v>1840</v>
      </c>
      <c r="D1300" s="1">
        <f>IFERROR(__xludf.DUMMYFUNCTION("""COMPUTED_VALUE"""),1540.0)</f>
        <v>1540</v>
      </c>
      <c r="E1300" s="1">
        <f>IFERROR(__xludf.DUMMYFUNCTION("""COMPUTED_VALUE"""),1715.0)</f>
        <v>1715</v>
      </c>
      <c r="F1300" s="1">
        <f>IFERROR(__xludf.DUMMYFUNCTION("""COMPUTED_VALUE"""),4193105.0)</f>
        <v>4193105</v>
      </c>
    </row>
    <row r="1301">
      <c r="A1301" s="2">
        <f>IFERROR(__xludf.DUMMYFUNCTION("""COMPUTED_VALUE"""),43923.64583333333)</f>
        <v>43923.64583</v>
      </c>
      <c r="B1301" s="1">
        <f>IFERROR(__xludf.DUMMYFUNCTION("""COMPUTED_VALUE"""),1705.0)</f>
        <v>1705</v>
      </c>
      <c r="C1301" s="1">
        <f>IFERROR(__xludf.DUMMYFUNCTION("""COMPUTED_VALUE"""),1975.0)</f>
        <v>1975</v>
      </c>
      <c r="D1301" s="1">
        <f>IFERROR(__xludf.DUMMYFUNCTION("""COMPUTED_VALUE"""),1620.0)</f>
        <v>1620</v>
      </c>
      <c r="E1301" s="1">
        <f>IFERROR(__xludf.DUMMYFUNCTION("""COMPUTED_VALUE"""),1790.0)</f>
        <v>1790</v>
      </c>
      <c r="F1301" s="1">
        <f>IFERROR(__xludf.DUMMYFUNCTION("""COMPUTED_VALUE"""),3838362.0)</f>
        <v>3838362</v>
      </c>
    </row>
    <row r="1302">
      <c r="A1302" s="2">
        <f>IFERROR(__xludf.DUMMYFUNCTION("""COMPUTED_VALUE"""),43924.64583333333)</f>
        <v>43924.64583</v>
      </c>
      <c r="B1302" s="1">
        <f>IFERROR(__xludf.DUMMYFUNCTION("""COMPUTED_VALUE"""),1820.0)</f>
        <v>1820</v>
      </c>
      <c r="C1302" s="1">
        <f>IFERROR(__xludf.DUMMYFUNCTION("""COMPUTED_VALUE"""),1900.0)</f>
        <v>1900</v>
      </c>
      <c r="D1302" s="1">
        <f>IFERROR(__xludf.DUMMYFUNCTION("""COMPUTED_VALUE"""),1760.0)</f>
        <v>1760</v>
      </c>
      <c r="E1302" s="1">
        <f>IFERROR(__xludf.DUMMYFUNCTION("""COMPUTED_VALUE"""),1825.0)</f>
        <v>1825</v>
      </c>
      <c r="F1302" s="1">
        <f>IFERROR(__xludf.DUMMYFUNCTION("""COMPUTED_VALUE"""),1876899.0)</f>
        <v>1876899</v>
      </c>
    </row>
    <row r="1303">
      <c r="A1303" s="2">
        <f>IFERROR(__xludf.DUMMYFUNCTION("""COMPUTED_VALUE"""),43927.64583333333)</f>
        <v>43927.64583</v>
      </c>
      <c r="B1303" s="1">
        <f>IFERROR(__xludf.DUMMYFUNCTION("""COMPUTED_VALUE"""),1830.0)</f>
        <v>1830</v>
      </c>
      <c r="C1303" s="1">
        <f>IFERROR(__xludf.DUMMYFUNCTION("""COMPUTED_VALUE"""),2225.0)</f>
        <v>2225</v>
      </c>
      <c r="D1303" s="1">
        <f>IFERROR(__xludf.DUMMYFUNCTION("""COMPUTED_VALUE"""),1780.0)</f>
        <v>1780</v>
      </c>
      <c r="E1303" s="1">
        <f>IFERROR(__xludf.DUMMYFUNCTION("""COMPUTED_VALUE"""),2050.0)</f>
        <v>2050</v>
      </c>
      <c r="F1303" s="1">
        <f>IFERROR(__xludf.DUMMYFUNCTION("""COMPUTED_VALUE"""),1.1733263E7)</f>
        <v>11733263</v>
      </c>
    </row>
    <row r="1304">
      <c r="A1304" s="2">
        <f>IFERROR(__xludf.DUMMYFUNCTION("""COMPUTED_VALUE"""),43928.64583333333)</f>
        <v>43928.64583</v>
      </c>
      <c r="B1304" s="1">
        <f>IFERROR(__xludf.DUMMYFUNCTION("""COMPUTED_VALUE"""),2160.0)</f>
        <v>2160</v>
      </c>
      <c r="C1304" s="1">
        <f>IFERROR(__xludf.DUMMYFUNCTION("""COMPUTED_VALUE"""),2160.0)</f>
        <v>2160</v>
      </c>
      <c r="D1304" s="1">
        <f>IFERROR(__xludf.DUMMYFUNCTION("""COMPUTED_VALUE"""),2005.0)</f>
        <v>2005</v>
      </c>
      <c r="E1304" s="1">
        <f>IFERROR(__xludf.DUMMYFUNCTION("""COMPUTED_VALUE"""),2085.0)</f>
        <v>2085</v>
      </c>
      <c r="F1304" s="1">
        <f>IFERROR(__xludf.DUMMYFUNCTION("""COMPUTED_VALUE"""),3592997.0)</f>
        <v>3592997</v>
      </c>
    </row>
    <row r="1305">
      <c r="A1305" s="2">
        <f>IFERROR(__xludf.DUMMYFUNCTION("""COMPUTED_VALUE"""),43929.64583333333)</f>
        <v>43929.64583</v>
      </c>
      <c r="B1305" s="1">
        <f>IFERROR(__xludf.DUMMYFUNCTION("""COMPUTED_VALUE"""),2105.0)</f>
        <v>2105</v>
      </c>
      <c r="C1305" s="1">
        <f>IFERROR(__xludf.DUMMYFUNCTION("""COMPUTED_VALUE"""),2110.0)</f>
        <v>2110</v>
      </c>
      <c r="D1305" s="1">
        <f>IFERROR(__xludf.DUMMYFUNCTION("""COMPUTED_VALUE"""),2010.0)</f>
        <v>2010</v>
      </c>
      <c r="E1305" s="1">
        <f>IFERROR(__xludf.DUMMYFUNCTION("""COMPUTED_VALUE"""),2090.0)</f>
        <v>2090</v>
      </c>
      <c r="F1305" s="1">
        <f>IFERROR(__xludf.DUMMYFUNCTION("""COMPUTED_VALUE"""),1657103.0)</f>
        <v>1657103</v>
      </c>
    </row>
    <row r="1306">
      <c r="A1306" s="2">
        <f>IFERROR(__xludf.DUMMYFUNCTION("""COMPUTED_VALUE"""),43930.64583333333)</f>
        <v>43930.64583</v>
      </c>
      <c r="B1306" s="1">
        <f>IFERROR(__xludf.DUMMYFUNCTION("""COMPUTED_VALUE"""),2130.0)</f>
        <v>2130</v>
      </c>
      <c r="C1306" s="1">
        <f>IFERROR(__xludf.DUMMYFUNCTION("""COMPUTED_VALUE"""),2150.0)</f>
        <v>2150</v>
      </c>
      <c r="D1306" s="1">
        <f>IFERROR(__xludf.DUMMYFUNCTION("""COMPUTED_VALUE"""),2080.0)</f>
        <v>2080</v>
      </c>
      <c r="E1306" s="1">
        <f>IFERROR(__xludf.DUMMYFUNCTION("""COMPUTED_VALUE"""),2100.0)</f>
        <v>2100</v>
      </c>
      <c r="F1306" s="1">
        <f>IFERROR(__xludf.DUMMYFUNCTION("""COMPUTED_VALUE"""),1613651.0)</f>
        <v>1613651</v>
      </c>
    </row>
    <row r="1307">
      <c r="A1307" s="2">
        <f>IFERROR(__xludf.DUMMYFUNCTION("""COMPUTED_VALUE"""),43931.64583333333)</f>
        <v>43931.64583</v>
      </c>
      <c r="B1307" s="1">
        <f>IFERROR(__xludf.DUMMYFUNCTION("""COMPUTED_VALUE"""),2450.0)</f>
        <v>2450</v>
      </c>
      <c r="C1307" s="1">
        <f>IFERROR(__xludf.DUMMYFUNCTION("""COMPUTED_VALUE"""),2540.0)</f>
        <v>2540</v>
      </c>
      <c r="D1307" s="1">
        <f>IFERROR(__xludf.DUMMYFUNCTION("""COMPUTED_VALUE"""),2170.0)</f>
        <v>2170</v>
      </c>
      <c r="E1307" s="1">
        <f>IFERROR(__xludf.DUMMYFUNCTION("""COMPUTED_VALUE"""),2185.0)</f>
        <v>2185</v>
      </c>
      <c r="F1307" s="1">
        <f>IFERROR(__xludf.DUMMYFUNCTION("""COMPUTED_VALUE"""),1.5218029E7)</f>
        <v>15218029</v>
      </c>
    </row>
    <row r="1308">
      <c r="A1308" s="2">
        <f>IFERROR(__xludf.DUMMYFUNCTION("""COMPUTED_VALUE"""),43934.64583333333)</f>
        <v>43934.64583</v>
      </c>
      <c r="B1308" s="1">
        <f>IFERROR(__xludf.DUMMYFUNCTION("""COMPUTED_VALUE"""),2200.0)</f>
        <v>2200</v>
      </c>
      <c r="C1308" s="1">
        <f>IFERROR(__xludf.DUMMYFUNCTION("""COMPUTED_VALUE"""),2250.0)</f>
        <v>2250</v>
      </c>
      <c r="D1308" s="1">
        <f>IFERROR(__xludf.DUMMYFUNCTION("""COMPUTED_VALUE"""),2070.0)</f>
        <v>2070</v>
      </c>
      <c r="E1308" s="1">
        <f>IFERROR(__xludf.DUMMYFUNCTION("""COMPUTED_VALUE"""),2070.0)</f>
        <v>2070</v>
      </c>
      <c r="F1308" s="1">
        <f>IFERROR(__xludf.DUMMYFUNCTION("""COMPUTED_VALUE"""),1455055.0)</f>
        <v>1455055</v>
      </c>
    </row>
    <row r="1309">
      <c r="A1309" s="2">
        <f>IFERROR(__xludf.DUMMYFUNCTION("""COMPUTED_VALUE"""),43935.64583333333)</f>
        <v>43935.64583</v>
      </c>
      <c r="B1309" s="1">
        <f>IFERROR(__xludf.DUMMYFUNCTION("""COMPUTED_VALUE"""),2085.0)</f>
        <v>2085</v>
      </c>
      <c r="C1309" s="1">
        <f>IFERROR(__xludf.DUMMYFUNCTION("""COMPUTED_VALUE"""),2170.0)</f>
        <v>2170</v>
      </c>
      <c r="D1309" s="1">
        <f>IFERROR(__xludf.DUMMYFUNCTION("""COMPUTED_VALUE"""),2085.0)</f>
        <v>2085</v>
      </c>
      <c r="E1309" s="1">
        <f>IFERROR(__xludf.DUMMYFUNCTION("""COMPUTED_VALUE"""),2140.0)</f>
        <v>2140</v>
      </c>
      <c r="F1309" s="1">
        <f>IFERROR(__xludf.DUMMYFUNCTION("""COMPUTED_VALUE"""),1126237.0)</f>
        <v>1126237</v>
      </c>
    </row>
    <row r="1310">
      <c r="A1310" s="2">
        <f>IFERROR(__xludf.DUMMYFUNCTION("""COMPUTED_VALUE"""),43937.64583333333)</f>
        <v>43937.64583</v>
      </c>
      <c r="B1310" s="1">
        <f>IFERROR(__xludf.DUMMYFUNCTION("""COMPUTED_VALUE"""),2125.0)</f>
        <v>2125</v>
      </c>
      <c r="C1310" s="1">
        <f>IFERROR(__xludf.DUMMYFUNCTION("""COMPUTED_VALUE"""),2325.0)</f>
        <v>2325</v>
      </c>
      <c r="D1310" s="1">
        <f>IFERROR(__xludf.DUMMYFUNCTION("""COMPUTED_VALUE"""),2070.0)</f>
        <v>2070</v>
      </c>
      <c r="E1310" s="1">
        <f>IFERROR(__xludf.DUMMYFUNCTION("""COMPUTED_VALUE"""),2235.0)</f>
        <v>2235</v>
      </c>
      <c r="F1310" s="1">
        <f>IFERROR(__xludf.DUMMYFUNCTION("""COMPUTED_VALUE"""),2435994.0)</f>
        <v>2435994</v>
      </c>
    </row>
    <row r="1311">
      <c r="A1311" s="2">
        <f>IFERROR(__xludf.DUMMYFUNCTION("""COMPUTED_VALUE"""),43938.64583333333)</f>
        <v>43938.64583</v>
      </c>
      <c r="B1311" s="1">
        <f>IFERROR(__xludf.DUMMYFUNCTION("""COMPUTED_VALUE"""),2245.0)</f>
        <v>2245</v>
      </c>
      <c r="C1311" s="1">
        <f>IFERROR(__xludf.DUMMYFUNCTION("""COMPUTED_VALUE"""),2355.0)</f>
        <v>2355</v>
      </c>
      <c r="D1311" s="1">
        <f>IFERROR(__xludf.DUMMYFUNCTION("""COMPUTED_VALUE"""),2215.0)</f>
        <v>2215</v>
      </c>
      <c r="E1311" s="1">
        <f>IFERROR(__xludf.DUMMYFUNCTION("""COMPUTED_VALUE"""),2270.0)</f>
        <v>2270</v>
      </c>
      <c r="F1311" s="1">
        <f>IFERROR(__xludf.DUMMYFUNCTION("""COMPUTED_VALUE"""),2239972.0)</f>
        <v>2239972</v>
      </c>
    </row>
    <row r="1312">
      <c r="A1312" s="2">
        <f>IFERROR(__xludf.DUMMYFUNCTION("""COMPUTED_VALUE"""),43941.64583333333)</f>
        <v>43941.64583</v>
      </c>
      <c r="B1312" s="1">
        <f>IFERROR(__xludf.DUMMYFUNCTION("""COMPUTED_VALUE"""),2330.0)</f>
        <v>2330</v>
      </c>
      <c r="C1312" s="1">
        <f>IFERROR(__xludf.DUMMYFUNCTION("""COMPUTED_VALUE"""),2385.0)</f>
        <v>2385</v>
      </c>
      <c r="D1312" s="1">
        <f>IFERROR(__xludf.DUMMYFUNCTION("""COMPUTED_VALUE"""),2270.0)</f>
        <v>2270</v>
      </c>
      <c r="E1312" s="1">
        <f>IFERROR(__xludf.DUMMYFUNCTION("""COMPUTED_VALUE"""),2340.0)</f>
        <v>2340</v>
      </c>
      <c r="F1312" s="1">
        <f>IFERROR(__xludf.DUMMYFUNCTION("""COMPUTED_VALUE"""),2095198.0)</f>
        <v>2095198</v>
      </c>
    </row>
    <row r="1313">
      <c r="A1313" s="2">
        <f>IFERROR(__xludf.DUMMYFUNCTION("""COMPUTED_VALUE"""),43942.64583333333)</f>
        <v>43942.64583</v>
      </c>
      <c r="B1313" s="1">
        <f>IFERROR(__xludf.DUMMYFUNCTION("""COMPUTED_VALUE"""),2445.0)</f>
        <v>2445</v>
      </c>
      <c r="C1313" s="1">
        <f>IFERROR(__xludf.DUMMYFUNCTION("""COMPUTED_VALUE"""),2565.0)</f>
        <v>2565</v>
      </c>
      <c r="D1313" s="1">
        <f>IFERROR(__xludf.DUMMYFUNCTION("""COMPUTED_VALUE"""),2205.0)</f>
        <v>2205</v>
      </c>
      <c r="E1313" s="1">
        <f>IFERROR(__xludf.DUMMYFUNCTION("""COMPUTED_VALUE"""),2350.0)</f>
        <v>2350</v>
      </c>
      <c r="F1313" s="1">
        <f>IFERROR(__xludf.DUMMYFUNCTION("""COMPUTED_VALUE"""),1.144707E7)</f>
        <v>11447070</v>
      </c>
    </row>
    <row r="1314">
      <c r="A1314" s="2">
        <f>IFERROR(__xludf.DUMMYFUNCTION("""COMPUTED_VALUE"""),43943.64583333333)</f>
        <v>43943.64583</v>
      </c>
      <c r="B1314" s="1">
        <f>IFERROR(__xludf.DUMMYFUNCTION("""COMPUTED_VALUE"""),2340.0)</f>
        <v>2340</v>
      </c>
      <c r="C1314" s="1">
        <f>IFERROR(__xludf.DUMMYFUNCTION("""COMPUTED_VALUE"""),2415.0)</f>
        <v>2415</v>
      </c>
      <c r="D1314" s="1">
        <f>IFERROR(__xludf.DUMMYFUNCTION("""COMPUTED_VALUE"""),2270.0)</f>
        <v>2270</v>
      </c>
      <c r="E1314" s="1">
        <f>IFERROR(__xludf.DUMMYFUNCTION("""COMPUTED_VALUE"""),2380.0)</f>
        <v>2380</v>
      </c>
      <c r="F1314" s="1">
        <f>IFERROR(__xludf.DUMMYFUNCTION("""COMPUTED_VALUE"""),1536364.0)</f>
        <v>1536364</v>
      </c>
    </row>
    <row r="1315">
      <c r="A1315" s="2">
        <f>IFERROR(__xludf.DUMMYFUNCTION("""COMPUTED_VALUE"""),43944.64583333333)</f>
        <v>43944.64583</v>
      </c>
      <c r="B1315" s="1">
        <f>IFERROR(__xludf.DUMMYFUNCTION("""COMPUTED_VALUE"""),2500.0)</f>
        <v>2500</v>
      </c>
      <c r="C1315" s="1">
        <f>IFERROR(__xludf.DUMMYFUNCTION("""COMPUTED_VALUE"""),2565.0)</f>
        <v>2565</v>
      </c>
      <c r="D1315" s="1">
        <f>IFERROR(__xludf.DUMMYFUNCTION("""COMPUTED_VALUE"""),2435.0)</f>
        <v>2435</v>
      </c>
      <c r="E1315" s="1">
        <f>IFERROR(__xludf.DUMMYFUNCTION("""COMPUTED_VALUE"""),2445.0)</f>
        <v>2445</v>
      </c>
      <c r="F1315" s="1">
        <f>IFERROR(__xludf.DUMMYFUNCTION("""COMPUTED_VALUE"""),3548217.0)</f>
        <v>3548217</v>
      </c>
    </row>
    <row r="1316">
      <c r="A1316" s="2">
        <f>IFERROR(__xludf.DUMMYFUNCTION("""COMPUTED_VALUE"""),43945.64583333333)</f>
        <v>43945.64583</v>
      </c>
      <c r="B1316" s="1">
        <f>IFERROR(__xludf.DUMMYFUNCTION("""COMPUTED_VALUE"""),2445.0)</f>
        <v>2445</v>
      </c>
      <c r="C1316" s="1">
        <f>IFERROR(__xludf.DUMMYFUNCTION("""COMPUTED_VALUE"""),2545.0)</f>
        <v>2545</v>
      </c>
      <c r="D1316" s="1">
        <f>IFERROR(__xludf.DUMMYFUNCTION("""COMPUTED_VALUE"""),2370.0)</f>
        <v>2370</v>
      </c>
      <c r="E1316" s="1">
        <f>IFERROR(__xludf.DUMMYFUNCTION("""COMPUTED_VALUE"""),2425.0)</f>
        <v>2425</v>
      </c>
      <c r="F1316" s="1">
        <f>IFERROR(__xludf.DUMMYFUNCTION("""COMPUTED_VALUE"""),2765088.0)</f>
        <v>2765088</v>
      </c>
    </row>
    <row r="1317">
      <c r="A1317" s="2">
        <f>IFERROR(__xludf.DUMMYFUNCTION("""COMPUTED_VALUE"""),43948.64583333333)</f>
        <v>43948.64583</v>
      </c>
      <c r="B1317" s="1">
        <f>IFERROR(__xludf.DUMMYFUNCTION("""COMPUTED_VALUE"""),2465.0)</f>
        <v>2465</v>
      </c>
      <c r="C1317" s="1">
        <f>IFERROR(__xludf.DUMMYFUNCTION("""COMPUTED_VALUE"""),2535.0)</f>
        <v>2535</v>
      </c>
      <c r="D1317" s="1">
        <f>IFERROR(__xludf.DUMMYFUNCTION("""COMPUTED_VALUE"""),2440.0)</f>
        <v>2440</v>
      </c>
      <c r="E1317" s="1">
        <f>IFERROR(__xludf.DUMMYFUNCTION("""COMPUTED_VALUE"""),2505.0)</f>
        <v>2505</v>
      </c>
      <c r="F1317" s="1">
        <f>IFERROR(__xludf.DUMMYFUNCTION("""COMPUTED_VALUE"""),1999510.0)</f>
        <v>1999510</v>
      </c>
    </row>
    <row r="1318">
      <c r="A1318" s="2">
        <f>IFERROR(__xludf.DUMMYFUNCTION("""COMPUTED_VALUE"""),43949.64583333333)</f>
        <v>43949.64583</v>
      </c>
      <c r="B1318" s="1">
        <f>IFERROR(__xludf.DUMMYFUNCTION("""COMPUTED_VALUE"""),2515.0)</f>
        <v>2515</v>
      </c>
      <c r="C1318" s="1">
        <f>IFERROR(__xludf.DUMMYFUNCTION("""COMPUTED_VALUE"""),2530.0)</f>
        <v>2530</v>
      </c>
      <c r="D1318" s="1">
        <f>IFERROR(__xludf.DUMMYFUNCTION("""COMPUTED_VALUE"""),2400.0)</f>
        <v>2400</v>
      </c>
      <c r="E1318" s="1">
        <f>IFERROR(__xludf.DUMMYFUNCTION("""COMPUTED_VALUE"""),2505.0)</f>
        <v>2505</v>
      </c>
      <c r="F1318" s="1">
        <f>IFERROR(__xludf.DUMMYFUNCTION("""COMPUTED_VALUE"""),1482722.0)</f>
        <v>1482722</v>
      </c>
    </row>
    <row r="1319">
      <c r="A1319" s="2">
        <f>IFERROR(__xludf.DUMMYFUNCTION("""COMPUTED_VALUE"""),43950.64583333333)</f>
        <v>43950.64583</v>
      </c>
      <c r="B1319" s="1">
        <f>IFERROR(__xludf.DUMMYFUNCTION("""COMPUTED_VALUE"""),2495.0)</f>
        <v>2495</v>
      </c>
      <c r="C1319" s="1">
        <f>IFERROR(__xludf.DUMMYFUNCTION("""COMPUTED_VALUE"""),2520.0)</f>
        <v>2520</v>
      </c>
      <c r="D1319" s="1">
        <f>IFERROR(__xludf.DUMMYFUNCTION("""COMPUTED_VALUE"""),2455.0)</f>
        <v>2455</v>
      </c>
      <c r="E1319" s="1">
        <f>IFERROR(__xludf.DUMMYFUNCTION("""COMPUTED_VALUE"""),2460.0)</f>
        <v>2460</v>
      </c>
      <c r="F1319" s="1">
        <f>IFERROR(__xludf.DUMMYFUNCTION("""COMPUTED_VALUE"""),715078.0)</f>
        <v>715078</v>
      </c>
    </row>
    <row r="1320">
      <c r="A1320" s="2">
        <f>IFERROR(__xludf.DUMMYFUNCTION("""COMPUTED_VALUE"""),43955.64583333333)</f>
        <v>43955.64583</v>
      </c>
      <c r="B1320" s="1">
        <f>IFERROR(__xludf.DUMMYFUNCTION("""COMPUTED_VALUE"""),2440.0)</f>
        <v>2440</v>
      </c>
      <c r="C1320" s="1">
        <f>IFERROR(__xludf.DUMMYFUNCTION("""COMPUTED_VALUE"""),2485.0)</f>
        <v>2485</v>
      </c>
      <c r="D1320" s="1">
        <f>IFERROR(__xludf.DUMMYFUNCTION("""COMPUTED_VALUE"""),2400.0)</f>
        <v>2400</v>
      </c>
      <c r="E1320" s="1">
        <f>IFERROR(__xludf.DUMMYFUNCTION("""COMPUTED_VALUE"""),2430.0)</f>
        <v>2430</v>
      </c>
      <c r="F1320" s="1">
        <f>IFERROR(__xludf.DUMMYFUNCTION("""COMPUTED_VALUE"""),592187.0)</f>
        <v>592187</v>
      </c>
    </row>
    <row r="1321">
      <c r="A1321" s="2">
        <f>IFERROR(__xludf.DUMMYFUNCTION("""COMPUTED_VALUE"""),43957.64583333333)</f>
        <v>43957.64583</v>
      </c>
      <c r="B1321" s="1">
        <f>IFERROR(__xludf.DUMMYFUNCTION("""COMPUTED_VALUE"""),2485.0)</f>
        <v>2485</v>
      </c>
      <c r="C1321" s="1">
        <f>IFERROR(__xludf.DUMMYFUNCTION("""COMPUTED_VALUE"""),2640.0)</f>
        <v>2640</v>
      </c>
      <c r="D1321" s="1">
        <f>IFERROR(__xludf.DUMMYFUNCTION("""COMPUTED_VALUE"""),2445.0)</f>
        <v>2445</v>
      </c>
      <c r="E1321" s="1">
        <f>IFERROR(__xludf.DUMMYFUNCTION("""COMPUTED_VALUE"""),2640.0)</f>
        <v>2640</v>
      </c>
      <c r="F1321" s="1">
        <f>IFERROR(__xludf.DUMMYFUNCTION("""COMPUTED_VALUE"""),3530289.0)</f>
        <v>3530289</v>
      </c>
    </row>
    <row r="1322">
      <c r="A1322" s="2">
        <f>IFERROR(__xludf.DUMMYFUNCTION("""COMPUTED_VALUE"""),43958.64583333333)</f>
        <v>43958.64583</v>
      </c>
      <c r="B1322" s="1">
        <f>IFERROR(__xludf.DUMMYFUNCTION("""COMPUTED_VALUE"""),2650.0)</f>
        <v>2650</v>
      </c>
      <c r="C1322" s="1">
        <f>IFERROR(__xludf.DUMMYFUNCTION("""COMPUTED_VALUE"""),2955.0)</f>
        <v>2955</v>
      </c>
      <c r="D1322" s="1">
        <f>IFERROR(__xludf.DUMMYFUNCTION("""COMPUTED_VALUE"""),2645.0)</f>
        <v>2645</v>
      </c>
      <c r="E1322" s="1">
        <f>IFERROR(__xludf.DUMMYFUNCTION("""COMPUTED_VALUE"""),2715.0)</f>
        <v>2715</v>
      </c>
      <c r="F1322" s="1">
        <f>IFERROR(__xludf.DUMMYFUNCTION("""COMPUTED_VALUE"""),1.5562513E7)</f>
        <v>15562513</v>
      </c>
    </row>
    <row r="1323">
      <c r="A1323" s="2">
        <f>IFERROR(__xludf.DUMMYFUNCTION("""COMPUTED_VALUE"""),43959.64583333333)</f>
        <v>43959.64583</v>
      </c>
      <c r="B1323" s="1">
        <f>IFERROR(__xludf.DUMMYFUNCTION("""COMPUTED_VALUE"""),2725.0)</f>
        <v>2725</v>
      </c>
      <c r="C1323" s="1">
        <f>IFERROR(__xludf.DUMMYFUNCTION("""COMPUTED_VALUE"""),2765.0)</f>
        <v>2765</v>
      </c>
      <c r="D1323" s="1">
        <f>IFERROR(__xludf.DUMMYFUNCTION("""COMPUTED_VALUE"""),2660.0)</f>
        <v>2660</v>
      </c>
      <c r="E1323" s="1">
        <f>IFERROR(__xludf.DUMMYFUNCTION("""COMPUTED_VALUE"""),2680.0)</f>
        <v>2680</v>
      </c>
      <c r="F1323" s="1">
        <f>IFERROR(__xludf.DUMMYFUNCTION("""COMPUTED_VALUE"""),1822160.0)</f>
        <v>1822160</v>
      </c>
    </row>
    <row r="1324">
      <c r="A1324" s="2">
        <f>IFERROR(__xludf.DUMMYFUNCTION("""COMPUTED_VALUE"""),43962.64583333333)</f>
        <v>43962.64583</v>
      </c>
      <c r="B1324" s="1">
        <f>IFERROR(__xludf.DUMMYFUNCTION("""COMPUTED_VALUE"""),2730.0)</f>
        <v>2730</v>
      </c>
      <c r="C1324" s="1">
        <f>IFERROR(__xludf.DUMMYFUNCTION("""COMPUTED_VALUE"""),2875.0)</f>
        <v>2875</v>
      </c>
      <c r="D1324" s="1">
        <f>IFERROR(__xludf.DUMMYFUNCTION("""COMPUTED_VALUE"""),2690.0)</f>
        <v>2690</v>
      </c>
      <c r="E1324" s="1">
        <f>IFERROR(__xludf.DUMMYFUNCTION("""COMPUTED_VALUE"""),2815.0)</f>
        <v>2815</v>
      </c>
      <c r="F1324" s="1">
        <f>IFERROR(__xludf.DUMMYFUNCTION("""COMPUTED_VALUE"""),5739746.0)</f>
        <v>5739746</v>
      </c>
    </row>
    <row r="1325">
      <c r="A1325" s="2">
        <f>IFERROR(__xludf.DUMMYFUNCTION("""COMPUTED_VALUE"""),43963.64583333333)</f>
        <v>43963.64583</v>
      </c>
      <c r="B1325" s="1">
        <f>IFERROR(__xludf.DUMMYFUNCTION("""COMPUTED_VALUE"""),2870.0)</f>
        <v>2870</v>
      </c>
      <c r="C1325" s="1">
        <f>IFERROR(__xludf.DUMMYFUNCTION("""COMPUTED_VALUE"""),2970.0)</f>
        <v>2970</v>
      </c>
      <c r="D1325" s="1">
        <f>IFERROR(__xludf.DUMMYFUNCTION("""COMPUTED_VALUE"""),2740.0)</f>
        <v>2740</v>
      </c>
      <c r="E1325" s="1">
        <f>IFERROR(__xludf.DUMMYFUNCTION("""COMPUTED_VALUE"""),2885.0)</f>
        <v>2885</v>
      </c>
      <c r="F1325" s="1">
        <f>IFERROR(__xludf.DUMMYFUNCTION("""COMPUTED_VALUE"""),7214413.0)</f>
        <v>7214413</v>
      </c>
    </row>
    <row r="1326">
      <c r="A1326" s="2">
        <f>IFERROR(__xludf.DUMMYFUNCTION("""COMPUTED_VALUE"""),43964.64583333333)</f>
        <v>43964.64583</v>
      </c>
      <c r="B1326" s="1">
        <f>IFERROR(__xludf.DUMMYFUNCTION("""COMPUTED_VALUE"""),2850.0)</f>
        <v>2850</v>
      </c>
      <c r="C1326" s="1">
        <f>IFERROR(__xludf.DUMMYFUNCTION("""COMPUTED_VALUE"""),2910.0)</f>
        <v>2910</v>
      </c>
      <c r="D1326" s="1">
        <f>IFERROR(__xludf.DUMMYFUNCTION("""COMPUTED_VALUE"""),2650.0)</f>
        <v>2650</v>
      </c>
      <c r="E1326" s="1">
        <f>IFERROR(__xludf.DUMMYFUNCTION("""COMPUTED_VALUE"""),2855.0)</f>
        <v>2855</v>
      </c>
      <c r="F1326" s="1">
        <f>IFERROR(__xludf.DUMMYFUNCTION("""COMPUTED_VALUE"""),2301105.0)</f>
        <v>2301105</v>
      </c>
    </row>
    <row r="1327">
      <c r="A1327" s="2">
        <f>IFERROR(__xludf.DUMMYFUNCTION("""COMPUTED_VALUE"""),43965.64583333333)</f>
        <v>43965.64583</v>
      </c>
      <c r="B1327" s="1">
        <f>IFERROR(__xludf.DUMMYFUNCTION("""COMPUTED_VALUE"""),2830.0)</f>
        <v>2830</v>
      </c>
      <c r="C1327" s="1">
        <f>IFERROR(__xludf.DUMMYFUNCTION("""COMPUTED_VALUE"""),2925.0)</f>
        <v>2925</v>
      </c>
      <c r="D1327" s="1">
        <f>IFERROR(__xludf.DUMMYFUNCTION("""COMPUTED_VALUE"""),2820.0)</f>
        <v>2820</v>
      </c>
      <c r="E1327" s="1">
        <f>IFERROR(__xludf.DUMMYFUNCTION("""COMPUTED_VALUE"""),2870.0)</f>
        <v>2870</v>
      </c>
      <c r="F1327" s="1">
        <f>IFERROR(__xludf.DUMMYFUNCTION("""COMPUTED_VALUE"""),2477123.0)</f>
        <v>2477123</v>
      </c>
    </row>
    <row r="1328">
      <c r="A1328" s="2">
        <f>IFERROR(__xludf.DUMMYFUNCTION("""COMPUTED_VALUE"""),43966.64583333333)</f>
        <v>43966.64583</v>
      </c>
      <c r="B1328" s="1">
        <f>IFERROR(__xludf.DUMMYFUNCTION("""COMPUTED_VALUE"""),2880.0)</f>
        <v>2880</v>
      </c>
      <c r="C1328" s="1">
        <f>IFERROR(__xludf.DUMMYFUNCTION("""COMPUTED_VALUE"""),2910.0)</f>
        <v>2910</v>
      </c>
      <c r="D1328" s="1">
        <f>IFERROR(__xludf.DUMMYFUNCTION("""COMPUTED_VALUE"""),2800.0)</f>
        <v>2800</v>
      </c>
      <c r="E1328" s="1">
        <f>IFERROR(__xludf.DUMMYFUNCTION("""COMPUTED_VALUE"""),2840.0)</f>
        <v>2840</v>
      </c>
      <c r="F1328" s="1">
        <f>IFERROR(__xludf.DUMMYFUNCTION("""COMPUTED_VALUE"""),1578781.0)</f>
        <v>1578781</v>
      </c>
    </row>
    <row r="1329">
      <c r="A1329" s="2">
        <f>IFERROR(__xludf.DUMMYFUNCTION("""COMPUTED_VALUE"""),43969.64583333333)</f>
        <v>43969.64583</v>
      </c>
      <c r="B1329" s="1">
        <f>IFERROR(__xludf.DUMMYFUNCTION("""COMPUTED_VALUE"""),2920.0)</f>
        <v>2920</v>
      </c>
      <c r="C1329" s="1">
        <f>IFERROR(__xludf.DUMMYFUNCTION("""COMPUTED_VALUE"""),3535.0)</f>
        <v>3535</v>
      </c>
      <c r="D1329" s="1">
        <f>IFERROR(__xludf.DUMMYFUNCTION("""COMPUTED_VALUE"""),2880.0)</f>
        <v>2880</v>
      </c>
      <c r="E1329" s="1">
        <f>IFERROR(__xludf.DUMMYFUNCTION("""COMPUTED_VALUE"""),3260.0)</f>
        <v>3260</v>
      </c>
      <c r="F1329" s="1">
        <f>IFERROR(__xludf.DUMMYFUNCTION("""COMPUTED_VALUE"""),4.9063766E7)</f>
        <v>49063766</v>
      </c>
    </row>
    <row r="1330">
      <c r="A1330" s="2">
        <f>IFERROR(__xludf.DUMMYFUNCTION("""COMPUTED_VALUE"""),43970.64583333333)</f>
        <v>43970.64583</v>
      </c>
      <c r="B1330" s="1">
        <f>IFERROR(__xludf.DUMMYFUNCTION("""COMPUTED_VALUE"""),3405.0)</f>
        <v>3405</v>
      </c>
      <c r="C1330" s="1">
        <f>IFERROR(__xludf.DUMMYFUNCTION("""COMPUTED_VALUE"""),3650.0)</f>
        <v>3650</v>
      </c>
      <c r="D1330" s="1">
        <f>IFERROR(__xludf.DUMMYFUNCTION("""COMPUTED_VALUE"""),3175.0)</f>
        <v>3175</v>
      </c>
      <c r="E1330" s="1">
        <f>IFERROR(__xludf.DUMMYFUNCTION("""COMPUTED_VALUE"""),3180.0)</f>
        <v>3180</v>
      </c>
      <c r="F1330" s="1">
        <f>IFERROR(__xludf.DUMMYFUNCTION("""COMPUTED_VALUE"""),2.2524995E7)</f>
        <v>22524995</v>
      </c>
    </row>
    <row r="1331">
      <c r="A1331" s="2">
        <f>IFERROR(__xludf.DUMMYFUNCTION("""COMPUTED_VALUE"""),43971.64583333333)</f>
        <v>43971.64583</v>
      </c>
      <c r="B1331" s="1">
        <f>IFERROR(__xludf.DUMMYFUNCTION("""COMPUTED_VALUE"""),3235.0)</f>
        <v>3235</v>
      </c>
      <c r="C1331" s="1">
        <f>IFERROR(__xludf.DUMMYFUNCTION("""COMPUTED_VALUE"""),3420.0)</f>
        <v>3420</v>
      </c>
      <c r="D1331" s="1">
        <f>IFERROR(__xludf.DUMMYFUNCTION("""COMPUTED_VALUE"""),3170.0)</f>
        <v>3170</v>
      </c>
      <c r="E1331" s="1">
        <f>IFERROR(__xludf.DUMMYFUNCTION("""COMPUTED_VALUE"""),3310.0)</f>
        <v>3310</v>
      </c>
      <c r="F1331" s="1">
        <f>IFERROR(__xludf.DUMMYFUNCTION("""COMPUTED_VALUE"""),1.2711765E7)</f>
        <v>12711765</v>
      </c>
    </row>
    <row r="1332">
      <c r="A1332" s="2">
        <f>IFERROR(__xludf.DUMMYFUNCTION("""COMPUTED_VALUE"""),43972.64583333333)</f>
        <v>43972.64583</v>
      </c>
      <c r="B1332" s="1">
        <f>IFERROR(__xludf.DUMMYFUNCTION("""COMPUTED_VALUE"""),3460.0)</f>
        <v>3460</v>
      </c>
      <c r="C1332" s="1">
        <f>IFERROR(__xludf.DUMMYFUNCTION("""COMPUTED_VALUE"""),3515.0)</f>
        <v>3515</v>
      </c>
      <c r="D1332" s="1">
        <f>IFERROR(__xludf.DUMMYFUNCTION("""COMPUTED_VALUE"""),3185.0)</f>
        <v>3185</v>
      </c>
      <c r="E1332" s="1">
        <f>IFERROR(__xludf.DUMMYFUNCTION("""COMPUTED_VALUE"""),3230.0)</f>
        <v>3230</v>
      </c>
      <c r="F1332" s="1">
        <f>IFERROR(__xludf.DUMMYFUNCTION("""COMPUTED_VALUE"""),8241849.0)</f>
        <v>8241849</v>
      </c>
    </row>
    <row r="1333">
      <c r="A1333" s="2">
        <f>IFERROR(__xludf.DUMMYFUNCTION("""COMPUTED_VALUE"""),43973.64583333333)</f>
        <v>43973.64583</v>
      </c>
      <c r="B1333" s="1">
        <f>IFERROR(__xludf.DUMMYFUNCTION("""COMPUTED_VALUE"""),3250.0)</f>
        <v>3250</v>
      </c>
      <c r="C1333" s="1">
        <f>IFERROR(__xludf.DUMMYFUNCTION("""COMPUTED_VALUE"""),3305.0)</f>
        <v>3305</v>
      </c>
      <c r="D1333" s="1">
        <f>IFERROR(__xludf.DUMMYFUNCTION("""COMPUTED_VALUE"""),3125.0)</f>
        <v>3125</v>
      </c>
      <c r="E1333" s="1">
        <f>IFERROR(__xludf.DUMMYFUNCTION("""COMPUTED_VALUE"""),3170.0)</f>
        <v>3170</v>
      </c>
      <c r="F1333" s="1">
        <f>IFERROR(__xludf.DUMMYFUNCTION("""COMPUTED_VALUE"""),2646952.0)</f>
        <v>2646952</v>
      </c>
    </row>
    <row r="1334">
      <c r="A1334" s="2">
        <f>IFERROR(__xludf.DUMMYFUNCTION("""COMPUTED_VALUE"""),43976.64583333333)</f>
        <v>43976.64583</v>
      </c>
      <c r="B1334" s="1">
        <f>IFERROR(__xludf.DUMMYFUNCTION("""COMPUTED_VALUE"""),3200.0)</f>
        <v>3200</v>
      </c>
      <c r="C1334" s="1">
        <f>IFERROR(__xludf.DUMMYFUNCTION("""COMPUTED_VALUE"""),3430.0)</f>
        <v>3430</v>
      </c>
      <c r="D1334" s="1">
        <f>IFERROR(__xludf.DUMMYFUNCTION("""COMPUTED_VALUE"""),3180.0)</f>
        <v>3180</v>
      </c>
      <c r="E1334" s="1">
        <f>IFERROR(__xludf.DUMMYFUNCTION("""COMPUTED_VALUE"""),3340.0)</f>
        <v>3340</v>
      </c>
      <c r="F1334" s="1">
        <f>IFERROR(__xludf.DUMMYFUNCTION("""COMPUTED_VALUE"""),7760115.0)</f>
        <v>7760115</v>
      </c>
    </row>
    <row r="1335">
      <c r="A1335" s="2">
        <f>IFERROR(__xludf.DUMMYFUNCTION("""COMPUTED_VALUE"""),43977.64583333333)</f>
        <v>43977.64583</v>
      </c>
      <c r="B1335" s="1">
        <f>IFERROR(__xludf.DUMMYFUNCTION("""COMPUTED_VALUE"""),3350.0)</f>
        <v>3350</v>
      </c>
      <c r="C1335" s="1">
        <f>IFERROR(__xludf.DUMMYFUNCTION("""COMPUTED_VALUE"""),3435.0)</f>
        <v>3435</v>
      </c>
      <c r="D1335" s="1">
        <f>IFERROR(__xludf.DUMMYFUNCTION("""COMPUTED_VALUE"""),3270.0)</f>
        <v>3270</v>
      </c>
      <c r="E1335" s="1">
        <f>IFERROR(__xludf.DUMMYFUNCTION("""COMPUTED_VALUE"""),3280.0)</f>
        <v>3280</v>
      </c>
      <c r="F1335" s="1">
        <f>IFERROR(__xludf.DUMMYFUNCTION("""COMPUTED_VALUE"""),4169329.0)</f>
        <v>4169329</v>
      </c>
    </row>
    <row r="1336">
      <c r="A1336" s="2">
        <f>IFERROR(__xludf.DUMMYFUNCTION("""COMPUTED_VALUE"""),43978.64583333333)</f>
        <v>43978.64583</v>
      </c>
      <c r="B1336" s="1">
        <f>IFERROR(__xludf.DUMMYFUNCTION("""COMPUTED_VALUE"""),3295.0)</f>
        <v>3295</v>
      </c>
      <c r="C1336" s="1">
        <f>IFERROR(__xludf.DUMMYFUNCTION("""COMPUTED_VALUE"""),3590.0)</f>
        <v>3590</v>
      </c>
      <c r="D1336" s="1">
        <f>IFERROR(__xludf.DUMMYFUNCTION("""COMPUTED_VALUE"""),3265.0)</f>
        <v>3265</v>
      </c>
      <c r="E1336" s="1">
        <f>IFERROR(__xludf.DUMMYFUNCTION("""COMPUTED_VALUE"""),3425.0)</f>
        <v>3425</v>
      </c>
      <c r="F1336" s="1">
        <f>IFERROR(__xludf.DUMMYFUNCTION("""COMPUTED_VALUE"""),2.0019187E7)</f>
        <v>20019187</v>
      </c>
    </row>
    <row r="1337">
      <c r="A1337" s="2">
        <f>IFERROR(__xludf.DUMMYFUNCTION("""COMPUTED_VALUE"""),43979.64583333333)</f>
        <v>43979.64583</v>
      </c>
      <c r="B1337" s="1">
        <f>IFERROR(__xludf.DUMMYFUNCTION("""COMPUTED_VALUE"""),4000.0)</f>
        <v>4000</v>
      </c>
      <c r="C1337" s="1">
        <f>IFERROR(__xludf.DUMMYFUNCTION("""COMPUTED_VALUE"""),4395.0)</f>
        <v>4395</v>
      </c>
      <c r="D1337" s="1">
        <f>IFERROR(__xludf.DUMMYFUNCTION("""COMPUTED_VALUE"""),3655.0)</f>
        <v>3655</v>
      </c>
      <c r="E1337" s="1">
        <f>IFERROR(__xludf.DUMMYFUNCTION("""COMPUTED_VALUE"""),3870.0)</f>
        <v>3870</v>
      </c>
      <c r="F1337" s="1">
        <f>IFERROR(__xludf.DUMMYFUNCTION("""COMPUTED_VALUE"""),3.192056E7)</f>
        <v>31920560</v>
      </c>
    </row>
    <row r="1338">
      <c r="A1338" s="2">
        <f>IFERROR(__xludf.DUMMYFUNCTION("""COMPUTED_VALUE"""),43980.64583333333)</f>
        <v>43980.64583</v>
      </c>
      <c r="B1338" s="1">
        <f>IFERROR(__xludf.DUMMYFUNCTION("""COMPUTED_VALUE"""),3820.0)</f>
        <v>3820</v>
      </c>
      <c r="C1338" s="1">
        <f>IFERROR(__xludf.DUMMYFUNCTION("""COMPUTED_VALUE"""),4090.0)</f>
        <v>4090</v>
      </c>
      <c r="D1338" s="1">
        <f>IFERROR(__xludf.DUMMYFUNCTION("""COMPUTED_VALUE"""),3675.0)</f>
        <v>3675</v>
      </c>
      <c r="E1338" s="1">
        <f>IFERROR(__xludf.DUMMYFUNCTION("""COMPUTED_VALUE"""),3710.0)</f>
        <v>3710</v>
      </c>
      <c r="F1338" s="1">
        <f>IFERROR(__xludf.DUMMYFUNCTION("""COMPUTED_VALUE"""),9324678.0)</f>
        <v>9324678</v>
      </c>
    </row>
    <row r="1339">
      <c r="A1339" s="2">
        <f>IFERROR(__xludf.DUMMYFUNCTION("""COMPUTED_VALUE"""),43983.64583333333)</f>
        <v>43983.64583</v>
      </c>
      <c r="B1339" s="1">
        <f>IFERROR(__xludf.DUMMYFUNCTION("""COMPUTED_VALUE"""),3710.0)</f>
        <v>3710</v>
      </c>
      <c r="C1339" s="1">
        <f>IFERROR(__xludf.DUMMYFUNCTION("""COMPUTED_VALUE"""),3825.0)</f>
        <v>3825</v>
      </c>
      <c r="D1339" s="1">
        <f>IFERROR(__xludf.DUMMYFUNCTION("""COMPUTED_VALUE"""),3665.0)</f>
        <v>3665</v>
      </c>
      <c r="E1339" s="1">
        <f>IFERROR(__xludf.DUMMYFUNCTION("""COMPUTED_VALUE"""),3750.0)</f>
        <v>3750</v>
      </c>
      <c r="F1339" s="1">
        <f>IFERROR(__xludf.DUMMYFUNCTION("""COMPUTED_VALUE"""),3261944.0)</f>
        <v>3261944</v>
      </c>
    </row>
    <row r="1340">
      <c r="A1340" s="2">
        <f>IFERROR(__xludf.DUMMYFUNCTION("""COMPUTED_VALUE"""),43984.64583333333)</f>
        <v>43984.64583</v>
      </c>
      <c r="B1340" s="1">
        <f>IFERROR(__xludf.DUMMYFUNCTION("""COMPUTED_VALUE"""),3720.0)</f>
        <v>3720</v>
      </c>
      <c r="C1340" s="1">
        <f>IFERROR(__xludf.DUMMYFUNCTION("""COMPUTED_VALUE"""),3745.0)</f>
        <v>3745</v>
      </c>
      <c r="D1340" s="1">
        <f>IFERROR(__xludf.DUMMYFUNCTION("""COMPUTED_VALUE"""),3600.0)</f>
        <v>3600</v>
      </c>
      <c r="E1340" s="1">
        <f>IFERROR(__xludf.DUMMYFUNCTION("""COMPUTED_VALUE"""),3675.0)</f>
        <v>3675</v>
      </c>
      <c r="F1340" s="1">
        <f>IFERROR(__xludf.DUMMYFUNCTION("""COMPUTED_VALUE"""),2558853.0)</f>
        <v>2558853</v>
      </c>
    </row>
    <row r="1341">
      <c r="A1341" s="2">
        <f>IFERROR(__xludf.DUMMYFUNCTION("""COMPUTED_VALUE"""),43985.64583333333)</f>
        <v>43985.64583</v>
      </c>
      <c r="B1341" s="1">
        <f>IFERROR(__xludf.DUMMYFUNCTION("""COMPUTED_VALUE"""),3755.0)</f>
        <v>3755</v>
      </c>
      <c r="C1341" s="1">
        <f>IFERROR(__xludf.DUMMYFUNCTION("""COMPUTED_VALUE"""),4300.0)</f>
        <v>4300</v>
      </c>
      <c r="D1341" s="1">
        <f>IFERROR(__xludf.DUMMYFUNCTION("""COMPUTED_VALUE"""),3710.0)</f>
        <v>3710</v>
      </c>
      <c r="E1341" s="1">
        <f>IFERROR(__xludf.DUMMYFUNCTION("""COMPUTED_VALUE"""),3900.0)</f>
        <v>3900</v>
      </c>
      <c r="F1341" s="1">
        <f>IFERROR(__xludf.DUMMYFUNCTION("""COMPUTED_VALUE"""),3.517547E7)</f>
        <v>35175470</v>
      </c>
    </row>
    <row r="1342">
      <c r="A1342" s="2">
        <f>IFERROR(__xludf.DUMMYFUNCTION("""COMPUTED_VALUE"""),43986.64583333333)</f>
        <v>43986.64583</v>
      </c>
      <c r="B1342" s="1">
        <f>IFERROR(__xludf.DUMMYFUNCTION("""COMPUTED_VALUE"""),3815.0)</f>
        <v>3815</v>
      </c>
      <c r="C1342" s="1">
        <f>IFERROR(__xludf.DUMMYFUNCTION("""COMPUTED_VALUE"""),3920.0)</f>
        <v>3920</v>
      </c>
      <c r="D1342" s="1">
        <f>IFERROR(__xludf.DUMMYFUNCTION("""COMPUTED_VALUE"""),3710.0)</f>
        <v>3710</v>
      </c>
      <c r="E1342" s="1">
        <f>IFERROR(__xludf.DUMMYFUNCTION("""COMPUTED_VALUE"""),3715.0)</f>
        <v>3715</v>
      </c>
      <c r="F1342" s="1">
        <f>IFERROR(__xludf.DUMMYFUNCTION("""COMPUTED_VALUE"""),5338461.0)</f>
        <v>5338461</v>
      </c>
    </row>
    <row r="1343">
      <c r="A1343" s="2">
        <f>IFERROR(__xludf.DUMMYFUNCTION("""COMPUTED_VALUE"""),43987.64583333333)</f>
        <v>43987.64583</v>
      </c>
      <c r="B1343" s="1">
        <f>IFERROR(__xludf.DUMMYFUNCTION("""COMPUTED_VALUE"""),3735.0)</f>
        <v>3735</v>
      </c>
      <c r="C1343" s="1">
        <f>IFERROR(__xludf.DUMMYFUNCTION("""COMPUTED_VALUE"""),3870.0)</f>
        <v>3870</v>
      </c>
      <c r="D1343" s="1">
        <f>IFERROR(__xludf.DUMMYFUNCTION("""COMPUTED_VALUE"""),3635.0)</f>
        <v>3635</v>
      </c>
      <c r="E1343" s="1">
        <f>IFERROR(__xludf.DUMMYFUNCTION("""COMPUTED_VALUE"""),3665.0)</f>
        <v>3665</v>
      </c>
      <c r="F1343" s="1">
        <f>IFERROR(__xludf.DUMMYFUNCTION("""COMPUTED_VALUE"""),3475033.0)</f>
        <v>3475033</v>
      </c>
    </row>
    <row r="1344">
      <c r="A1344" s="2">
        <f>IFERROR(__xludf.DUMMYFUNCTION("""COMPUTED_VALUE"""),43990.64583333333)</f>
        <v>43990.64583</v>
      </c>
      <c r="B1344" s="1">
        <f>IFERROR(__xludf.DUMMYFUNCTION("""COMPUTED_VALUE"""),3685.0)</f>
        <v>3685</v>
      </c>
      <c r="C1344" s="1">
        <f>IFERROR(__xludf.DUMMYFUNCTION("""COMPUTED_VALUE"""),3785.0)</f>
        <v>3785</v>
      </c>
      <c r="D1344" s="1">
        <f>IFERROR(__xludf.DUMMYFUNCTION("""COMPUTED_VALUE"""),3670.0)</f>
        <v>3670</v>
      </c>
      <c r="E1344" s="1">
        <f>IFERROR(__xludf.DUMMYFUNCTION("""COMPUTED_VALUE"""),3695.0)</f>
        <v>3695</v>
      </c>
      <c r="F1344" s="1">
        <f>IFERROR(__xludf.DUMMYFUNCTION("""COMPUTED_VALUE"""),2081817.0)</f>
        <v>2081817</v>
      </c>
    </row>
    <row r="1345">
      <c r="A1345" s="2">
        <f>IFERROR(__xludf.DUMMYFUNCTION("""COMPUTED_VALUE"""),43991.64583333333)</f>
        <v>43991.64583</v>
      </c>
      <c r="B1345" s="1">
        <f>IFERROR(__xludf.DUMMYFUNCTION("""COMPUTED_VALUE"""),3855.0)</f>
        <v>3855</v>
      </c>
      <c r="C1345" s="1">
        <f>IFERROR(__xludf.DUMMYFUNCTION("""COMPUTED_VALUE"""),3915.0)</f>
        <v>3915</v>
      </c>
      <c r="D1345" s="1">
        <f>IFERROR(__xludf.DUMMYFUNCTION("""COMPUTED_VALUE"""),3695.0)</f>
        <v>3695</v>
      </c>
      <c r="E1345" s="1">
        <f>IFERROR(__xludf.DUMMYFUNCTION("""COMPUTED_VALUE"""),3760.0)</f>
        <v>3760</v>
      </c>
      <c r="F1345" s="1">
        <f>IFERROR(__xludf.DUMMYFUNCTION("""COMPUTED_VALUE"""),5722840.0)</f>
        <v>5722840</v>
      </c>
    </row>
    <row r="1346">
      <c r="A1346" s="2">
        <f>IFERROR(__xludf.DUMMYFUNCTION("""COMPUTED_VALUE"""),43992.64583333333)</f>
        <v>43992.64583</v>
      </c>
      <c r="B1346" s="1">
        <f>IFERROR(__xludf.DUMMYFUNCTION("""COMPUTED_VALUE"""),3780.0)</f>
        <v>3780</v>
      </c>
      <c r="C1346" s="1">
        <f>IFERROR(__xludf.DUMMYFUNCTION("""COMPUTED_VALUE"""),3835.0)</f>
        <v>3835</v>
      </c>
      <c r="D1346" s="1">
        <f>IFERROR(__xludf.DUMMYFUNCTION("""COMPUTED_VALUE"""),3730.0)</f>
        <v>3730</v>
      </c>
      <c r="E1346" s="1">
        <f>IFERROR(__xludf.DUMMYFUNCTION("""COMPUTED_VALUE"""),3780.0)</f>
        <v>3780</v>
      </c>
      <c r="F1346" s="1">
        <f>IFERROR(__xludf.DUMMYFUNCTION("""COMPUTED_VALUE"""),2277839.0)</f>
        <v>2277839</v>
      </c>
    </row>
    <row r="1347">
      <c r="A1347" s="2">
        <f>IFERROR(__xludf.DUMMYFUNCTION("""COMPUTED_VALUE"""),43993.64583333333)</f>
        <v>43993.64583</v>
      </c>
      <c r="B1347" s="1">
        <f>IFERROR(__xludf.DUMMYFUNCTION("""COMPUTED_VALUE"""),3785.0)</f>
        <v>3785</v>
      </c>
      <c r="C1347" s="1">
        <f>IFERROR(__xludf.DUMMYFUNCTION("""COMPUTED_VALUE"""),3795.0)</f>
        <v>3795</v>
      </c>
      <c r="D1347" s="1">
        <f>IFERROR(__xludf.DUMMYFUNCTION("""COMPUTED_VALUE"""),3620.0)</f>
        <v>3620</v>
      </c>
      <c r="E1347" s="1">
        <f>IFERROR(__xludf.DUMMYFUNCTION("""COMPUTED_VALUE"""),3670.0)</f>
        <v>3670</v>
      </c>
      <c r="F1347" s="1">
        <f>IFERROR(__xludf.DUMMYFUNCTION("""COMPUTED_VALUE"""),2496378.0)</f>
        <v>2496378</v>
      </c>
    </row>
    <row r="1348">
      <c r="A1348" s="2">
        <f>IFERROR(__xludf.DUMMYFUNCTION("""COMPUTED_VALUE"""),43994.64583333333)</f>
        <v>43994.64583</v>
      </c>
      <c r="B1348" s="1">
        <f>IFERROR(__xludf.DUMMYFUNCTION("""COMPUTED_VALUE"""),3400.0)</f>
        <v>3400</v>
      </c>
      <c r="C1348" s="1">
        <f>IFERROR(__xludf.DUMMYFUNCTION("""COMPUTED_VALUE"""),3715.0)</f>
        <v>3715</v>
      </c>
      <c r="D1348" s="1">
        <f>IFERROR(__xludf.DUMMYFUNCTION("""COMPUTED_VALUE"""),3390.0)</f>
        <v>3390</v>
      </c>
      <c r="E1348" s="1">
        <f>IFERROR(__xludf.DUMMYFUNCTION("""COMPUTED_VALUE"""),3610.0)</f>
        <v>3610</v>
      </c>
      <c r="F1348" s="1">
        <f>IFERROR(__xludf.DUMMYFUNCTION("""COMPUTED_VALUE"""),2865095.0)</f>
        <v>2865095</v>
      </c>
    </row>
    <row r="1349">
      <c r="A1349" s="2">
        <f>IFERROR(__xludf.DUMMYFUNCTION("""COMPUTED_VALUE"""),43997.64583333333)</f>
        <v>43997.64583</v>
      </c>
      <c r="B1349" s="1">
        <f>IFERROR(__xludf.DUMMYFUNCTION("""COMPUTED_VALUE"""),3690.0)</f>
        <v>3690</v>
      </c>
      <c r="C1349" s="1">
        <f>IFERROR(__xludf.DUMMYFUNCTION("""COMPUTED_VALUE"""),3690.0)</f>
        <v>3690</v>
      </c>
      <c r="D1349" s="1">
        <f>IFERROR(__xludf.DUMMYFUNCTION("""COMPUTED_VALUE"""),3200.0)</f>
        <v>3200</v>
      </c>
      <c r="E1349" s="1">
        <f>IFERROR(__xludf.DUMMYFUNCTION("""COMPUTED_VALUE"""),3220.0)</f>
        <v>3220</v>
      </c>
      <c r="F1349" s="1">
        <f>IFERROR(__xludf.DUMMYFUNCTION("""COMPUTED_VALUE"""),2672152.0)</f>
        <v>2672152</v>
      </c>
    </row>
    <row r="1350">
      <c r="A1350" s="2">
        <f>IFERROR(__xludf.DUMMYFUNCTION("""COMPUTED_VALUE"""),43998.64583333333)</f>
        <v>43998.64583</v>
      </c>
      <c r="B1350" s="1">
        <f>IFERROR(__xludf.DUMMYFUNCTION("""COMPUTED_VALUE"""),3310.0)</f>
        <v>3310</v>
      </c>
      <c r="C1350" s="1">
        <f>IFERROR(__xludf.DUMMYFUNCTION("""COMPUTED_VALUE"""),3430.0)</f>
        <v>3430</v>
      </c>
      <c r="D1350" s="1">
        <f>IFERROR(__xludf.DUMMYFUNCTION("""COMPUTED_VALUE"""),3310.0)</f>
        <v>3310</v>
      </c>
      <c r="E1350" s="1">
        <f>IFERROR(__xludf.DUMMYFUNCTION("""COMPUTED_VALUE"""),3355.0)</f>
        <v>3355</v>
      </c>
      <c r="F1350" s="1">
        <f>IFERROR(__xludf.DUMMYFUNCTION("""COMPUTED_VALUE"""),1809451.0)</f>
        <v>1809451</v>
      </c>
    </row>
    <row r="1351">
      <c r="A1351" s="2">
        <f>IFERROR(__xludf.DUMMYFUNCTION("""COMPUTED_VALUE"""),43999.64583333333)</f>
        <v>43999.64583</v>
      </c>
      <c r="B1351" s="1">
        <f>IFERROR(__xludf.DUMMYFUNCTION("""COMPUTED_VALUE"""),3265.0)</f>
        <v>3265</v>
      </c>
      <c r="C1351" s="1">
        <f>IFERROR(__xludf.DUMMYFUNCTION("""COMPUTED_VALUE"""),3680.0)</f>
        <v>3680</v>
      </c>
      <c r="D1351" s="1">
        <f>IFERROR(__xludf.DUMMYFUNCTION("""COMPUTED_VALUE"""),3265.0)</f>
        <v>3265</v>
      </c>
      <c r="E1351" s="1">
        <f>IFERROR(__xludf.DUMMYFUNCTION("""COMPUTED_VALUE"""),3370.0)</f>
        <v>3370</v>
      </c>
      <c r="F1351" s="1">
        <f>IFERROR(__xludf.DUMMYFUNCTION("""COMPUTED_VALUE"""),3412955.0)</f>
        <v>3412955</v>
      </c>
    </row>
    <row r="1352">
      <c r="A1352" s="2">
        <f>IFERROR(__xludf.DUMMYFUNCTION("""COMPUTED_VALUE"""),44000.64583333333)</f>
        <v>44000.64583</v>
      </c>
      <c r="B1352" s="1">
        <f>IFERROR(__xludf.DUMMYFUNCTION("""COMPUTED_VALUE"""),3350.0)</f>
        <v>3350</v>
      </c>
      <c r="C1352" s="1">
        <f>IFERROR(__xludf.DUMMYFUNCTION("""COMPUTED_VALUE"""),3455.0)</f>
        <v>3455</v>
      </c>
      <c r="D1352" s="1">
        <f>IFERROR(__xludf.DUMMYFUNCTION("""COMPUTED_VALUE"""),3300.0)</f>
        <v>3300</v>
      </c>
      <c r="E1352" s="1">
        <f>IFERROR(__xludf.DUMMYFUNCTION("""COMPUTED_VALUE"""),3300.0)</f>
        <v>3300</v>
      </c>
      <c r="F1352" s="1">
        <f>IFERROR(__xludf.DUMMYFUNCTION("""COMPUTED_VALUE"""),1793009.0)</f>
        <v>1793009</v>
      </c>
    </row>
    <row r="1353">
      <c r="A1353" s="2">
        <f>IFERROR(__xludf.DUMMYFUNCTION("""COMPUTED_VALUE"""),44001.64583333333)</f>
        <v>44001.64583</v>
      </c>
      <c r="B1353" s="1">
        <f>IFERROR(__xludf.DUMMYFUNCTION("""COMPUTED_VALUE"""),3595.0)</f>
        <v>3595</v>
      </c>
      <c r="C1353" s="1">
        <f>IFERROR(__xludf.DUMMYFUNCTION("""COMPUTED_VALUE"""),3640.0)</f>
        <v>3640</v>
      </c>
      <c r="D1353" s="1">
        <f>IFERROR(__xludf.DUMMYFUNCTION("""COMPUTED_VALUE"""),3355.0)</f>
        <v>3355</v>
      </c>
      <c r="E1353" s="1">
        <f>IFERROR(__xludf.DUMMYFUNCTION("""COMPUTED_VALUE"""),3375.0)</f>
        <v>3375</v>
      </c>
      <c r="F1353" s="1">
        <f>IFERROR(__xludf.DUMMYFUNCTION("""COMPUTED_VALUE"""),5623754.0)</f>
        <v>5623754</v>
      </c>
    </row>
    <row r="1354">
      <c r="A1354" s="2">
        <f>IFERROR(__xludf.DUMMYFUNCTION("""COMPUTED_VALUE"""),44004.64583333333)</f>
        <v>44004.64583</v>
      </c>
      <c r="B1354" s="1">
        <f>IFERROR(__xludf.DUMMYFUNCTION("""COMPUTED_VALUE"""),3340.0)</f>
        <v>3340</v>
      </c>
      <c r="C1354" s="1">
        <f>IFERROR(__xludf.DUMMYFUNCTION("""COMPUTED_VALUE"""),3445.0)</f>
        <v>3445</v>
      </c>
      <c r="D1354" s="1">
        <f>IFERROR(__xludf.DUMMYFUNCTION("""COMPUTED_VALUE"""),3320.0)</f>
        <v>3320</v>
      </c>
      <c r="E1354" s="1">
        <f>IFERROR(__xludf.DUMMYFUNCTION("""COMPUTED_VALUE"""),3365.0)</f>
        <v>3365</v>
      </c>
      <c r="F1354" s="1">
        <f>IFERROR(__xludf.DUMMYFUNCTION("""COMPUTED_VALUE"""),1314144.0)</f>
        <v>1314144</v>
      </c>
    </row>
    <row r="1355">
      <c r="A1355" s="2">
        <f>IFERROR(__xludf.DUMMYFUNCTION("""COMPUTED_VALUE"""),44005.64583333333)</f>
        <v>44005.64583</v>
      </c>
      <c r="B1355" s="1">
        <f>IFERROR(__xludf.DUMMYFUNCTION("""COMPUTED_VALUE"""),3365.0)</f>
        <v>3365</v>
      </c>
      <c r="C1355" s="1">
        <f>IFERROR(__xludf.DUMMYFUNCTION("""COMPUTED_VALUE"""),3460.0)</f>
        <v>3460</v>
      </c>
      <c r="D1355" s="1">
        <f>IFERROR(__xludf.DUMMYFUNCTION("""COMPUTED_VALUE"""),3335.0)</f>
        <v>3335</v>
      </c>
      <c r="E1355" s="1">
        <f>IFERROR(__xludf.DUMMYFUNCTION("""COMPUTED_VALUE"""),3425.0)</f>
        <v>3425</v>
      </c>
      <c r="F1355" s="1">
        <f>IFERROR(__xludf.DUMMYFUNCTION("""COMPUTED_VALUE"""),1804407.0)</f>
        <v>1804407</v>
      </c>
    </row>
    <row r="1356">
      <c r="A1356" s="2">
        <f>IFERROR(__xludf.DUMMYFUNCTION("""COMPUTED_VALUE"""),44006.64583333333)</f>
        <v>44006.64583</v>
      </c>
      <c r="B1356" s="1">
        <f>IFERROR(__xludf.DUMMYFUNCTION("""COMPUTED_VALUE"""),3465.0)</f>
        <v>3465</v>
      </c>
      <c r="C1356" s="1">
        <f>IFERROR(__xludf.DUMMYFUNCTION("""COMPUTED_VALUE"""),3495.0)</f>
        <v>3495</v>
      </c>
      <c r="D1356" s="1">
        <f>IFERROR(__xludf.DUMMYFUNCTION("""COMPUTED_VALUE"""),3400.0)</f>
        <v>3400</v>
      </c>
      <c r="E1356" s="1">
        <f>IFERROR(__xludf.DUMMYFUNCTION("""COMPUTED_VALUE"""),3430.0)</f>
        <v>3430</v>
      </c>
      <c r="F1356" s="1">
        <f>IFERROR(__xludf.DUMMYFUNCTION("""COMPUTED_VALUE"""),1513604.0)</f>
        <v>1513604</v>
      </c>
    </row>
    <row r="1357">
      <c r="A1357" s="2">
        <f>IFERROR(__xludf.DUMMYFUNCTION("""COMPUTED_VALUE"""),44007.64583333333)</f>
        <v>44007.64583</v>
      </c>
      <c r="B1357" s="1">
        <f>IFERROR(__xludf.DUMMYFUNCTION("""COMPUTED_VALUE"""),3365.0)</f>
        <v>3365</v>
      </c>
      <c r="C1357" s="1">
        <f>IFERROR(__xludf.DUMMYFUNCTION("""COMPUTED_VALUE"""),3400.0)</f>
        <v>3400</v>
      </c>
      <c r="D1357" s="1">
        <f>IFERROR(__xludf.DUMMYFUNCTION("""COMPUTED_VALUE"""),3250.0)</f>
        <v>3250</v>
      </c>
      <c r="E1357" s="1">
        <f>IFERROR(__xludf.DUMMYFUNCTION("""COMPUTED_VALUE"""),3340.0)</f>
        <v>3340</v>
      </c>
      <c r="F1357" s="1">
        <f>IFERROR(__xludf.DUMMYFUNCTION("""COMPUTED_VALUE"""),1144860.0)</f>
        <v>1144860</v>
      </c>
    </row>
    <row r="1358">
      <c r="A1358" s="2">
        <f>IFERROR(__xludf.DUMMYFUNCTION("""COMPUTED_VALUE"""),44008.64583333333)</f>
        <v>44008.64583</v>
      </c>
      <c r="B1358" s="1">
        <f>IFERROR(__xludf.DUMMYFUNCTION("""COMPUTED_VALUE"""),3385.0)</f>
        <v>3385</v>
      </c>
      <c r="C1358" s="1">
        <f>IFERROR(__xludf.DUMMYFUNCTION("""COMPUTED_VALUE"""),3410.0)</f>
        <v>3410</v>
      </c>
      <c r="D1358" s="1">
        <f>IFERROR(__xludf.DUMMYFUNCTION("""COMPUTED_VALUE"""),3305.0)</f>
        <v>3305</v>
      </c>
      <c r="E1358" s="1">
        <f>IFERROR(__xludf.DUMMYFUNCTION("""COMPUTED_VALUE"""),3305.0)</f>
        <v>3305</v>
      </c>
      <c r="F1358" s="1">
        <f>IFERROR(__xludf.DUMMYFUNCTION("""COMPUTED_VALUE"""),931096.0)</f>
        <v>931096</v>
      </c>
    </row>
    <row r="1359">
      <c r="A1359" s="2">
        <f>IFERROR(__xludf.DUMMYFUNCTION("""COMPUTED_VALUE"""),44011.64583333333)</f>
        <v>44011.64583</v>
      </c>
      <c r="B1359" s="1">
        <f>IFERROR(__xludf.DUMMYFUNCTION("""COMPUTED_VALUE"""),3265.0)</f>
        <v>3265</v>
      </c>
      <c r="C1359" s="1">
        <f>IFERROR(__xludf.DUMMYFUNCTION("""COMPUTED_VALUE"""),3350.0)</f>
        <v>3350</v>
      </c>
      <c r="D1359" s="1">
        <f>IFERROR(__xludf.DUMMYFUNCTION("""COMPUTED_VALUE"""),3205.0)</f>
        <v>3205</v>
      </c>
      <c r="E1359" s="1">
        <f>IFERROR(__xludf.DUMMYFUNCTION("""COMPUTED_VALUE"""),3225.0)</f>
        <v>3225</v>
      </c>
      <c r="F1359" s="1">
        <f>IFERROR(__xludf.DUMMYFUNCTION("""COMPUTED_VALUE"""),694729.0)</f>
        <v>694729</v>
      </c>
    </row>
    <row r="1360">
      <c r="A1360" s="2">
        <f>IFERROR(__xludf.DUMMYFUNCTION("""COMPUTED_VALUE"""),44012.64583333333)</f>
        <v>44012.64583</v>
      </c>
      <c r="B1360" s="1">
        <f>IFERROR(__xludf.DUMMYFUNCTION("""COMPUTED_VALUE"""),3255.0)</f>
        <v>3255</v>
      </c>
      <c r="C1360" s="1">
        <f>IFERROR(__xludf.DUMMYFUNCTION("""COMPUTED_VALUE"""),3390.0)</f>
        <v>3390</v>
      </c>
      <c r="D1360" s="1">
        <f>IFERROR(__xludf.DUMMYFUNCTION("""COMPUTED_VALUE"""),3230.0)</f>
        <v>3230</v>
      </c>
      <c r="E1360" s="1">
        <f>IFERROR(__xludf.DUMMYFUNCTION("""COMPUTED_VALUE"""),3300.0)</f>
        <v>3300</v>
      </c>
      <c r="F1360" s="1">
        <f>IFERROR(__xludf.DUMMYFUNCTION("""COMPUTED_VALUE"""),1637843.0)</f>
        <v>1637843</v>
      </c>
    </row>
    <row r="1361">
      <c r="A1361" s="2">
        <f>IFERROR(__xludf.DUMMYFUNCTION("""COMPUTED_VALUE"""),44013.64583333333)</f>
        <v>44013.64583</v>
      </c>
      <c r="B1361" s="1">
        <f>IFERROR(__xludf.DUMMYFUNCTION("""COMPUTED_VALUE"""),3365.0)</f>
        <v>3365</v>
      </c>
      <c r="C1361" s="1">
        <f>IFERROR(__xludf.DUMMYFUNCTION("""COMPUTED_VALUE"""),3365.0)</f>
        <v>3365</v>
      </c>
      <c r="D1361" s="1">
        <f>IFERROR(__xludf.DUMMYFUNCTION("""COMPUTED_VALUE"""),3225.0)</f>
        <v>3225</v>
      </c>
      <c r="E1361" s="1">
        <f>IFERROR(__xludf.DUMMYFUNCTION("""COMPUTED_VALUE"""),3225.0)</f>
        <v>3225</v>
      </c>
      <c r="F1361" s="1">
        <f>IFERROR(__xludf.DUMMYFUNCTION("""COMPUTED_VALUE"""),799473.0)</f>
        <v>799473</v>
      </c>
    </row>
    <row r="1362">
      <c r="A1362" s="2">
        <f>IFERROR(__xludf.DUMMYFUNCTION("""COMPUTED_VALUE"""),44014.64583333333)</f>
        <v>44014.64583</v>
      </c>
      <c r="B1362" s="1">
        <f>IFERROR(__xludf.DUMMYFUNCTION("""COMPUTED_VALUE"""),3200.0)</f>
        <v>3200</v>
      </c>
      <c r="C1362" s="1">
        <f>IFERROR(__xludf.DUMMYFUNCTION("""COMPUTED_VALUE"""),3285.0)</f>
        <v>3285</v>
      </c>
      <c r="D1362" s="1">
        <f>IFERROR(__xludf.DUMMYFUNCTION("""COMPUTED_VALUE"""),3200.0)</f>
        <v>3200</v>
      </c>
      <c r="E1362" s="1">
        <f>IFERROR(__xludf.DUMMYFUNCTION("""COMPUTED_VALUE"""),3285.0)</f>
        <v>3285</v>
      </c>
      <c r="F1362" s="1">
        <f>IFERROR(__xludf.DUMMYFUNCTION("""COMPUTED_VALUE"""),574985.0)</f>
        <v>574985</v>
      </c>
    </row>
    <row r="1363">
      <c r="A1363" s="2">
        <f>IFERROR(__xludf.DUMMYFUNCTION("""COMPUTED_VALUE"""),44015.64583333333)</f>
        <v>44015.64583</v>
      </c>
      <c r="B1363" s="1">
        <f>IFERROR(__xludf.DUMMYFUNCTION("""COMPUTED_VALUE"""),3305.0)</f>
        <v>3305</v>
      </c>
      <c r="C1363" s="1">
        <f>IFERROR(__xludf.DUMMYFUNCTION("""COMPUTED_VALUE"""),3325.0)</f>
        <v>3325</v>
      </c>
      <c r="D1363" s="1">
        <f>IFERROR(__xludf.DUMMYFUNCTION("""COMPUTED_VALUE"""),3210.0)</f>
        <v>3210</v>
      </c>
      <c r="E1363" s="1">
        <f>IFERROR(__xludf.DUMMYFUNCTION("""COMPUTED_VALUE"""),3315.0)</f>
        <v>3315</v>
      </c>
      <c r="F1363" s="1">
        <f>IFERROR(__xludf.DUMMYFUNCTION("""COMPUTED_VALUE"""),804272.0)</f>
        <v>804272</v>
      </c>
    </row>
    <row r="1364">
      <c r="A1364" s="2">
        <f>IFERROR(__xludf.DUMMYFUNCTION("""COMPUTED_VALUE"""),44018.64583333333)</f>
        <v>44018.64583</v>
      </c>
      <c r="B1364" s="1">
        <f>IFERROR(__xludf.DUMMYFUNCTION("""COMPUTED_VALUE"""),3340.0)</f>
        <v>3340</v>
      </c>
      <c r="C1364" s="1">
        <f>IFERROR(__xludf.DUMMYFUNCTION("""COMPUTED_VALUE"""),3425.0)</f>
        <v>3425</v>
      </c>
      <c r="D1364" s="1">
        <f>IFERROR(__xludf.DUMMYFUNCTION("""COMPUTED_VALUE"""),3295.0)</f>
        <v>3295</v>
      </c>
      <c r="E1364" s="1">
        <f>IFERROR(__xludf.DUMMYFUNCTION("""COMPUTED_VALUE"""),3405.0)</f>
        <v>3405</v>
      </c>
      <c r="F1364" s="1">
        <f>IFERROR(__xludf.DUMMYFUNCTION("""COMPUTED_VALUE"""),1336012.0)</f>
        <v>1336012</v>
      </c>
    </row>
    <row r="1365">
      <c r="A1365" s="2">
        <f>IFERROR(__xludf.DUMMYFUNCTION("""COMPUTED_VALUE"""),44019.64583333333)</f>
        <v>44019.64583</v>
      </c>
      <c r="B1365" s="1">
        <f>IFERROR(__xludf.DUMMYFUNCTION("""COMPUTED_VALUE"""),3415.0)</f>
        <v>3415</v>
      </c>
      <c r="C1365" s="1">
        <f>IFERROR(__xludf.DUMMYFUNCTION("""COMPUTED_VALUE"""),3525.0)</f>
        <v>3525</v>
      </c>
      <c r="D1365" s="1">
        <f>IFERROR(__xludf.DUMMYFUNCTION("""COMPUTED_VALUE"""),3415.0)</f>
        <v>3415</v>
      </c>
      <c r="E1365" s="1">
        <f>IFERROR(__xludf.DUMMYFUNCTION("""COMPUTED_VALUE"""),3425.0)</f>
        <v>3425</v>
      </c>
      <c r="F1365" s="1">
        <f>IFERROR(__xludf.DUMMYFUNCTION("""COMPUTED_VALUE"""),2825490.0)</f>
        <v>2825490</v>
      </c>
    </row>
    <row r="1366">
      <c r="A1366" s="2">
        <f>IFERROR(__xludf.DUMMYFUNCTION("""COMPUTED_VALUE"""),44020.64583333333)</f>
        <v>44020.64583</v>
      </c>
      <c r="B1366" s="1">
        <f>IFERROR(__xludf.DUMMYFUNCTION("""COMPUTED_VALUE"""),3450.0)</f>
        <v>3450</v>
      </c>
      <c r="C1366" s="1">
        <f>IFERROR(__xludf.DUMMYFUNCTION("""COMPUTED_VALUE"""),3620.0)</f>
        <v>3620</v>
      </c>
      <c r="D1366" s="1">
        <f>IFERROR(__xludf.DUMMYFUNCTION("""COMPUTED_VALUE"""),3385.0)</f>
        <v>3385</v>
      </c>
      <c r="E1366" s="1">
        <f>IFERROR(__xludf.DUMMYFUNCTION("""COMPUTED_VALUE"""),3495.0)</f>
        <v>3495</v>
      </c>
      <c r="F1366" s="1">
        <f>IFERROR(__xludf.DUMMYFUNCTION("""COMPUTED_VALUE"""),4984440.0)</f>
        <v>4984440</v>
      </c>
    </row>
    <row r="1367">
      <c r="A1367" s="2">
        <f>IFERROR(__xludf.DUMMYFUNCTION("""COMPUTED_VALUE"""),44021.64583333333)</f>
        <v>44021.64583</v>
      </c>
      <c r="B1367" s="1">
        <f>IFERROR(__xludf.DUMMYFUNCTION("""COMPUTED_VALUE"""),3520.0)</f>
        <v>3520</v>
      </c>
      <c r="C1367" s="1">
        <f>IFERROR(__xludf.DUMMYFUNCTION("""COMPUTED_VALUE"""),3600.0)</f>
        <v>3600</v>
      </c>
      <c r="D1367" s="1">
        <f>IFERROR(__xludf.DUMMYFUNCTION("""COMPUTED_VALUE"""),3495.0)</f>
        <v>3495</v>
      </c>
      <c r="E1367" s="1">
        <f>IFERROR(__xludf.DUMMYFUNCTION("""COMPUTED_VALUE"""),3555.0)</f>
        <v>3555</v>
      </c>
      <c r="F1367" s="1">
        <f>IFERROR(__xludf.DUMMYFUNCTION("""COMPUTED_VALUE"""),2715733.0)</f>
        <v>2715733</v>
      </c>
    </row>
    <row r="1368">
      <c r="A1368" s="2">
        <f>IFERROR(__xludf.DUMMYFUNCTION("""COMPUTED_VALUE"""),44022.64583333333)</f>
        <v>44022.64583</v>
      </c>
      <c r="B1368" s="1">
        <f>IFERROR(__xludf.DUMMYFUNCTION("""COMPUTED_VALUE"""),3560.0)</f>
        <v>3560</v>
      </c>
      <c r="C1368" s="1">
        <f>IFERROR(__xludf.DUMMYFUNCTION("""COMPUTED_VALUE"""),3605.0)</f>
        <v>3605</v>
      </c>
      <c r="D1368" s="1">
        <f>IFERROR(__xludf.DUMMYFUNCTION("""COMPUTED_VALUE"""),3435.0)</f>
        <v>3435</v>
      </c>
      <c r="E1368" s="1">
        <f>IFERROR(__xludf.DUMMYFUNCTION("""COMPUTED_VALUE"""),3455.0)</f>
        <v>3455</v>
      </c>
      <c r="F1368" s="1">
        <f>IFERROR(__xludf.DUMMYFUNCTION("""COMPUTED_VALUE"""),1619590.0)</f>
        <v>1619590</v>
      </c>
    </row>
    <row r="1369">
      <c r="A1369" s="2">
        <f>IFERROR(__xludf.DUMMYFUNCTION("""COMPUTED_VALUE"""),44025.64583333333)</f>
        <v>44025.64583</v>
      </c>
      <c r="B1369" s="1">
        <f>IFERROR(__xludf.DUMMYFUNCTION("""COMPUTED_VALUE"""),3495.0)</f>
        <v>3495</v>
      </c>
      <c r="C1369" s="1">
        <f>IFERROR(__xludf.DUMMYFUNCTION("""COMPUTED_VALUE"""),3525.0)</f>
        <v>3525</v>
      </c>
      <c r="D1369" s="1">
        <f>IFERROR(__xludf.DUMMYFUNCTION("""COMPUTED_VALUE"""),3425.0)</f>
        <v>3425</v>
      </c>
      <c r="E1369" s="1">
        <f>IFERROR(__xludf.DUMMYFUNCTION("""COMPUTED_VALUE"""),3490.0)</f>
        <v>3490</v>
      </c>
      <c r="F1369" s="1">
        <f>IFERROR(__xludf.DUMMYFUNCTION("""COMPUTED_VALUE"""),1352844.0)</f>
        <v>1352844</v>
      </c>
    </row>
    <row r="1370">
      <c r="A1370" s="2">
        <f>IFERROR(__xludf.DUMMYFUNCTION("""COMPUTED_VALUE"""),44026.64583333333)</f>
        <v>44026.64583</v>
      </c>
      <c r="B1370" s="1">
        <f>IFERROR(__xludf.DUMMYFUNCTION("""COMPUTED_VALUE"""),3490.0)</f>
        <v>3490</v>
      </c>
      <c r="C1370" s="1">
        <f>IFERROR(__xludf.DUMMYFUNCTION("""COMPUTED_VALUE"""),3580.0)</f>
        <v>3580</v>
      </c>
      <c r="D1370" s="1">
        <f>IFERROR(__xludf.DUMMYFUNCTION("""COMPUTED_VALUE"""),3410.0)</f>
        <v>3410</v>
      </c>
      <c r="E1370" s="1">
        <f>IFERROR(__xludf.DUMMYFUNCTION("""COMPUTED_VALUE"""),3450.0)</f>
        <v>3450</v>
      </c>
      <c r="F1370" s="1">
        <f>IFERROR(__xludf.DUMMYFUNCTION("""COMPUTED_VALUE"""),1427619.0)</f>
        <v>1427619</v>
      </c>
    </row>
    <row r="1371">
      <c r="A1371" s="2">
        <f>IFERROR(__xludf.DUMMYFUNCTION("""COMPUTED_VALUE"""),44027.64583333333)</f>
        <v>44027.64583</v>
      </c>
      <c r="B1371" s="1">
        <f>IFERROR(__xludf.DUMMYFUNCTION("""COMPUTED_VALUE"""),3480.0)</f>
        <v>3480</v>
      </c>
      <c r="C1371" s="1">
        <f>IFERROR(__xludf.DUMMYFUNCTION("""COMPUTED_VALUE"""),3520.0)</f>
        <v>3520</v>
      </c>
      <c r="D1371" s="1">
        <f>IFERROR(__xludf.DUMMYFUNCTION("""COMPUTED_VALUE"""),3415.0)</f>
        <v>3415</v>
      </c>
      <c r="E1371" s="1">
        <f>IFERROR(__xludf.DUMMYFUNCTION("""COMPUTED_VALUE"""),3495.0)</f>
        <v>3495</v>
      </c>
      <c r="F1371" s="1">
        <f>IFERROR(__xludf.DUMMYFUNCTION("""COMPUTED_VALUE"""),1186173.0)</f>
        <v>1186173</v>
      </c>
    </row>
    <row r="1372">
      <c r="A1372" s="2">
        <f>IFERROR(__xludf.DUMMYFUNCTION("""COMPUTED_VALUE"""),44028.64583333333)</f>
        <v>44028.64583</v>
      </c>
      <c r="B1372" s="1">
        <f>IFERROR(__xludf.DUMMYFUNCTION("""COMPUTED_VALUE"""),3605.0)</f>
        <v>3605</v>
      </c>
      <c r="C1372" s="1">
        <f>IFERROR(__xludf.DUMMYFUNCTION("""COMPUTED_VALUE"""),3605.0)</f>
        <v>3605</v>
      </c>
      <c r="D1372" s="1">
        <f>IFERROR(__xludf.DUMMYFUNCTION("""COMPUTED_VALUE"""),3415.0)</f>
        <v>3415</v>
      </c>
      <c r="E1372" s="1">
        <f>IFERROR(__xludf.DUMMYFUNCTION("""COMPUTED_VALUE"""),3440.0)</f>
        <v>3440</v>
      </c>
      <c r="F1372" s="1">
        <f>IFERROR(__xludf.DUMMYFUNCTION("""COMPUTED_VALUE"""),1420211.0)</f>
        <v>1420211</v>
      </c>
    </row>
    <row r="1373">
      <c r="A1373" s="2">
        <f>IFERROR(__xludf.DUMMYFUNCTION("""COMPUTED_VALUE"""),44029.64583333333)</f>
        <v>44029.64583</v>
      </c>
      <c r="B1373" s="1">
        <f>IFERROR(__xludf.DUMMYFUNCTION("""COMPUTED_VALUE"""),3450.0)</f>
        <v>3450</v>
      </c>
      <c r="C1373" s="1">
        <f>IFERROR(__xludf.DUMMYFUNCTION("""COMPUTED_VALUE"""),3495.0)</f>
        <v>3495</v>
      </c>
      <c r="D1373" s="1">
        <f>IFERROR(__xludf.DUMMYFUNCTION("""COMPUTED_VALUE"""),3400.0)</f>
        <v>3400</v>
      </c>
      <c r="E1373" s="1">
        <f>IFERROR(__xludf.DUMMYFUNCTION("""COMPUTED_VALUE"""),3420.0)</f>
        <v>3420</v>
      </c>
      <c r="F1373" s="1">
        <f>IFERROR(__xludf.DUMMYFUNCTION("""COMPUTED_VALUE"""),489046.0)</f>
        <v>489046</v>
      </c>
    </row>
    <row r="1374">
      <c r="A1374" s="2">
        <f>IFERROR(__xludf.DUMMYFUNCTION("""COMPUTED_VALUE"""),44032.64583333333)</f>
        <v>44032.64583</v>
      </c>
      <c r="B1374" s="1">
        <f>IFERROR(__xludf.DUMMYFUNCTION("""COMPUTED_VALUE"""),3440.0)</f>
        <v>3440</v>
      </c>
      <c r="C1374" s="1">
        <f>IFERROR(__xludf.DUMMYFUNCTION("""COMPUTED_VALUE"""),3715.0)</f>
        <v>3715</v>
      </c>
      <c r="D1374" s="1">
        <f>IFERROR(__xludf.DUMMYFUNCTION("""COMPUTED_VALUE"""),3405.0)</f>
        <v>3405</v>
      </c>
      <c r="E1374" s="1">
        <f>IFERROR(__xludf.DUMMYFUNCTION("""COMPUTED_VALUE"""),3715.0)</f>
        <v>3715</v>
      </c>
      <c r="F1374" s="1">
        <f>IFERROR(__xludf.DUMMYFUNCTION("""COMPUTED_VALUE"""),4632976.0)</f>
        <v>4632976</v>
      </c>
    </row>
    <row r="1375">
      <c r="A1375" s="2">
        <f>IFERROR(__xludf.DUMMYFUNCTION("""COMPUTED_VALUE"""),44033.64583333333)</f>
        <v>44033.64583</v>
      </c>
      <c r="B1375" s="1">
        <f>IFERROR(__xludf.DUMMYFUNCTION("""COMPUTED_VALUE"""),3585.0)</f>
        <v>3585</v>
      </c>
      <c r="C1375" s="1">
        <f>IFERROR(__xludf.DUMMYFUNCTION("""COMPUTED_VALUE"""),3610.0)</f>
        <v>3610</v>
      </c>
      <c r="D1375" s="1">
        <f>IFERROR(__xludf.DUMMYFUNCTION("""COMPUTED_VALUE"""),3505.0)</f>
        <v>3505</v>
      </c>
      <c r="E1375" s="1">
        <f>IFERROR(__xludf.DUMMYFUNCTION("""COMPUTED_VALUE"""),3520.0)</f>
        <v>3520</v>
      </c>
      <c r="F1375" s="1">
        <f>IFERROR(__xludf.DUMMYFUNCTION("""COMPUTED_VALUE"""),2671630.0)</f>
        <v>2671630</v>
      </c>
    </row>
    <row r="1376">
      <c r="A1376" s="2">
        <f>IFERROR(__xludf.DUMMYFUNCTION("""COMPUTED_VALUE"""),44034.64583333333)</f>
        <v>44034.64583</v>
      </c>
      <c r="B1376" s="1">
        <f>IFERROR(__xludf.DUMMYFUNCTION("""COMPUTED_VALUE"""),3530.0)</f>
        <v>3530</v>
      </c>
      <c r="C1376" s="1">
        <f>IFERROR(__xludf.DUMMYFUNCTION("""COMPUTED_VALUE"""),3535.0)</f>
        <v>3535</v>
      </c>
      <c r="D1376" s="1">
        <f>IFERROR(__xludf.DUMMYFUNCTION("""COMPUTED_VALUE"""),3445.0)</f>
        <v>3445</v>
      </c>
      <c r="E1376" s="1">
        <f>IFERROR(__xludf.DUMMYFUNCTION("""COMPUTED_VALUE"""),3450.0)</f>
        <v>3450</v>
      </c>
      <c r="F1376" s="1">
        <f>IFERROR(__xludf.DUMMYFUNCTION("""COMPUTED_VALUE"""),1058740.0)</f>
        <v>1058740</v>
      </c>
    </row>
    <row r="1377">
      <c r="A1377" s="2">
        <f>IFERROR(__xludf.DUMMYFUNCTION("""COMPUTED_VALUE"""),44035.64583333333)</f>
        <v>44035.64583</v>
      </c>
      <c r="B1377" s="1">
        <f>IFERROR(__xludf.DUMMYFUNCTION("""COMPUTED_VALUE"""),3440.0)</f>
        <v>3440</v>
      </c>
      <c r="C1377" s="1">
        <f>IFERROR(__xludf.DUMMYFUNCTION("""COMPUTED_VALUE"""),3545.0)</f>
        <v>3545</v>
      </c>
      <c r="D1377" s="1">
        <f>IFERROR(__xludf.DUMMYFUNCTION("""COMPUTED_VALUE"""),3420.0)</f>
        <v>3420</v>
      </c>
      <c r="E1377" s="1">
        <f>IFERROR(__xludf.DUMMYFUNCTION("""COMPUTED_VALUE"""),3420.0)</f>
        <v>3420</v>
      </c>
      <c r="F1377" s="1">
        <f>IFERROR(__xludf.DUMMYFUNCTION("""COMPUTED_VALUE"""),1305142.0)</f>
        <v>1305142</v>
      </c>
    </row>
    <row r="1378">
      <c r="A1378" s="2">
        <f>IFERROR(__xludf.DUMMYFUNCTION("""COMPUTED_VALUE"""),44036.64583333333)</f>
        <v>44036.64583</v>
      </c>
      <c r="B1378" s="1">
        <f>IFERROR(__xludf.DUMMYFUNCTION("""COMPUTED_VALUE"""),3430.0)</f>
        <v>3430</v>
      </c>
      <c r="C1378" s="1">
        <f>IFERROR(__xludf.DUMMYFUNCTION("""COMPUTED_VALUE"""),3490.0)</f>
        <v>3490</v>
      </c>
      <c r="D1378" s="1">
        <f>IFERROR(__xludf.DUMMYFUNCTION("""COMPUTED_VALUE"""),3335.0)</f>
        <v>3335</v>
      </c>
      <c r="E1378" s="1">
        <f>IFERROR(__xludf.DUMMYFUNCTION("""COMPUTED_VALUE"""),3390.0)</f>
        <v>3390</v>
      </c>
      <c r="F1378" s="1">
        <f>IFERROR(__xludf.DUMMYFUNCTION("""COMPUTED_VALUE"""),1004559.0)</f>
        <v>1004559</v>
      </c>
    </row>
    <row r="1379">
      <c r="A1379" s="2">
        <f>IFERROR(__xludf.DUMMYFUNCTION("""COMPUTED_VALUE"""),44039.64583333333)</f>
        <v>44039.64583</v>
      </c>
      <c r="B1379" s="1">
        <f>IFERROR(__xludf.DUMMYFUNCTION("""COMPUTED_VALUE"""),3365.0)</f>
        <v>3365</v>
      </c>
      <c r="C1379" s="1">
        <f>IFERROR(__xludf.DUMMYFUNCTION("""COMPUTED_VALUE"""),3430.0)</f>
        <v>3430</v>
      </c>
      <c r="D1379" s="1">
        <f>IFERROR(__xludf.DUMMYFUNCTION("""COMPUTED_VALUE"""),3365.0)</f>
        <v>3365</v>
      </c>
      <c r="E1379" s="1">
        <f>IFERROR(__xludf.DUMMYFUNCTION("""COMPUTED_VALUE"""),3385.0)</f>
        <v>3385</v>
      </c>
      <c r="F1379" s="1">
        <f>IFERROR(__xludf.DUMMYFUNCTION("""COMPUTED_VALUE"""),443900.0)</f>
        <v>443900</v>
      </c>
    </row>
    <row r="1380">
      <c r="A1380" s="2">
        <f>IFERROR(__xludf.DUMMYFUNCTION("""COMPUTED_VALUE"""),44040.64583333333)</f>
        <v>44040.64583</v>
      </c>
      <c r="B1380" s="1">
        <f>IFERROR(__xludf.DUMMYFUNCTION("""COMPUTED_VALUE"""),3400.0)</f>
        <v>3400</v>
      </c>
      <c r="C1380" s="1">
        <f>IFERROR(__xludf.DUMMYFUNCTION("""COMPUTED_VALUE"""),3480.0)</f>
        <v>3480</v>
      </c>
      <c r="D1380" s="1">
        <f>IFERROR(__xludf.DUMMYFUNCTION("""COMPUTED_VALUE"""),3390.0)</f>
        <v>3390</v>
      </c>
      <c r="E1380" s="1">
        <f>IFERROR(__xludf.DUMMYFUNCTION("""COMPUTED_VALUE"""),3440.0)</f>
        <v>3440</v>
      </c>
      <c r="F1380" s="1">
        <f>IFERROR(__xludf.DUMMYFUNCTION("""COMPUTED_VALUE"""),853848.0)</f>
        <v>853848</v>
      </c>
    </row>
    <row r="1381">
      <c r="A1381" s="2">
        <f>IFERROR(__xludf.DUMMYFUNCTION("""COMPUTED_VALUE"""),44041.64583333333)</f>
        <v>44041.64583</v>
      </c>
      <c r="B1381" s="1">
        <f>IFERROR(__xludf.DUMMYFUNCTION("""COMPUTED_VALUE"""),3385.0)</f>
        <v>3385</v>
      </c>
      <c r="C1381" s="1">
        <f>IFERROR(__xludf.DUMMYFUNCTION("""COMPUTED_VALUE"""),3460.0)</f>
        <v>3460</v>
      </c>
      <c r="D1381" s="1">
        <f>IFERROR(__xludf.DUMMYFUNCTION("""COMPUTED_VALUE"""),3385.0)</f>
        <v>3385</v>
      </c>
      <c r="E1381" s="1">
        <f>IFERROR(__xludf.DUMMYFUNCTION("""COMPUTED_VALUE"""),3410.0)</f>
        <v>3410</v>
      </c>
      <c r="F1381" s="1">
        <f>IFERROR(__xludf.DUMMYFUNCTION("""COMPUTED_VALUE"""),703050.0)</f>
        <v>703050</v>
      </c>
    </row>
    <row r="1382">
      <c r="A1382" s="2">
        <f>IFERROR(__xludf.DUMMYFUNCTION("""COMPUTED_VALUE"""),44042.64583333333)</f>
        <v>44042.64583</v>
      </c>
      <c r="B1382" s="1">
        <f>IFERROR(__xludf.DUMMYFUNCTION("""COMPUTED_VALUE"""),3455.0)</f>
        <v>3455</v>
      </c>
      <c r="C1382" s="1">
        <f>IFERROR(__xludf.DUMMYFUNCTION("""COMPUTED_VALUE"""),3460.0)</f>
        <v>3460</v>
      </c>
      <c r="D1382" s="1">
        <f>IFERROR(__xludf.DUMMYFUNCTION("""COMPUTED_VALUE"""),3400.0)</f>
        <v>3400</v>
      </c>
      <c r="E1382" s="1">
        <f>IFERROR(__xludf.DUMMYFUNCTION("""COMPUTED_VALUE"""),3415.0)</f>
        <v>3415</v>
      </c>
      <c r="F1382" s="1">
        <f>IFERROR(__xludf.DUMMYFUNCTION("""COMPUTED_VALUE"""),563163.0)</f>
        <v>563163</v>
      </c>
    </row>
    <row r="1383">
      <c r="A1383" s="2">
        <f>IFERROR(__xludf.DUMMYFUNCTION("""COMPUTED_VALUE"""),44043.64583333333)</f>
        <v>44043.64583</v>
      </c>
      <c r="B1383" s="1">
        <f>IFERROR(__xludf.DUMMYFUNCTION("""COMPUTED_VALUE"""),3415.0)</f>
        <v>3415</v>
      </c>
      <c r="C1383" s="1">
        <f>IFERROR(__xludf.DUMMYFUNCTION("""COMPUTED_VALUE"""),3485.0)</f>
        <v>3485</v>
      </c>
      <c r="D1383" s="1">
        <f>IFERROR(__xludf.DUMMYFUNCTION("""COMPUTED_VALUE"""),3405.0)</f>
        <v>3405</v>
      </c>
      <c r="E1383" s="1">
        <f>IFERROR(__xludf.DUMMYFUNCTION("""COMPUTED_VALUE"""),3460.0)</f>
        <v>3460</v>
      </c>
      <c r="F1383" s="1">
        <f>IFERROR(__xludf.DUMMYFUNCTION("""COMPUTED_VALUE"""),891422.0)</f>
        <v>891422</v>
      </c>
    </row>
    <row r="1384">
      <c r="A1384" s="2">
        <f>IFERROR(__xludf.DUMMYFUNCTION("""COMPUTED_VALUE"""),44046.64583333333)</f>
        <v>44046.64583</v>
      </c>
      <c r="B1384" s="1">
        <f>IFERROR(__xludf.DUMMYFUNCTION("""COMPUTED_VALUE"""),3520.0)</f>
        <v>3520</v>
      </c>
      <c r="C1384" s="1">
        <f>IFERROR(__xludf.DUMMYFUNCTION("""COMPUTED_VALUE"""),3645.0)</f>
        <v>3645</v>
      </c>
      <c r="D1384" s="1">
        <f>IFERROR(__xludf.DUMMYFUNCTION("""COMPUTED_VALUE"""),3470.0)</f>
        <v>3470</v>
      </c>
      <c r="E1384" s="1">
        <f>IFERROR(__xludf.DUMMYFUNCTION("""COMPUTED_VALUE"""),3610.0)</f>
        <v>3610</v>
      </c>
      <c r="F1384" s="1">
        <f>IFERROR(__xludf.DUMMYFUNCTION("""COMPUTED_VALUE"""),4059297.0)</f>
        <v>4059297</v>
      </c>
    </row>
    <row r="1385">
      <c r="A1385" s="2">
        <f>IFERROR(__xludf.DUMMYFUNCTION("""COMPUTED_VALUE"""),44047.64583333333)</f>
        <v>44047.64583</v>
      </c>
      <c r="B1385" s="1">
        <f>IFERROR(__xludf.DUMMYFUNCTION("""COMPUTED_VALUE"""),3630.0)</f>
        <v>3630</v>
      </c>
      <c r="C1385" s="1">
        <f>IFERROR(__xludf.DUMMYFUNCTION("""COMPUTED_VALUE"""),3675.0)</f>
        <v>3675</v>
      </c>
      <c r="D1385" s="1">
        <f>IFERROR(__xludf.DUMMYFUNCTION("""COMPUTED_VALUE"""),3560.0)</f>
        <v>3560</v>
      </c>
      <c r="E1385" s="1">
        <f>IFERROR(__xludf.DUMMYFUNCTION("""COMPUTED_VALUE"""),3670.0)</f>
        <v>3670</v>
      </c>
      <c r="F1385" s="1">
        <f>IFERROR(__xludf.DUMMYFUNCTION("""COMPUTED_VALUE"""),2659545.0)</f>
        <v>2659545</v>
      </c>
    </row>
    <row r="1386">
      <c r="A1386" s="2">
        <f>IFERROR(__xludf.DUMMYFUNCTION("""COMPUTED_VALUE"""),44048.64583333333)</f>
        <v>44048.64583</v>
      </c>
      <c r="B1386" s="1">
        <f>IFERROR(__xludf.DUMMYFUNCTION("""COMPUTED_VALUE"""),3810.0)</f>
        <v>3810</v>
      </c>
      <c r="C1386" s="1">
        <f>IFERROR(__xludf.DUMMYFUNCTION("""COMPUTED_VALUE"""),4185.0)</f>
        <v>4185</v>
      </c>
      <c r="D1386" s="1">
        <f>IFERROR(__xludf.DUMMYFUNCTION("""COMPUTED_VALUE"""),3755.0)</f>
        <v>3755</v>
      </c>
      <c r="E1386" s="1">
        <f>IFERROR(__xludf.DUMMYFUNCTION("""COMPUTED_VALUE"""),3765.0)</f>
        <v>3765</v>
      </c>
      <c r="F1386" s="1">
        <f>IFERROR(__xludf.DUMMYFUNCTION("""COMPUTED_VALUE"""),2.2894613E7)</f>
        <v>22894613</v>
      </c>
    </row>
    <row r="1387">
      <c r="A1387" s="2">
        <f>IFERROR(__xludf.DUMMYFUNCTION("""COMPUTED_VALUE"""),44049.64583333333)</f>
        <v>44049.64583</v>
      </c>
      <c r="B1387" s="1">
        <f>IFERROR(__xludf.DUMMYFUNCTION("""COMPUTED_VALUE"""),3850.0)</f>
        <v>3850</v>
      </c>
      <c r="C1387" s="1">
        <f>IFERROR(__xludf.DUMMYFUNCTION("""COMPUTED_VALUE"""),3990.0)</f>
        <v>3990</v>
      </c>
      <c r="D1387" s="1">
        <f>IFERROR(__xludf.DUMMYFUNCTION("""COMPUTED_VALUE"""),3610.0)</f>
        <v>3610</v>
      </c>
      <c r="E1387" s="1">
        <f>IFERROR(__xludf.DUMMYFUNCTION("""COMPUTED_VALUE"""),3910.0)</f>
        <v>3910</v>
      </c>
      <c r="F1387" s="1">
        <f>IFERROR(__xludf.DUMMYFUNCTION("""COMPUTED_VALUE"""),8476042.0)</f>
        <v>8476042</v>
      </c>
    </row>
    <row r="1388">
      <c r="A1388" s="2">
        <f>IFERROR(__xludf.DUMMYFUNCTION("""COMPUTED_VALUE"""),44050.64583333333)</f>
        <v>44050.64583</v>
      </c>
      <c r="B1388" s="1">
        <f>IFERROR(__xludf.DUMMYFUNCTION("""COMPUTED_VALUE"""),3890.0)</f>
        <v>3890</v>
      </c>
      <c r="C1388" s="1">
        <f>IFERROR(__xludf.DUMMYFUNCTION("""COMPUTED_VALUE"""),3940.0)</f>
        <v>3940</v>
      </c>
      <c r="D1388" s="1">
        <f>IFERROR(__xludf.DUMMYFUNCTION("""COMPUTED_VALUE"""),3775.0)</f>
        <v>3775</v>
      </c>
      <c r="E1388" s="1">
        <f>IFERROR(__xludf.DUMMYFUNCTION("""COMPUTED_VALUE"""),3800.0)</f>
        <v>3800</v>
      </c>
      <c r="F1388" s="1">
        <f>IFERROR(__xludf.DUMMYFUNCTION("""COMPUTED_VALUE"""),2188896.0)</f>
        <v>2188896</v>
      </c>
    </row>
    <row r="1389">
      <c r="A1389" s="2">
        <f>IFERROR(__xludf.DUMMYFUNCTION("""COMPUTED_VALUE"""),44053.64583333333)</f>
        <v>44053.64583</v>
      </c>
      <c r="B1389" s="1">
        <f>IFERROR(__xludf.DUMMYFUNCTION("""COMPUTED_VALUE"""),3865.0)</f>
        <v>3865</v>
      </c>
      <c r="C1389" s="1">
        <f>IFERROR(__xludf.DUMMYFUNCTION("""COMPUTED_VALUE"""),3925.0)</f>
        <v>3925</v>
      </c>
      <c r="D1389" s="1">
        <f>IFERROR(__xludf.DUMMYFUNCTION("""COMPUTED_VALUE"""),3800.0)</f>
        <v>3800</v>
      </c>
      <c r="E1389" s="1">
        <f>IFERROR(__xludf.DUMMYFUNCTION("""COMPUTED_VALUE"""),3860.0)</f>
        <v>3860</v>
      </c>
      <c r="F1389" s="1">
        <f>IFERROR(__xludf.DUMMYFUNCTION("""COMPUTED_VALUE"""),1634140.0)</f>
        <v>1634140</v>
      </c>
    </row>
    <row r="1390">
      <c r="A1390" s="2">
        <f>IFERROR(__xludf.DUMMYFUNCTION("""COMPUTED_VALUE"""),44054.64583333333)</f>
        <v>44054.64583</v>
      </c>
      <c r="B1390" s="1">
        <f>IFERROR(__xludf.DUMMYFUNCTION("""COMPUTED_VALUE"""),3830.0)</f>
        <v>3830</v>
      </c>
      <c r="C1390" s="1">
        <f>IFERROR(__xludf.DUMMYFUNCTION("""COMPUTED_VALUE"""),3930.0)</f>
        <v>3930</v>
      </c>
      <c r="D1390" s="1">
        <f>IFERROR(__xludf.DUMMYFUNCTION("""COMPUTED_VALUE"""),3815.0)</f>
        <v>3815</v>
      </c>
      <c r="E1390" s="1">
        <f>IFERROR(__xludf.DUMMYFUNCTION("""COMPUTED_VALUE"""),3820.0)</f>
        <v>3820</v>
      </c>
      <c r="F1390" s="1">
        <f>IFERROR(__xludf.DUMMYFUNCTION("""COMPUTED_VALUE"""),1372217.0)</f>
        <v>1372217</v>
      </c>
    </row>
    <row r="1391">
      <c r="A1391" s="2">
        <f>IFERROR(__xludf.DUMMYFUNCTION("""COMPUTED_VALUE"""),44055.64583333333)</f>
        <v>44055.64583</v>
      </c>
      <c r="B1391" s="1">
        <f>IFERROR(__xludf.DUMMYFUNCTION("""COMPUTED_VALUE"""),3840.0)</f>
        <v>3840</v>
      </c>
      <c r="C1391" s="1">
        <f>IFERROR(__xludf.DUMMYFUNCTION("""COMPUTED_VALUE"""),3875.0)</f>
        <v>3875</v>
      </c>
      <c r="D1391" s="1">
        <f>IFERROR(__xludf.DUMMYFUNCTION("""COMPUTED_VALUE"""),3660.0)</f>
        <v>3660</v>
      </c>
      <c r="E1391" s="1">
        <f>IFERROR(__xludf.DUMMYFUNCTION("""COMPUTED_VALUE"""),3720.0)</f>
        <v>3720</v>
      </c>
      <c r="F1391" s="1">
        <f>IFERROR(__xludf.DUMMYFUNCTION("""COMPUTED_VALUE"""),2076856.0)</f>
        <v>2076856</v>
      </c>
    </row>
    <row r="1392">
      <c r="A1392" s="2">
        <f>IFERROR(__xludf.DUMMYFUNCTION("""COMPUTED_VALUE"""),44056.64583333333)</f>
        <v>44056.64583</v>
      </c>
      <c r="B1392" s="1">
        <f>IFERROR(__xludf.DUMMYFUNCTION("""COMPUTED_VALUE"""),3730.0)</f>
        <v>3730</v>
      </c>
      <c r="C1392" s="1">
        <f>IFERROR(__xludf.DUMMYFUNCTION("""COMPUTED_VALUE"""),3835.0)</f>
        <v>3835</v>
      </c>
      <c r="D1392" s="1">
        <f>IFERROR(__xludf.DUMMYFUNCTION("""COMPUTED_VALUE"""),3725.0)</f>
        <v>3725</v>
      </c>
      <c r="E1392" s="1">
        <f>IFERROR(__xludf.DUMMYFUNCTION("""COMPUTED_VALUE"""),3760.0)</f>
        <v>3760</v>
      </c>
      <c r="F1392" s="1">
        <f>IFERROR(__xludf.DUMMYFUNCTION("""COMPUTED_VALUE"""),1214921.0)</f>
        <v>1214921</v>
      </c>
    </row>
    <row r="1393">
      <c r="A1393" s="2">
        <f>IFERROR(__xludf.DUMMYFUNCTION("""COMPUTED_VALUE"""),44057.64583333333)</f>
        <v>44057.64583</v>
      </c>
      <c r="B1393" s="1">
        <f>IFERROR(__xludf.DUMMYFUNCTION("""COMPUTED_VALUE"""),3800.0)</f>
        <v>3800</v>
      </c>
      <c r="C1393" s="1">
        <f>IFERROR(__xludf.DUMMYFUNCTION("""COMPUTED_VALUE"""),3810.0)</f>
        <v>3810</v>
      </c>
      <c r="D1393" s="1">
        <f>IFERROR(__xludf.DUMMYFUNCTION("""COMPUTED_VALUE"""),3650.0)</f>
        <v>3650</v>
      </c>
      <c r="E1393" s="1">
        <f>IFERROR(__xludf.DUMMYFUNCTION("""COMPUTED_VALUE"""),3685.0)</f>
        <v>3685</v>
      </c>
      <c r="F1393" s="1">
        <f>IFERROR(__xludf.DUMMYFUNCTION("""COMPUTED_VALUE"""),1203284.0)</f>
        <v>1203284</v>
      </c>
    </row>
    <row r="1394">
      <c r="A1394" s="2">
        <f>IFERROR(__xludf.DUMMYFUNCTION("""COMPUTED_VALUE"""),44061.64583333333)</f>
        <v>44061.64583</v>
      </c>
      <c r="B1394" s="1">
        <f>IFERROR(__xludf.DUMMYFUNCTION("""COMPUTED_VALUE"""),3605.0)</f>
        <v>3605</v>
      </c>
      <c r="C1394" s="1">
        <f>IFERROR(__xludf.DUMMYFUNCTION("""COMPUTED_VALUE"""),3670.0)</f>
        <v>3670</v>
      </c>
      <c r="D1394" s="1">
        <f>IFERROR(__xludf.DUMMYFUNCTION("""COMPUTED_VALUE"""),3245.0)</f>
        <v>3245</v>
      </c>
      <c r="E1394" s="1">
        <f>IFERROR(__xludf.DUMMYFUNCTION("""COMPUTED_VALUE"""),3330.0)</f>
        <v>3330</v>
      </c>
      <c r="F1394" s="1">
        <f>IFERROR(__xludf.DUMMYFUNCTION("""COMPUTED_VALUE"""),2133160.0)</f>
        <v>2133160</v>
      </c>
    </row>
    <row r="1395">
      <c r="A1395" s="2">
        <f>IFERROR(__xludf.DUMMYFUNCTION("""COMPUTED_VALUE"""),44062.64583333333)</f>
        <v>44062.64583</v>
      </c>
      <c r="B1395" s="1">
        <f>IFERROR(__xludf.DUMMYFUNCTION("""COMPUTED_VALUE"""),3360.0)</f>
        <v>3360</v>
      </c>
      <c r="C1395" s="1">
        <f>IFERROR(__xludf.DUMMYFUNCTION("""COMPUTED_VALUE"""),3490.0)</f>
        <v>3490</v>
      </c>
      <c r="D1395" s="1">
        <f>IFERROR(__xludf.DUMMYFUNCTION("""COMPUTED_VALUE"""),3355.0)</f>
        <v>3355</v>
      </c>
      <c r="E1395" s="1">
        <f>IFERROR(__xludf.DUMMYFUNCTION("""COMPUTED_VALUE"""),3385.0)</f>
        <v>3385</v>
      </c>
      <c r="F1395" s="1">
        <f>IFERROR(__xludf.DUMMYFUNCTION("""COMPUTED_VALUE"""),1098192.0)</f>
        <v>1098192</v>
      </c>
    </row>
    <row r="1396">
      <c r="A1396" s="2">
        <f>IFERROR(__xludf.DUMMYFUNCTION("""COMPUTED_VALUE"""),44063.64583333333)</f>
        <v>44063.64583</v>
      </c>
      <c r="B1396" s="1">
        <f>IFERROR(__xludf.DUMMYFUNCTION("""COMPUTED_VALUE"""),3375.0)</f>
        <v>3375</v>
      </c>
      <c r="C1396" s="1">
        <f>IFERROR(__xludf.DUMMYFUNCTION("""COMPUTED_VALUE"""),3380.0)</f>
        <v>3380</v>
      </c>
      <c r="D1396" s="1">
        <f>IFERROR(__xludf.DUMMYFUNCTION("""COMPUTED_VALUE"""),3100.0)</f>
        <v>3100</v>
      </c>
      <c r="E1396" s="1">
        <f>IFERROR(__xludf.DUMMYFUNCTION("""COMPUTED_VALUE"""),3160.0)</f>
        <v>3160</v>
      </c>
      <c r="F1396" s="1">
        <f>IFERROR(__xludf.DUMMYFUNCTION("""COMPUTED_VALUE"""),1497777.0)</f>
        <v>1497777</v>
      </c>
    </row>
    <row r="1397">
      <c r="A1397" s="2">
        <f>IFERROR(__xludf.DUMMYFUNCTION("""COMPUTED_VALUE"""),44064.64583333333)</f>
        <v>44064.64583</v>
      </c>
      <c r="B1397" s="1">
        <f>IFERROR(__xludf.DUMMYFUNCTION("""COMPUTED_VALUE"""),3195.0)</f>
        <v>3195</v>
      </c>
      <c r="C1397" s="1">
        <f>IFERROR(__xludf.DUMMYFUNCTION("""COMPUTED_VALUE"""),3230.0)</f>
        <v>3230</v>
      </c>
      <c r="D1397" s="1">
        <f>IFERROR(__xludf.DUMMYFUNCTION("""COMPUTED_VALUE"""),3075.0)</f>
        <v>3075</v>
      </c>
      <c r="E1397" s="1">
        <f>IFERROR(__xludf.DUMMYFUNCTION("""COMPUTED_VALUE"""),3170.0)</f>
        <v>3170</v>
      </c>
      <c r="F1397" s="1">
        <f>IFERROR(__xludf.DUMMYFUNCTION("""COMPUTED_VALUE"""),983692.0)</f>
        <v>983692</v>
      </c>
    </row>
    <row r="1398">
      <c r="A1398" s="2">
        <f>IFERROR(__xludf.DUMMYFUNCTION("""COMPUTED_VALUE"""),44067.64583333333)</f>
        <v>44067.64583</v>
      </c>
      <c r="B1398" s="1">
        <f>IFERROR(__xludf.DUMMYFUNCTION("""COMPUTED_VALUE"""),3120.0)</f>
        <v>3120</v>
      </c>
      <c r="C1398" s="1">
        <f>IFERROR(__xludf.DUMMYFUNCTION("""COMPUTED_VALUE"""),3275.0)</f>
        <v>3275</v>
      </c>
      <c r="D1398" s="1">
        <f>IFERROR(__xludf.DUMMYFUNCTION("""COMPUTED_VALUE"""),3050.0)</f>
        <v>3050</v>
      </c>
      <c r="E1398" s="1">
        <f>IFERROR(__xludf.DUMMYFUNCTION("""COMPUTED_VALUE"""),3240.0)</f>
        <v>3240</v>
      </c>
      <c r="F1398" s="1">
        <f>IFERROR(__xludf.DUMMYFUNCTION("""COMPUTED_VALUE"""),691170.0)</f>
        <v>691170</v>
      </c>
    </row>
    <row r="1399">
      <c r="A1399" s="2">
        <f>IFERROR(__xludf.DUMMYFUNCTION("""COMPUTED_VALUE"""),44068.64583333333)</f>
        <v>44068.64583</v>
      </c>
      <c r="B1399" s="1">
        <f>IFERROR(__xludf.DUMMYFUNCTION("""COMPUTED_VALUE"""),3235.0)</f>
        <v>3235</v>
      </c>
      <c r="C1399" s="1">
        <f>IFERROR(__xludf.DUMMYFUNCTION("""COMPUTED_VALUE"""),3385.0)</f>
        <v>3385</v>
      </c>
      <c r="D1399" s="1">
        <f>IFERROR(__xludf.DUMMYFUNCTION("""COMPUTED_VALUE"""),3235.0)</f>
        <v>3235</v>
      </c>
      <c r="E1399" s="1">
        <f>IFERROR(__xludf.DUMMYFUNCTION("""COMPUTED_VALUE"""),3340.0)</f>
        <v>3340</v>
      </c>
      <c r="F1399" s="1">
        <f>IFERROR(__xludf.DUMMYFUNCTION("""COMPUTED_VALUE"""),965087.0)</f>
        <v>965087</v>
      </c>
    </row>
    <row r="1400">
      <c r="A1400" s="2">
        <f>IFERROR(__xludf.DUMMYFUNCTION("""COMPUTED_VALUE"""),44069.64583333333)</f>
        <v>44069.64583</v>
      </c>
      <c r="B1400" s="1">
        <f>IFERROR(__xludf.DUMMYFUNCTION("""COMPUTED_VALUE"""),3365.0)</f>
        <v>3365</v>
      </c>
      <c r="C1400" s="1">
        <f>IFERROR(__xludf.DUMMYFUNCTION("""COMPUTED_VALUE"""),3380.0)</f>
        <v>3380</v>
      </c>
      <c r="D1400" s="1">
        <f>IFERROR(__xludf.DUMMYFUNCTION("""COMPUTED_VALUE"""),3255.0)</f>
        <v>3255</v>
      </c>
      <c r="E1400" s="1">
        <f>IFERROR(__xludf.DUMMYFUNCTION("""COMPUTED_VALUE"""),3370.0)</f>
        <v>3370</v>
      </c>
      <c r="F1400" s="1">
        <f>IFERROR(__xludf.DUMMYFUNCTION("""COMPUTED_VALUE"""),965876.0)</f>
        <v>965876</v>
      </c>
    </row>
    <row r="1401">
      <c r="A1401" s="2">
        <f>IFERROR(__xludf.DUMMYFUNCTION("""COMPUTED_VALUE"""),44070.64583333333)</f>
        <v>44070.64583</v>
      </c>
      <c r="B1401" s="1">
        <f>IFERROR(__xludf.DUMMYFUNCTION("""COMPUTED_VALUE"""),3415.0)</f>
        <v>3415</v>
      </c>
      <c r="C1401" s="1">
        <f>IFERROR(__xludf.DUMMYFUNCTION("""COMPUTED_VALUE"""),3430.0)</f>
        <v>3430</v>
      </c>
      <c r="D1401" s="1">
        <f>IFERROR(__xludf.DUMMYFUNCTION("""COMPUTED_VALUE"""),3285.0)</f>
        <v>3285</v>
      </c>
      <c r="E1401" s="1">
        <f>IFERROR(__xludf.DUMMYFUNCTION("""COMPUTED_VALUE"""),3330.0)</f>
        <v>3330</v>
      </c>
      <c r="F1401" s="1">
        <f>IFERROR(__xludf.DUMMYFUNCTION("""COMPUTED_VALUE"""),1168267.0)</f>
        <v>1168267</v>
      </c>
    </row>
    <row r="1402">
      <c r="A1402" s="2">
        <f>IFERROR(__xludf.DUMMYFUNCTION("""COMPUTED_VALUE"""),44071.64583333333)</f>
        <v>44071.64583</v>
      </c>
      <c r="B1402" s="1">
        <f>IFERROR(__xludf.DUMMYFUNCTION("""COMPUTED_VALUE"""),3340.0)</f>
        <v>3340</v>
      </c>
      <c r="C1402" s="1">
        <f>IFERROR(__xludf.DUMMYFUNCTION("""COMPUTED_VALUE"""),3390.0)</f>
        <v>3390</v>
      </c>
      <c r="D1402" s="1">
        <f>IFERROR(__xludf.DUMMYFUNCTION("""COMPUTED_VALUE"""),3310.0)</f>
        <v>3310</v>
      </c>
      <c r="E1402" s="1">
        <f>IFERROR(__xludf.DUMMYFUNCTION("""COMPUTED_VALUE"""),3355.0)</f>
        <v>3355</v>
      </c>
      <c r="F1402" s="1">
        <f>IFERROR(__xludf.DUMMYFUNCTION("""COMPUTED_VALUE"""),670485.0)</f>
        <v>670485</v>
      </c>
    </row>
    <row r="1403">
      <c r="A1403" s="2">
        <f>IFERROR(__xludf.DUMMYFUNCTION("""COMPUTED_VALUE"""),44074.64583333333)</f>
        <v>44074.64583</v>
      </c>
      <c r="B1403" s="1">
        <f>IFERROR(__xludf.DUMMYFUNCTION("""COMPUTED_VALUE"""),3365.0)</f>
        <v>3365</v>
      </c>
      <c r="C1403" s="1">
        <f>IFERROR(__xludf.DUMMYFUNCTION("""COMPUTED_VALUE"""),3745.0)</f>
        <v>3745</v>
      </c>
      <c r="D1403" s="1">
        <f>IFERROR(__xludf.DUMMYFUNCTION("""COMPUTED_VALUE"""),3365.0)</f>
        <v>3365</v>
      </c>
      <c r="E1403" s="1">
        <f>IFERROR(__xludf.DUMMYFUNCTION("""COMPUTED_VALUE"""),3590.0)</f>
        <v>3590</v>
      </c>
      <c r="F1403" s="1">
        <f>IFERROR(__xludf.DUMMYFUNCTION("""COMPUTED_VALUE"""),6186803.0)</f>
        <v>6186803</v>
      </c>
    </row>
    <row r="1404">
      <c r="A1404" s="2">
        <f>IFERROR(__xludf.DUMMYFUNCTION("""COMPUTED_VALUE"""),44075.64583333333)</f>
        <v>44075.64583</v>
      </c>
      <c r="B1404" s="1">
        <f>IFERROR(__xludf.DUMMYFUNCTION("""COMPUTED_VALUE"""),3480.0)</f>
        <v>3480</v>
      </c>
      <c r="C1404" s="1">
        <f>IFERROR(__xludf.DUMMYFUNCTION("""COMPUTED_VALUE"""),3690.0)</f>
        <v>3690</v>
      </c>
      <c r="D1404" s="1">
        <f>IFERROR(__xludf.DUMMYFUNCTION("""COMPUTED_VALUE"""),3480.0)</f>
        <v>3480</v>
      </c>
      <c r="E1404" s="1">
        <f>IFERROR(__xludf.DUMMYFUNCTION("""COMPUTED_VALUE"""),3645.0)</f>
        <v>3645</v>
      </c>
      <c r="F1404" s="1">
        <f>IFERROR(__xludf.DUMMYFUNCTION("""COMPUTED_VALUE"""),2373003.0)</f>
        <v>2373003</v>
      </c>
    </row>
    <row r="1405">
      <c r="A1405" s="2">
        <f>IFERROR(__xludf.DUMMYFUNCTION("""COMPUTED_VALUE"""),44076.64583333333)</f>
        <v>44076.64583</v>
      </c>
      <c r="B1405" s="1">
        <f>IFERROR(__xludf.DUMMYFUNCTION("""COMPUTED_VALUE"""),3645.0)</f>
        <v>3645</v>
      </c>
      <c r="C1405" s="1">
        <f>IFERROR(__xludf.DUMMYFUNCTION("""COMPUTED_VALUE"""),3715.0)</f>
        <v>3715</v>
      </c>
      <c r="D1405" s="1">
        <f>IFERROR(__xludf.DUMMYFUNCTION("""COMPUTED_VALUE"""),3590.0)</f>
        <v>3590</v>
      </c>
      <c r="E1405" s="1">
        <f>IFERROR(__xludf.DUMMYFUNCTION("""COMPUTED_VALUE"""),3650.0)</f>
        <v>3650</v>
      </c>
      <c r="F1405" s="1">
        <f>IFERROR(__xludf.DUMMYFUNCTION("""COMPUTED_VALUE"""),1240203.0)</f>
        <v>1240203</v>
      </c>
    </row>
    <row r="1406">
      <c r="A1406" s="2">
        <f>IFERROR(__xludf.DUMMYFUNCTION("""COMPUTED_VALUE"""),44077.64583333333)</f>
        <v>44077.64583</v>
      </c>
      <c r="B1406" s="1">
        <f>IFERROR(__xludf.DUMMYFUNCTION("""COMPUTED_VALUE"""),3640.0)</f>
        <v>3640</v>
      </c>
      <c r="C1406" s="1">
        <f>IFERROR(__xludf.DUMMYFUNCTION("""COMPUTED_VALUE"""),3720.0)</f>
        <v>3720</v>
      </c>
      <c r="D1406" s="1">
        <f>IFERROR(__xludf.DUMMYFUNCTION("""COMPUTED_VALUE"""),3615.0)</f>
        <v>3615</v>
      </c>
      <c r="E1406" s="1">
        <f>IFERROR(__xludf.DUMMYFUNCTION("""COMPUTED_VALUE"""),3690.0)</f>
        <v>3690</v>
      </c>
      <c r="F1406" s="1">
        <f>IFERROR(__xludf.DUMMYFUNCTION("""COMPUTED_VALUE"""),1348953.0)</f>
        <v>1348953</v>
      </c>
    </row>
    <row r="1407">
      <c r="A1407" s="2">
        <f>IFERROR(__xludf.DUMMYFUNCTION("""COMPUTED_VALUE"""),44078.64583333333)</f>
        <v>44078.64583</v>
      </c>
      <c r="B1407" s="1">
        <f>IFERROR(__xludf.DUMMYFUNCTION("""COMPUTED_VALUE"""),3490.0)</f>
        <v>3490</v>
      </c>
      <c r="C1407" s="1">
        <f>IFERROR(__xludf.DUMMYFUNCTION("""COMPUTED_VALUE"""),3615.0)</f>
        <v>3615</v>
      </c>
      <c r="D1407" s="1">
        <f>IFERROR(__xludf.DUMMYFUNCTION("""COMPUTED_VALUE"""),3405.0)</f>
        <v>3405</v>
      </c>
      <c r="E1407" s="1">
        <f>IFERROR(__xludf.DUMMYFUNCTION("""COMPUTED_VALUE"""),3595.0)</f>
        <v>3595</v>
      </c>
      <c r="F1407" s="1">
        <f>IFERROR(__xludf.DUMMYFUNCTION("""COMPUTED_VALUE"""),1134777.0)</f>
        <v>1134777</v>
      </c>
    </row>
    <row r="1408">
      <c r="A1408" s="2">
        <f>IFERROR(__xludf.DUMMYFUNCTION("""COMPUTED_VALUE"""),44081.64583333333)</f>
        <v>44081.64583</v>
      </c>
      <c r="B1408" s="1">
        <f>IFERROR(__xludf.DUMMYFUNCTION("""COMPUTED_VALUE"""),3605.0)</f>
        <v>3605</v>
      </c>
      <c r="C1408" s="1">
        <f>IFERROR(__xludf.DUMMYFUNCTION("""COMPUTED_VALUE"""),3705.0)</f>
        <v>3705</v>
      </c>
      <c r="D1408" s="1">
        <f>IFERROR(__xludf.DUMMYFUNCTION("""COMPUTED_VALUE"""),3540.0)</f>
        <v>3540</v>
      </c>
      <c r="E1408" s="1">
        <f>IFERROR(__xludf.DUMMYFUNCTION("""COMPUTED_VALUE"""),3635.0)</f>
        <v>3635</v>
      </c>
      <c r="F1408" s="1">
        <f>IFERROR(__xludf.DUMMYFUNCTION("""COMPUTED_VALUE"""),1650040.0)</f>
        <v>1650040</v>
      </c>
    </row>
    <row r="1409">
      <c r="A1409" s="2">
        <f>IFERROR(__xludf.DUMMYFUNCTION("""COMPUTED_VALUE"""),44083.64583333333)</f>
        <v>44083.64583</v>
      </c>
      <c r="B1409" s="1">
        <f>IFERROR(__xludf.DUMMYFUNCTION("""COMPUTED_VALUE"""),3655.0)</f>
        <v>3655</v>
      </c>
      <c r="C1409" s="1">
        <f>IFERROR(__xludf.DUMMYFUNCTION("""COMPUTED_VALUE"""),3845.0)</f>
        <v>3845</v>
      </c>
      <c r="D1409" s="1">
        <f>IFERROR(__xludf.DUMMYFUNCTION("""COMPUTED_VALUE"""),3600.0)</f>
        <v>3600</v>
      </c>
      <c r="E1409" s="1">
        <f>IFERROR(__xludf.DUMMYFUNCTION("""COMPUTED_VALUE"""),3690.0)</f>
        <v>3690</v>
      </c>
      <c r="F1409" s="1">
        <f>IFERROR(__xludf.DUMMYFUNCTION("""COMPUTED_VALUE"""),2942624.0)</f>
        <v>2942624</v>
      </c>
    </row>
    <row r="1410">
      <c r="A1410" s="2">
        <f>IFERROR(__xludf.DUMMYFUNCTION("""COMPUTED_VALUE"""),44084.64583333333)</f>
        <v>44084.64583</v>
      </c>
      <c r="B1410" s="1">
        <f>IFERROR(__xludf.DUMMYFUNCTION("""COMPUTED_VALUE"""),3760.0)</f>
        <v>3760</v>
      </c>
      <c r="C1410" s="1">
        <f>IFERROR(__xludf.DUMMYFUNCTION("""COMPUTED_VALUE"""),3790.0)</f>
        <v>3790</v>
      </c>
      <c r="D1410" s="1">
        <f>IFERROR(__xludf.DUMMYFUNCTION("""COMPUTED_VALUE"""),3640.0)</f>
        <v>3640</v>
      </c>
      <c r="E1410" s="1">
        <f>IFERROR(__xludf.DUMMYFUNCTION("""COMPUTED_VALUE"""),3710.0)</f>
        <v>3710</v>
      </c>
      <c r="F1410" s="1">
        <f>IFERROR(__xludf.DUMMYFUNCTION("""COMPUTED_VALUE"""),1575680.0)</f>
        <v>1575680</v>
      </c>
    </row>
    <row r="1411">
      <c r="A1411" s="2">
        <f>IFERROR(__xludf.DUMMYFUNCTION("""COMPUTED_VALUE"""),44085.64583333333)</f>
        <v>44085.64583</v>
      </c>
      <c r="B1411" s="1">
        <f>IFERROR(__xludf.DUMMYFUNCTION("""COMPUTED_VALUE"""),3860.0)</f>
        <v>3860</v>
      </c>
      <c r="C1411" s="1">
        <f>IFERROR(__xludf.DUMMYFUNCTION("""COMPUTED_VALUE"""),4245.0)</f>
        <v>4245</v>
      </c>
      <c r="D1411" s="1">
        <f>IFERROR(__xludf.DUMMYFUNCTION("""COMPUTED_VALUE"""),3740.0)</f>
        <v>3740</v>
      </c>
      <c r="E1411" s="1">
        <f>IFERROR(__xludf.DUMMYFUNCTION("""COMPUTED_VALUE"""),3740.0)</f>
        <v>3740</v>
      </c>
      <c r="F1411" s="1">
        <f>IFERROR(__xludf.DUMMYFUNCTION("""COMPUTED_VALUE"""),3.440572E7)</f>
        <v>34405720</v>
      </c>
    </row>
    <row r="1412">
      <c r="A1412" s="2">
        <f>IFERROR(__xludf.DUMMYFUNCTION("""COMPUTED_VALUE"""),44088.64583333333)</f>
        <v>44088.64583</v>
      </c>
      <c r="B1412" s="1">
        <f>IFERROR(__xludf.DUMMYFUNCTION("""COMPUTED_VALUE"""),3785.0)</f>
        <v>3785</v>
      </c>
      <c r="C1412" s="1">
        <f>IFERROR(__xludf.DUMMYFUNCTION("""COMPUTED_VALUE"""),3865.0)</f>
        <v>3865</v>
      </c>
      <c r="D1412" s="1">
        <f>IFERROR(__xludf.DUMMYFUNCTION("""COMPUTED_VALUE"""),3740.0)</f>
        <v>3740</v>
      </c>
      <c r="E1412" s="1">
        <f>IFERROR(__xludf.DUMMYFUNCTION("""COMPUTED_VALUE"""),3860.0)</f>
        <v>3860</v>
      </c>
      <c r="F1412" s="1">
        <f>IFERROR(__xludf.DUMMYFUNCTION("""COMPUTED_VALUE"""),2706047.0)</f>
        <v>2706047</v>
      </c>
    </row>
    <row r="1413">
      <c r="A1413" s="2">
        <f>IFERROR(__xludf.DUMMYFUNCTION("""COMPUTED_VALUE"""),44089.64583333333)</f>
        <v>44089.64583</v>
      </c>
      <c r="B1413" s="1">
        <f>IFERROR(__xludf.DUMMYFUNCTION("""COMPUTED_VALUE"""),3855.0)</f>
        <v>3855</v>
      </c>
      <c r="C1413" s="1">
        <f>IFERROR(__xludf.DUMMYFUNCTION("""COMPUTED_VALUE"""),4240.0)</f>
        <v>4240</v>
      </c>
      <c r="D1413" s="1">
        <f>IFERROR(__xludf.DUMMYFUNCTION("""COMPUTED_VALUE"""),3755.0)</f>
        <v>3755</v>
      </c>
      <c r="E1413" s="1">
        <f>IFERROR(__xludf.DUMMYFUNCTION("""COMPUTED_VALUE"""),3870.0)</f>
        <v>3870</v>
      </c>
      <c r="F1413" s="1">
        <f>IFERROR(__xludf.DUMMYFUNCTION("""COMPUTED_VALUE"""),2.2890781E7)</f>
        <v>22890781</v>
      </c>
    </row>
    <row r="1414">
      <c r="A1414" s="2">
        <f>IFERROR(__xludf.DUMMYFUNCTION("""COMPUTED_VALUE"""),44090.64583333333)</f>
        <v>44090.64583</v>
      </c>
      <c r="B1414" s="1">
        <f>IFERROR(__xludf.DUMMYFUNCTION("""COMPUTED_VALUE"""),3840.0)</f>
        <v>3840</v>
      </c>
      <c r="C1414" s="1">
        <f>IFERROR(__xludf.DUMMYFUNCTION("""COMPUTED_VALUE"""),4200.0)</f>
        <v>4200</v>
      </c>
      <c r="D1414" s="1">
        <f>IFERROR(__xludf.DUMMYFUNCTION("""COMPUTED_VALUE"""),3840.0)</f>
        <v>3840</v>
      </c>
      <c r="E1414" s="1">
        <f>IFERROR(__xludf.DUMMYFUNCTION("""COMPUTED_VALUE"""),4165.0)</f>
        <v>4165</v>
      </c>
      <c r="F1414" s="1">
        <f>IFERROR(__xludf.DUMMYFUNCTION("""COMPUTED_VALUE"""),2.2671304E7)</f>
        <v>22671304</v>
      </c>
    </row>
    <row r="1415">
      <c r="A1415" s="2">
        <f>IFERROR(__xludf.DUMMYFUNCTION("""COMPUTED_VALUE"""),44091.64583333333)</f>
        <v>44091.64583</v>
      </c>
      <c r="B1415" s="1">
        <f>IFERROR(__xludf.DUMMYFUNCTION("""COMPUTED_VALUE"""),4290.0)</f>
        <v>4290</v>
      </c>
      <c r="C1415" s="1">
        <f>IFERROR(__xludf.DUMMYFUNCTION("""COMPUTED_VALUE"""),4900.0)</f>
        <v>4900</v>
      </c>
      <c r="D1415" s="1">
        <f>IFERROR(__xludf.DUMMYFUNCTION("""COMPUTED_VALUE"""),4090.0)</f>
        <v>4090</v>
      </c>
      <c r="E1415" s="1">
        <f>IFERROR(__xludf.DUMMYFUNCTION("""COMPUTED_VALUE"""),4130.0)</f>
        <v>4130</v>
      </c>
      <c r="F1415" s="1">
        <f>IFERROR(__xludf.DUMMYFUNCTION("""COMPUTED_VALUE"""),6.9234694E7)</f>
        <v>69234694</v>
      </c>
    </row>
    <row r="1416">
      <c r="A1416" s="2">
        <f>IFERROR(__xludf.DUMMYFUNCTION("""COMPUTED_VALUE"""),44092.64583333333)</f>
        <v>44092.64583</v>
      </c>
      <c r="B1416" s="1">
        <f>IFERROR(__xludf.DUMMYFUNCTION("""COMPUTED_VALUE"""),4155.0)</f>
        <v>4155</v>
      </c>
      <c r="C1416" s="1">
        <f>IFERROR(__xludf.DUMMYFUNCTION("""COMPUTED_VALUE"""),4290.0)</f>
        <v>4290</v>
      </c>
      <c r="D1416" s="1">
        <f>IFERROR(__xludf.DUMMYFUNCTION("""COMPUTED_VALUE"""),3890.0)</f>
        <v>3890</v>
      </c>
      <c r="E1416" s="1">
        <f>IFERROR(__xludf.DUMMYFUNCTION("""COMPUTED_VALUE"""),3905.0)</f>
        <v>3905</v>
      </c>
      <c r="F1416" s="1">
        <f>IFERROR(__xludf.DUMMYFUNCTION("""COMPUTED_VALUE"""),7627807.0)</f>
        <v>7627807</v>
      </c>
    </row>
    <row r="1417">
      <c r="A1417" s="2">
        <f>IFERROR(__xludf.DUMMYFUNCTION("""COMPUTED_VALUE"""),44095.64583333333)</f>
        <v>44095.64583</v>
      </c>
      <c r="B1417" s="1">
        <f>IFERROR(__xludf.DUMMYFUNCTION("""COMPUTED_VALUE"""),3915.0)</f>
        <v>3915</v>
      </c>
      <c r="C1417" s="1">
        <f>IFERROR(__xludf.DUMMYFUNCTION("""COMPUTED_VALUE"""),3965.0)</f>
        <v>3965</v>
      </c>
      <c r="D1417" s="1">
        <f>IFERROR(__xludf.DUMMYFUNCTION("""COMPUTED_VALUE"""),3670.0)</f>
        <v>3670</v>
      </c>
      <c r="E1417" s="1">
        <f>IFERROR(__xludf.DUMMYFUNCTION("""COMPUTED_VALUE"""),3670.0)</f>
        <v>3670</v>
      </c>
      <c r="F1417" s="1">
        <f>IFERROR(__xludf.DUMMYFUNCTION("""COMPUTED_VALUE"""),3408635.0)</f>
        <v>3408635</v>
      </c>
    </row>
    <row r="1418">
      <c r="A1418" s="2">
        <f>IFERROR(__xludf.DUMMYFUNCTION("""COMPUTED_VALUE"""),44096.64583333333)</f>
        <v>44096.64583</v>
      </c>
      <c r="B1418" s="1">
        <f>IFERROR(__xludf.DUMMYFUNCTION("""COMPUTED_VALUE"""),3665.0)</f>
        <v>3665</v>
      </c>
      <c r="C1418" s="1">
        <f>IFERROR(__xludf.DUMMYFUNCTION("""COMPUTED_VALUE"""),3825.0)</f>
        <v>3825</v>
      </c>
      <c r="D1418" s="1">
        <f>IFERROR(__xludf.DUMMYFUNCTION("""COMPUTED_VALUE"""),3580.0)</f>
        <v>3580</v>
      </c>
      <c r="E1418" s="1">
        <f>IFERROR(__xludf.DUMMYFUNCTION("""COMPUTED_VALUE"""),3615.0)</f>
        <v>3615</v>
      </c>
      <c r="F1418" s="1">
        <f>IFERROR(__xludf.DUMMYFUNCTION("""COMPUTED_VALUE"""),3347303.0)</f>
        <v>3347303</v>
      </c>
    </row>
    <row r="1419">
      <c r="A1419" s="2">
        <f>IFERROR(__xludf.DUMMYFUNCTION("""COMPUTED_VALUE"""),44097.64583333333)</f>
        <v>44097.64583</v>
      </c>
      <c r="B1419" s="1">
        <f>IFERROR(__xludf.DUMMYFUNCTION("""COMPUTED_VALUE"""),3615.0)</f>
        <v>3615</v>
      </c>
      <c r="C1419" s="1">
        <f>IFERROR(__xludf.DUMMYFUNCTION("""COMPUTED_VALUE"""),4020.0)</f>
        <v>4020</v>
      </c>
      <c r="D1419" s="1">
        <f>IFERROR(__xludf.DUMMYFUNCTION("""COMPUTED_VALUE"""),3535.0)</f>
        <v>3535</v>
      </c>
      <c r="E1419" s="1">
        <f>IFERROR(__xludf.DUMMYFUNCTION("""COMPUTED_VALUE"""),4020.0)</f>
        <v>4020</v>
      </c>
      <c r="F1419" s="1">
        <f>IFERROR(__xludf.DUMMYFUNCTION("""COMPUTED_VALUE"""),7442323.0)</f>
        <v>7442323</v>
      </c>
    </row>
    <row r="1420">
      <c r="A1420" s="2">
        <f>IFERROR(__xludf.DUMMYFUNCTION("""COMPUTED_VALUE"""),44098.64583333333)</f>
        <v>44098.64583</v>
      </c>
      <c r="B1420" s="1">
        <f>IFERROR(__xludf.DUMMYFUNCTION("""COMPUTED_VALUE"""),4270.0)</f>
        <v>4270</v>
      </c>
      <c r="C1420" s="1">
        <f>IFERROR(__xludf.DUMMYFUNCTION("""COMPUTED_VALUE"""),4330.0)</f>
        <v>4330</v>
      </c>
      <c r="D1420" s="1">
        <f>IFERROR(__xludf.DUMMYFUNCTION("""COMPUTED_VALUE"""),3770.0)</f>
        <v>3770</v>
      </c>
      <c r="E1420" s="1">
        <f>IFERROR(__xludf.DUMMYFUNCTION("""COMPUTED_VALUE"""),3790.0)</f>
        <v>3790</v>
      </c>
      <c r="F1420" s="1">
        <f>IFERROR(__xludf.DUMMYFUNCTION("""COMPUTED_VALUE"""),9460547.0)</f>
        <v>9460547</v>
      </c>
    </row>
    <row r="1421">
      <c r="A1421" s="2">
        <f>IFERROR(__xludf.DUMMYFUNCTION("""COMPUTED_VALUE"""),44099.64583333333)</f>
        <v>44099.64583</v>
      </c>
      <c r="B1421" s="1">
        <f>IFERROR(__xludf.DUMMYFUNCTION("""COMPUTED_VALUE"""),3870.0)</f>
        <v>3870</v>
      </c>
      <c r="C1421" s="1">
        <f>IFERROR(__xludf.DUMMYFUNCTION("""COMPUTED_VALUE"""),4080.0)</f>
        <v>4080</v>
      </c>
      <c r="D1421" s="1">
        <f>IFERROR(__xludf.DUMMYFUNCTION("""COMPUTED_VALUE"""),3770.0)</f>
        <v>3770</v>
      </c>
      <c r="E1421" s="1">
        <f>IFERROR(__xludf.DUMMYFUNCTION("""COMPUTED_VALUE"""),4010.0)</f>
        <v>4010</v>
      </c>
      <c r="F1421" s="1">
        <f>IFERROR(__xludf.DUMMYFUNCTION("""COMPUTED_VALUE"""),6006462.0)</f>
        <v>6006462</v>
      </c>
    </row>
    <row r="1422">
      <c r="A1422" s="2">
        <f>IFERROR(__xludf.DUMMYFUNCTION("""COMPUTED_VALUE"""),44102.64583333333)</f>
        <v>44102.64583</v>
      </c>
      <c r="B1422" s="1">
        <f>IFERROR(__xludf.DUMMYFUNCTION("""COMPUTED_VALUE"""),4035.0)</f>
        <v>4035</v>
      </c>
      <c r="C1422" s="1">
        <f>IFERROR(__xludf.DUMMYFUNCTION("""COMPUTED_VALUE"""),4425.0)</f>
        <v>4425</v>
      </c>
      <c r="D1422" s="1">
        <f>IFERROR(__xludf.DUMMYFUNCTION("""COMPUTED_VALUE"""),4035.0)</f>
        <v>4035</v>
      </c>
      <c r="E1422" s="1">
        <f>IFERROR(__xludf.DUMMYFUNCTION("""COMPUTED_VALUE"""),4225.0)</f>
        <v>4225</v>
      </c>
      <c r="F1422" s="1">
        <f>IFERROR(__xludf.DUMMYFUNCTION("""COMPUTED_VALUE"""),2.2174648E7)</f>
        <v>22174648</v>
      </c>
    </row>
    <row r="1423">
      <c r="A1423" s="2">
        <f>IFERROR(__xludf.DUMMYFUNCTION("""COMPUTED_VALUE"""),44103.64583333333)</f>
        <v>44103.64583</v>
      </c>
      <c r="B1423" s="1">
        <f>IFERROR(__xludf.DUMMYFUNCTION("""COMPUTED_VALUE"""),4245.0)</f>
        <v>4245</v>
      </c>
      <c r="C1423" s="1">
        <f>IFERROR(__xludf.DUMMYFUNCTION("""COMPUTED_VALUE"""),4445.0)</f>
        <v>4445</v>
      </c>
      <c r="D1423" s="1">
        <f>IFERROR(__xludf.DUMMYFUNCTION("""COMPUTED_VALUE"""),4110.0)</f>
        <v>4110</v>
      </c>
      <c r="E1423" s="1">
        <f>IFERROR(__xludf.DUMMYFUNCTION("""COMPUTED_VALUE"""),4395.0)</f>
        <v>4395</v>
      </c>
      <c r="F1423" s="1">
        <f>IFERROR(__xludf.DUMMYFUNCTION("""COMPUTED_VALUE"""),1.4879379E7)</f>
        <v>14879379</v>
      </c>
    </row>
    <row r="1424">
      <c r="A1424" s="2">
        <f>IFERROR(__xludf.DUMMYFUNCTION("""COMPUTED_VALUE"""),44109.64583333333)</f>
        <v>44109.64583</v>
      </c>
      <c r="B1424" s="1">
        <f>IFERROR(__xludf.DUMMYFUNCTION("""COMPUTED_VALUE"""),4355.0)</f>
        <v>4355</v>
      </c>
      <c r="C1424" s="1">
        <f>IFERROR(__xludf.DUMMYFUNCTION("""COMPUTED_VALUE"""),4520.0)</f>
        <v>4520</v>
      </c>
      <c r="D1424" s="1">
        <f>IFERROR(__xludf.DUMMYFUNCTION("""COMPUTED_VALUE"""),4260.0)</f>
        <v>4260</v>
      </c>
      <c r="E1424" s="1">
        <f>IFERROR(__xludf.DUMMYFUNCTION("""COMPUTED_VALUE"""),4385.0)</f>
        <v>4385</v>
      </c>
      <c r="F1424" s="1">
        <f>IFERROR(__xludf.DUMMYFUNCTION("""COMPUTED_VALUE"""),8067850.0)</f>
        <v>8067850</v>
      </c>
    </row>
    <row r="1425">
      <c r="A1425" s="2">
        <f>IFERROR(__xludf.DUMMYFUNCTION("""COMPUTED_VALUE"""),44110.64583333333)</f>
        <v>44110.64583</v>
      </c>
      <c r="B1425" s="1">
        <f>IFERROR(__xludf.DUMMYFUNCTION("""COMPUTED_VALUE"""),4400.0)</f>
        <v>4400</v>
      </c>
      <c r="C1425" s="1">
        <f>IFERROR(__xludf.DUMMYFUNCTION("""COMPUTED_VALUE"""),4690.0)</f>
        <v>4690</v>
      </c>
      <c r="D1425" s="1">
        <f>IFERROR(__xludf.DUMMYFUNCTION("""COMPUTED_VALUE"""),4310.0)</f>
        <v>4310</v>
      </c>
      <c r="E1425" s="1">
        <f>IFERROR(__xludf.DUMMYFUNCTION("""COMPUTED_VALUE"""),4690.0)</f>
        <v>4690</v>
      </c>
      <c r="F1425" s="1">
        <f>IFERROR(__xludf.DUMMYFUNCTION("""COMPUTED_VALUE"""),2.6129016E7)</f>
        <v>26129016</v>
      </c>
    </row>
    <row r="1426">
      <c r="A1426" s="2">
        <f>IFERROR(__xludf.DUMMYFUNCTION("""COMPUTED_VALUE"""),44111.64583333333)</f>
        <v>44111.64583</v>
      </c>
      <c r="B1426" s="1">
        <f>IFERROR(__xludf.DUMMYFUNCTION("""COMPUTED_VALUE"""),4625.0)</f>
        <v>4625</v>
      </c>
      <c r="C1426" s="1">
        <f>IFERROR(__xludf.DUMMYFUNCTION("""COMPUTED_VALUE"""),4690.0)</f>
        <v>4690</v>
      </c>
      <c r="D1426" s="1">
        <f>IFERROR(__xludf.DUMMYFUNCTION("""COMPUTED_VALUE"""),4530.0)</f>
        <v>4530</v>
      </c>
      <c r="E1426" s="1">
        <f>IFERROR(__xludf.DUMMYFUNCTION("""COMPUTED_VALUE"""),4580.0)</f>
        <v>4580</v>
      </c>
      <c r="F1426" s="1">
        <f>IFERROR(__xludf.DUMMYFUNCTION("""COMPUTED_VALUE"""),6714282.0)</f>
        <v>6714282</v>
      </c>
    </row>
    <row r="1427">
      <c r="A1427" s="2">
        <f>IFERROR(__xludf.DUMMYFUNCTION("""COMPUTED_VALUE"""),44112.64583333333)</f>
        <v>44112.64583</v>
      </c>
      <c r="B1427" s="1">
        <f>IFERROR(__xludf.DUMMYFUNCTION("""COMPUTED_VALUE"""),4595.0)</f>
        <v>4595</v>
      </c>
      <c r="C1427" s="1">
        <f>IFERROR(__xludf.DUMMYFUNCTION("""COMPUTED_VALUE"""),4745.0)</f>
        <v>4745</v>
      </c>
      <c r="D1427" s="1">
        <f>IFERROR(__xludf.DUMMYFUNCTION("""COMPUTED_VALUE"""),4505.0)</f>
        <v>4505</v>
      </c>
      <c r="E1427" s="1">
        <f>IFERROR(__xludf.DUMMYFUNCTION("""COMPUTED_VALUE"""),4550.0)</f>
        <v>4550</v>
      </c>
      <c r="F1427" s="1">
        <f>IFERROR(__xludf.DUMMYFUNCTION("""COMPUTED_VALUE"""),1.012416E7)</f>
        <v>10124160</v>
      </c>
    </row>
    <row r="1428">
      <c r="A1428" s="2">
        <f>IFERROR(__xludf.DUMMYFUNCTION("""COMPUTED_VALUE"""),44116.64583333333)</f>
        <v>44116.64583</v>
      </c>
      <c r="B1428" s="1">
        <f>IFERROR(__xludf.DUMMYFUNCTION("""COMPUTED_VALUE"""),4540.0)</f>
        <v>4540</v>
      </c>
      <c r="C1428" s="1">
        <f>IFERROR(__xludf.DUMMYFUNCTION("""COMPUTED_VALUE"""),4545.0)</f>
        <v>4545</v>
      </c>
      <c r="D1428" s="1">
        <f>IFERROR(__xludf.DUMMYFUNCTION("""COMPUTED_VALUE"""),4410.0)</f>
        <v>4410</v>
      </c>
      <c r="E1428" s="1">
        <f>IFERROR(__xludf.DUMMYFUNCTION("""COMPUTED_VALUE"""),4430.0)</f>
        <v>4430</v>
      </c>
      <c r="F1428" s="1">
        <f>IFERROR(__xludf.DUMMYFUNCTION("""COMPUTED_VALUE"""),2293243.0)</f>
        <v>2293243</v>
      </c>
    </row>
    <row r="1429">
      <c r="A1429" s="2">
        <f>IFERROR(__xludf.DUMMYFUNCTION("""COMPUTED_VALUE"""),44117.64583333333)</f>
        <v>44117.64583</v>
      </c>
      <c r="B1429" s="1">
        <f>IFERROR(__xludf.DUMMYFUNCTION("""COMPUTED_VALUE"""),4450.0)</f>
        <v>4450</v>
      </c>
      <c r="C1429" s="1">
        <f>IFERROR(__xludf.DUMMYFUNCTION("""COMPUTED_VALUE"""),4625.0)</f>
        <v>4625</v>
      </c>
      <c r="D1429" s="1">
        <f>IFERROR(__xludf.DUMMYFUNCTION("""COMPUTED_VALUE"""),4350.0)</f>
        <v>4350</v>
      </c>
      <c r="E1429" s="1">
        <f>IFERROR(__xludf.DUMMYFUNCTION("""COMPUTED_VALUE"""),4610.0)</f>
        <v>4610</v>
      </c>
      <c r="F1429" s="1">
        <f>IFERROR(__xludf.DUMMYFUNCTION("""COMPUTED_VALUE"""),4102125.0)</f>
        <v>4102125</v>
      </c>
    </row>
    <row r="1430">
      <c r="A1430" s="2">
        <f>IFERROR(__xludf.DUMMYFUNCTION("""COMPUTED_VALUE"""),44118.64583333333)</f>
        <v>44118.64583</v>
      </c>
      <c r="B1430" s="1">
        <f>IFERROR(__xludf.DUMMYFUNCTION("""COMPUTED_VALUE"""),4580.0)</f>
        <v>4580</v>
      </c>
      <c r="C1430" s="1">
        <f>IFERROR(__xludf.DUMMYFUNCTION("""COMPUTED_VALUE"""),4675.0)</f>
        <v>4675</v>
      </c>
      <c r="D1430" s="1">
        <f>IFERROR(__xludf.DUMMYFUNCTION("""COMPUTED_VALUE"""),4470.0)</f>
        <v>4470</v>
      </c>
      <c r="E1430" s="1">
        <f>IFERROR(__xludf.DUMMYFUNCTION("""COMPUTED_VALUE"""),4575.0)</f>
        <v>4575</v>
      </c>
      <c r="F1430" s="1">
        <f>IFERROR(__xludf.DUMMYFUNCTION("""COMPUTED_VALUE"""),3853066.0)</f>
        <v>3853066</v>
      </c>
    </row>
    <row r="1431">
      <c r="A1431" s="2">
        <f>IFERROR(__xludf.DUMMYFUNCTION("""COMPUTED_VALUE"""),44119.64583333333)</f>
        <v>44119.64583</v>
      </c>
      <c r="B1431" s="1">
        <f>IFERROR(__xludf.DUMMYFUNCTION("""COMPUTED_VALUE"""),4600.0)</f>
        <v>4600</v>
      </c>
      <c r="C1431" s="1">
        <f>IFERROR(__xludf.DUMMYFUNCTION("""COMPUTED_VALUE"""),4645.0)</f>
        <v>4645</v>
      </c>
      <c r="D1431" s="1">
        <f>IFERROR(__xludf.DUMMYFUNCTION("""COMPUTED_VALUE"""),4375.0)</f>
        <v>4375</v>
      </c>
      <c r="E1431" s="1">
        <f>IFERROR(__xludf.DUMMYFUNCTION("""COMPUTED_VALUE"""),4425.0)</f>
        <v>4425</v>
      </c>
      <c r="F1431" s="1">
        <f>IFERROR(__xludf.DUMMYFUNCTION("""COMPUTED_VALUE"""),2344288.0)</f>
        <v>2344288</v>
      </c>
    </row>
    <row r="1432">
      <c r="A1432" s="2">
        <f>IFERROR(__xludf.DUMMYFUNCTION("""COMPUTED_VALUE"""),44120.64583333333)</f>
        <v>44120.64583</v>
      </c>
      <c r="B1432" s="1">
        <f>IFERROR(__xludf.DUMMYFUNCTION("""COMPUTED_VALUE"""),4425.0)</f>
        <v>4425</v>
      </c>
      <c r="C1432" s="1">
        <f>IFERROR(__xludf.DUMMYFUNCTION("""COMPUTED_VALUE"""),4515.0)</f>
        <v>4515</v>
      </c>
      <c r="D1432" s="1">
        <f>IFERROR(__xludf.DUMMYFUNCTION("""COMPUTED_VALUE"""),4205.0)</f>
        <v>4205</v>
      </c>
      <c r="E1432" s="1">
        <f>IFERROR(__xludf.DUMMYFUNCTION("""COMPUTED_VALUE"""),4300.0)</f>
        <v>4300</v>
      </c>
      <c r="F1432" s="1">
        <f>IFERROR(__xludf.DUMMYFUNCTION("""COMPUTED_VALUE"""),1841726.0)</f>
        <v>1841726</v>
      </c>
    </row>
    <row r="1433">
      <c r="A1433" s="2">
        <f>IFERROR(__xludf.DUMMYFUNCTION("""COMPUTED_VALUE"""),44123.64583333333)</f>
        <v>44123.64583</v>
      </c>
      <c r="B1433" s="1">
        <f>IFERROR(__xludf.DUMMYFUNCTION("""COMPUTED_VALUE"""),4320.0)</f>
        <v>4320</v>
      </c>
      <c r="C1433" s="1">
        <f>IFERROR(__xludf.DUMMYFUNCTION("""COMPUTED_VALUE"""),4750.0)</f>
        <v>4750</v>
      </c>
      <c r="D1433" s="1">
        <f>IFERROR(__xludf.DUMMYFUNCTION("""COMPUTED_VALUE"""),4255.0)</f>
        <v>4255</v>
      </c>
      <c r="E1433" s="1">
        <f>IFERROR(__xludf.DUMMYFUNCTION("""COMPUTED_VALUE"""),4380.0)</f>
        <v>4380</v>
      </c>
      <c r="F1433" s="1">
        <f>IFERROR(__xludf.DUMMYFUNCTION("""COMPUTED_VALUE"""),1.2278737E7)</f>
        <v>12278737</v>
      </c>
    </row>
    <row r="1434">
      <c r="A1434" s="2">
        <f>IFERROR(__xludf.DUMMYFUNCTION("""COMPUTED_VALUE"""),44124.64583333333)</f>
        <v>44124.64583</v>
      </c>
      <c r="B1434" s="1">
        <f>IFERROR(__xludf.DUMMYFUNCTION("""COMPUTED_VALUE"""),4375.0)</f>
        <v>4375</v>
      </c>
      <c r="C1434" s="1">
        <f>IFERROR(__xludf.DUMMYFUNCTION("""COMPUTED_VALUE"""),4570.0)</f>
        <v>4570</v>
      </c>
      <c r="D1434" s="1">
        <f>IFERROR(__xludf.DUMMYFUNCTION("""COMPUTED_VALUE"""),4315.0)</f>
        <v>4315</v>
      </c>
      <c r="E1434" s="1">
        <f>IFERROR(__xludf.DUMMYFUNCTION("""COMPUTED_VALUE"""),4520.0)</f>
        <v>4520</v>
      </c>
      <c r="F1434" s="1">
        <f>IFERROR(__xludf.DUMMYFUNCTION("""COMPUTED_VALUE"""),4134728.0)</f>
        <v>4134728</v>
      </c>
    </row>
    <row r="1435">
      <c r="A1435" s="2">
        <f>IFERROR(__xludf.DUMMYFUNCTION("""COMPUTED_VALUE"""),44125.64583333333)</f>
        <v>44125.64583</v>
      </c>
      <c r="B1435" s="1">
        <f>IFERROR(__xludf.DUMMYFUNCTION("""COMPUTED_VALUE"""),4530.0)</f>
        <v>4530</v>
      </c>
      <c r="C1435" s="1">
        <f>IFERROR(__xludf.DUMMYFUNCTION("""COMPUTED_VALUE"""),4560.0)</f>
        <v>4560</v>
      </c>
      <c r="D1435" s="1">
        <f>IFERROR(__xludf.DUMMYFUNCTION("""COMPUTED_VALUE"""),4395.0)</f>
        <v>4395</v>
      </c>
      <c r="E1435" s="1">
        <f>IFERROR(__xludf.DUMMYFUNCTION("""COMPUTED_VALUE"""),4395.0)</f>
        <v>4395</v>
      </c>
      <c r="F1435" s="1">
        <f>IFERROR(__xludf.DUMMYFUNCTION("""COMPUTED_VALUE"""),1821754.0)</f>
        <v>1821754</v>
      </c>
    </row>
    <row r="1436">
      <c r="A1436" s="2">
        <f>IFERROR(__xludf.DUMMYFUNCTION("""COMPUTED_VALUE"""),44126.64583333333)</f>
        <v>44126.64583</v>
      </c>
      <c r="B1436" s="1">
        <f>IFERROR(__xludf.DUMMYFUNCTION("""COMPUTED_VALUE"""),4330.0)</f>
        <v>4330</v>
      </c>
      <c r="C1436" s="1">
        <f>IFERROR(__xludf.DUMMYFUNCTION("""COMPUTED_VALUE"""),4645.0)</f>
        <v>4645</v>
      </c>
      <c r="D1436" s="1">
        <f>IFERROR(__xludf.DUMMYFUNCTION("""COMPUTED_VALUE"""),4305.0)</f>
        <v>4305</v>
      </c>
      <c r="E1436" s="1">
        <f>IFERROR(__xludf.DUMMYFUNCTION("""COMPUTED_VALUE"""),4560.0)</f>
        <v>4560</v>
      </c>
      <c r="F1436" s="1">
        <f>IFERROR(__xludf.DUMMYFUNCTION("""COMPUTED_VALUE"""),8999853.0)</f>
        <v>8999853</v>
      </c>
    </row>
    <row r="1437">
      <c r="A1437" s="2">
        <f>IFERROR(__xludf.DUMMYFUNCTION("""COMPUTED_VALUE"""),44127.64583333333)</f>
        <v>44127.64583</v>
      </c>
      <c r="B1437" s="1">
        <f>IFERROR(__xludf.DUMMYFUNCTION("""COMPUTED_VALUE"""),4525.0)</f>
        <v>4525</v>
      </c>
      <c r="C1437" s="1">
        <f>IFERROR(__xludf.DUMMYFUNCTION("""COMPUTED_VALUE"""),4560.0)</f>
        <v>4560</v>
      </c>
      <c r="D1437" s="1">
        <f>IFERROR(__xludf.DUMMYFUNCTION("""COMPUTED_VALUE"""),4400.0)</f>
        <v>4400</v>
      </c>
      <c r="E1437" s="1">
        <f>IFERROR(__xludf.DUMMYFUNCTION("""COMPUTED_VALUE"""),4400.0)</f>
        <v>4400</v>
      </c>
      <c r="F1437" s="1">
        <f>IFERROR(__xludf.DUMMYFUNCTION("""COMPUTED_VALUE"""),2379390.0)</f>
        <v>2379390</v>
      </c>
    </row>
    <row r="1438">
      <c r="A1438" s="2">
        <f>IFERROR(__xludf.DUMMYFUNCTION("""COMPUTED_VALUE"""),44130.64583333333)</f>
        <v>44130.64583</v>
      </c>
      <c r="B1438" s="1">
        <f>IFERROR(__xludf.DUMMYFUNCTION("""COMPUTED_VALUE"""),4415.0)</f>
        <v>4415</v>
      </c>
      <c r="C1438" s="1">
        <f>IFERROR(__xludf.DUMMYFUNCTION("""COMPUTED_VALUE"""),4420.0)</f>
        <v>4420</v>
      </c>
      <c r="D1438" s="1">
        <f>IFERROR(__xludf.DUMMYFUNCTION("""COMPUTED_VALUE"""),3975.0)</f>
        <v>3975</v>
      </c>
      <c r="E1438" s="1">
        <f>IFERROR(__xludf.DUMMYFUNCTION("""COMPUTED_VALUE"""),3995.0)</f>
        <v>3995</v>
      </c>
      <c r="F1438" s="1">
        <f>IFERROR(__xludf.DUMMYFUNCTION("""COMPUTED_VALUE"""),2901124.0)</f>
        <v>2901124</v>
      </c>
    </row>
    <row r="1439">
      <c r="A1439" s="2">
        <f>IFERROR(__xludf.DUMMYFUNCTION("""COMPUTED_VALUE"""),44131.64583333333)</f>
        <v>44131.64583</v>
      </c>
      <c r="B1439" s="1">
        <f>IFERROR(__xludf.DUMMYFUNCTION("""COMPUTED_VALUE"""),3930.0)</f>
        <v>3930</v>
      </c>
      <c r="C1439" s="1">
        <f>IFERROR(__xludf.DUMMYFUNCTION("""COMPUTED_VALUE"""),4235.0)</f>
        <v>4235</v>
      </c>
      <c r="D1439" s="1">
        <f>IFERROR(__xludf.DUMMYFUNCTION("""COMPUTED_VALUE"""),3900.0)</f>
        <v>3900</v>
      </c>
      <c r="E1439" s="1">
        <f>IFERROR(__xludf.DUMMYFUNCTION("""COMPUTED_VALUE"""),3930.0)</f>
        <v>3930</v>
      </c>
      <c r="F1439" s="1">
        <f>IFERROR(__xludf.DUMMYFUNCTION("""COMPUTED_VALUE"""),3172928.0)</f>
        <v>3172928</v>
      </c>
    </row>
    <row r="1440">
      <c r="A1440" s="2">
        <f>IFERROR(__xludf.DUMMYFUNCTION("""COMPUTED_VALUE"""),44132.64583333333)</f>
        <v>44132.64583</v>
      </c>
      <c r="B1440" s="1">
        <f>IFERROR(__xludf.DUMMYFUNCTION("""COMPUTED_VALUE"""),3990.0)</f>
        <v>3990</v>
      </c>
      <c r="C1440" s="1">
        <f>IFERROR(__xludf.DUMMYFUNCTION("""COMPUTED_VALUE"""),4070.0)</f>
        <v>4070</v>
      </c>
      <c r="D1440" s="1">
        <f>IFERROR(__xludf.DUMMYFUNCTION("""COMPUTED_VALUE"""),3965.0)</f>
        <v>3965</v>
      </c>
      <c r="E1440" s="1">
        <f>IFERROR(__xludf.DUMMYFUNCTION("""COMPUTED_VALUE"""),4050.0)</f>
        <v>4050</v>
      </c>
      <c r="F1440" s="1">
        <f>IFERROR(__xludf.DUMMYFUNCTION("""COMPUTED_VALUE"""),1160379.0)</f>
        <v>1160379</v>
      </c>
    </row>
    <row r="1441">
      <c r="A1441" s="2">
        <f>IFERROR(__xludf.DUMMYFUNCTION("""COMPUTED_VALUE"""),44133.64583333333)</f>
        <v>44133.64583</v>
      </c>
      <c r="B1441" s="1">
        <f>IFERROR(__xludf.DUMMYFUNCTION("""COMPUTED_VALUE"""),3950.0)</f>
        <v>3950</v>
      </c>
      <c r="C1441" s="1">
        <f>IFERROR(__xludf.DUMMYFUNCTION("""COMPUTED_VALUE"""),4000.0)</f>
        <v>4000</v>
      </c>
      <c r="D1441" s="1">
        <f>IFERROR(__xludf.DUMMYFUNCTION("""COMPUTED_VALUE"""),3885.0)</f>
        <v>3885</v>
      </c>
      <c r="E1441" s="1">
        <f>IFERROR(__xludf.DUMMYFUNCTION("""COMPUTED_VALUE"""),3960.0)</f>
        <v>3960</v>
      </c>
      <c r="F1441" s="1">
        <f>IFERROR(__xludf.DUMMYFUNCTION("""COMPUTED_VALUE"""),1125980.0)</f>
        <v>1125980</v>
      </c>
    </row>
    <row r="1442">
      <c r="A1442" s="2">
        <f>IFERROR(__xludf.DUMMYFUNCTION("""COMPUTED_VALUE"""),44134.64583333333)</f>
        <v>44134.64583</v>
      </c>
      <c r="B1442" s="1">
        <f>IFERROR(__xludf.DUMMYFUNCTION("""COMPUTED_VALUE"""),3985.0)</f>
        <v>3985</v>
      </c>
      <c r="C1442" s="1">
        <f>IFERROR(__xludf.DUMMYFUNCTION("""COMPUTED_VALUE"""),4035.0)</f>
        <v>4035</v>
      </c>
      <c r="D1442" s="1">
        <f>IFERROR(__xludf.DUMMYFUNCTION("""COMPUTED_VALUE"""),3910.0)</f>
        <v>3910</v>
      </c>
      <c r="E1442" s="1">
        <f>IFERROR(__xludf.DUMMYFUNCTION("""COMPUTED_VALUE"""),3920.0)</f>
        <v>3920</v>
      </c>
      <c r="F1442" s="1">
        <f>IFERROR(__xludf.DUMMYFUNCTION("""COMPUTED_VALUE"""),890785.0)</f>
        <v>890785</v>
      </c>
    </row>
    <row r="1443">
      <c r="A1443" s="2">
        <f>IFERROR(__xludf.DUMMYFUNCTION("""COMPUTED_VALUE"""),44137.64583333333)</f>
        <v>44137.64583</v>
      </c>
      <c r="B1443" s="1">
        <f>IFERROR(__xludf.DUMMYFUNCTION("""COMPUTED_VALUE"""),3940.0)</f>
        <v>3940</v>
      </c>
      <c r="C1443" s="1">
        <f>IFERROR(__xludf.DUMMYFUNCTION("""COMPUTED_VALUE"""),3980.0)</f>
        <v>3980</v>
      </c>
      <c r="D1443" s="1">
        <f>IFERROR(__xludf.DUMMYFUNCTION("""COMPUTED_VALUE"""),3850.0)</f>
        <v>3850</v>
      </c>
      <c r="E1443" s="1">
        <f>IFERROR(__xludf.DUMMYFUNCTION("""COMPUTED_VALUE"""),3950.0)</f>
        <v>3950</v>
      </c>
      <c r="F1443" s="1">
        <f>IFERROR(__xludf.DUMMYFUNCTION("""COMPUTED_VALUE"""),611129.0)</f>
        <v>611129</v>
      </c>
    </row>
    <row r="1444">
      <c r="A1444" s="2">
        <f>IFERROR(__xludf.DUMMYFUNCTION("""COMPUTED_VALUE"""),44138.64583333333)</f>
        <v>44138.64583</v>
      </c>
      <c r="B1444" s="1">
        <f>IFERROR(__xludf.DUMMYFUNCTION("""COMPUTED_VALUE"""),4020.0)</f>
        <v>4020</v>
      </c>
      <c r="C1444" s="1">
        <f>IFERROR(__xludf.DUMMYFUNCTION("""COMPUTED_VALUE"""),4060.0)</f>
        <v>4060</v>
      </c>
      <c r="D1444" s="1">
        <f>IFERROR(__xludf.DUMMYFUNCTION("""COMPUTED_VALUE"""),3955.0)</f>
        <v>3955</v>
      </c>
      <c r="E1444" s="1">
        <f>IFERROR(__xludf.DUMMYFUNCTION("""COMPUTED_VALUE"""),3965.0)</f>
        <v>3965</v>
      </c>
      <c r="F1444" s="1">
        <f>IFERROR(__xludf.DUMMYFUNCTION("""COMPUTED_VALUE"""),862169.0)</f>
        <v>862169</v>
      </c>
    </row>
    <row r="1445">
      <c r="A1445" s="2">
        <f>IFERROR(__xludf.DUMMYFUNCTION("""COMPUTED_VALUE"""),44139.64583333333)</f>
        <v>44139.64583</v>
      </c>
      <c r="B1445" s="1">
        <f>IFERROR(__xludf.DUMMYFUNCTION("""COMPUTED_VALUE"""),4025.0)</f>
        <v>4025</v>
      </c>
      <c r="C1445" s="1">
        <f>IFERROR(__xludf.DUMMYFUNCTION("""COMPUTED_VALUE"""),4130.0)</f>
        <v>4130</v>
      </c>
      <c r="D1445" s="1">
        <f>IFERROR(__xludf.DUMMYFUNCTION("""COMPUTED_VALUE"""),3980.0)</f>
        <v>3980</v>
      </c>
      <c r="E1445" s="1">
        <f>IFERROR(__xludf.DUMMYFUNCTION("""COMPUTED_VALUE"""),4020.0)</f>
        <v>4020</v>
      </c>
      <c r="F1445" s="1">
        <f>IFERROR(__xludf.DUMMYFUNCTION("""COMPUTED_VALUE"""),1561538.0)</f>
        <v>1561538</v>
      </c>
    </row>
    <row r="1446">
      <c r="A1446" s="2">
        <f>IFERROR(__xludf.DUMMYFUNCTION("""COMPUTED_VALUE"""),44140.64583333333)</f>
        <v>44140.64583</v>
      </c>
      <c r="B1446" s="1">
        <f>IFERROR(__xludf.DUMMYFUNCTION("""COMPUTED_VALUE"""),4085.0)</f>
        <v>4085</v>
      </c>
      <c r="C1446" s="1">
        <f>IFERROR(__xludf.DUMMYFUNCTION("""COMPUTED_VALUE"""),4230.0)</f>
        <v>4230</v>
      </c>
      <c r="D1446" s="1">
        <f>IFERROR(__xludf.DUMMYFUNCTION("""COMPUTED_VALUE"""),4060.0)</f>
        <v>4060</v>
      </c>
      <c r="E1446" s="1">
        <f>IFERROR(__xludf.DUMMYFUNCTION("""COMPUTED_VALUE"""),4120.0)</f>
        <v>4120</v>
      </c>
      <c r="F1446" s="1">
        <f>IFERROR(__xludf.DUMMYFUNCTION("""COMPUTED_VALUE"""),2216667.0)</f>
        <v>2216667</v>
      </c>
    </row>
    <row r="1447">
      <c r="A1447" s="2">
        <f>IFERROR(__xludf.DUMMYFUNCTION("""COMPUTED_VALUE"""),44141.64583333333)</f>
        <v>44141.64583</v>
      </c>
      <c r="B1447" s="1">
        <f>IFERROR(__xludf.DUMMYFUNCTION("""COMPUTED_VALUE"""),4150.0)</f>
        <v>4150</v>
      </c>
      <c r="C1447" s="1">
        <f>IFERROR(__xludf.DUMMYFUNCTION("""COMPUTED_VALUE"""),4185.0)</f>
        <v>4185</v>
      </c>
      <c r="D1447" s="1">
        <f>IFERROR(__xludf.DUMMYFUNCTION("""COMPUTED_VALUE"""),4050.0)</f>
        <v>4050</v>
      </c>
      <c r="E1447" s="1">
        <f>IFERROR(__xludf.DUMMYFUNCTION("""COMPUTED_VALUE"""),4060.0)</f>
        <v>4060</v>
      </c>
      <c r="F1447" s="1">
        <f>IFERROR(__xludf.DUMMYFUNCTION("""COMPUTED_VALUE"""),1114673.0)</f>
        <v>1114673</v>
      </c>
    </row>
    <row r="1448">
      <c r="A1448" s="2">
        <f>IFERROR(__xludf.DUMMYFUNCTION("""COMPUTED_VALUE"""),44144.64583333333)</f>
        <v>44144.64583</v>
      </c>
      <c r="B1448" s="1">
        <f>IFERROR(__xludf.DUMMYFUNCTION("""COMPUTED_VALUE"""),4110.0)</f>
        <v>4110</v>
      </c>
      <c r="C1448" s="1">
        <f>IFERROR(__xludf.DUMMYFUNCTION("""COMPUTED_VALUE"""),4155.0)</f>
        <v>4155</v>
      </c>
      <c r="D1448" s="1">
        <f>IFERROR(__xludf.DUMMYFUNCTION("""COMPUTED_VALUE"""),4070.0)</f>
        <v>4070</v>
      </c>
      <c r="E1448" s="1">
        <f>IFERROR(__xludf.DUMMYFUNCTION("""COMPUTED_VALUE"""),4100.0)</f>
        <v>4100</v>
      </c>
      <c r="F1448" s="1">
        <f>IFERROR(__xludf.DUMMYFUNCTION("""COMPUTED_VALUE"""),933135.0)</f>
        <v>933135</v>
      </c>
    </row>
    <row r="1449">
      <c r="A1449" s="2">
        <f>IFERROR(__xludf.DUMMYFUNCTION("""COMPUTED_VALUE"""),44145.64583333333)</f>
        <v>44145.64583</v>
      </c>
      <c r="B1449" s="1">
        <f>IFERROR(__xludf.DUMMYFUNCTION("""COMPUTED_VALUE"""),4100.0)</f>
        <v>4100</v>
      </c>
      <c r="C1449" s="1">
        <f>IFERROR(__xludf.DUMMYFUNCTION("""COMPUTED_VALUE"""),4105.0)</f>
        <v>4105</v>
      </c>
      <c r="D1449" s="1">
        <f>IFERROR(__xludf.DUMMYFUNCTION("""COMPUTED_VALUE"""),4010.0)</f>
        <v>4010</v>
      </c>
      <c r="E1449" s="1">
        <f>IFERROR(__xludf.DUMMYFUNCTION("""COMPUTED_VALUE"""),4020.0)</f>
        <v>4020</v>
      </c>
      <c r="F1449" s="1">
        <f>IFERROR(__xludf.DUMMYFUNCTION("""COMPUTED_VALUE"""),640519.0)</f>
        <v>640519</v>
      </c>
    </row>
    <row r="1450">
      <c r="A1450" s="2">
        <f>IFERROR(__xludf.DUMMYFUNCTION("""COMPUTED_VALUE"""),44146.64583333333)</f>
        <v>44146.64583</v>
      </c>
      <c r="B1450" s="1">
        <f>IFERROR(__xludf.DUMMYFUNCTION("""COMPUTED_VALUE"""),4015.0)</f>
        <v>4015</v>
      </c>
      <c r="C1450" s="1">
        <f>IFERROR(__xludf.DUMMYFUNCTION("""COMPUTED_VALUE"""),4035.0)</f>
        <v>4035</v>
      </c>
      <c r="D1450" s="1">
        <f>IFERROR(__xludf.DUMMYFUNCTION("""COMPUTED_VALUE"""),3955.0)</f>
        <v>3955</v>
      </c>
      <c r="E1450" s="1">
        <f>IFERROR(__xludf.DUMMYFUNCTION("""COMPUTED_VALUE"""),3980.0)</f>
        <v>3980</v>
      </c>
      <c r="F1450" s="1">
        <f>IFERROR(__xludf.DUMMYFUNCTION("""COMPUTED_VALUE"""),814298.0)</f>
        <v>814298</v>
      </c>
    </row>
    <row r="1451">
      <c r="A1451" s="2">
        <f>IFERROR(__xludf.DUMMYFUNCTION("""COMPUTED_VALUE"""),44147.64583333333)</f>
        <v>44147.64583</v>
      </c>
      <c r="B1451" s="1">
        <f>IFERROR(__xludf.DUMMYFUNCTION("""COMPUTED_VALUE"""),4080.0)</f>
        <v>4080</v>
      </c>
      <c r="C1451" s="1">
        <f>IFERROR(__xludf.DUMMYFUNCTION("""COMPUTED_VALUE"""),4080.0)</f>
        <v>4080</v>
      </c>
      <c r="D1451" s="1">
        <f>IFERROR(__xludf.DUMMYFUNCTION("""COMPUTED_VALUE"""),3980.0)</f>
        <v>3980</v>
      </c>
      <c r="E1451" s="1">
        <f>IFERROR(__xludf.DUMMYFUNCTION("""COMPUTED_VALUE"""),3990.0)</f>
        <v>3990</v>
      </c>
      <c r="F1451" s="1">
        <f>IFERROR(__xludf.DUMMYFUNCTION("""COMPUTED_VALUE"""),704140.0)</f>
        <v>704140</v>
      </c>
    </row>
    <row r="1452">
      <c r="A1452" s="2">
        <f>IFERROR(__xludf.DUMMYFUNCTION("""COMPUTED_VALUE"""),44148.64583333333)</f>
        <v>44148.64583</v>
      </c>
      <c r="B1452" s="1">
        <f>IFERROR(__xludf.DUMMYFUNCTION("""COMPUTED_VALUE"""),3960.0)</f>
        <v>3960</v>
      </c>
      <c r="C1452" s="1">
        <f>IFERROR(__xludf.DUMMYFUNCTION("""COMPUTED_VALUE"""),4035.0)</f>
        <v>4035</v>
      </c>
      <c r="D1452" s="1">
        <f>IFERROR(__xludf.DUMMYFUNCTION("""COMPUTED_VALUE"""),3900.0)</f>
        <v>3900</v>
      </c>
      <c r="E1452" s="1">
        <f>IFERROR(__xludf.DUMMYFUNCTION("""COMPUTED_VALUE"""),3995.0)</f>
        <v>3995</v>
      </c>
      <c r="F1452" s="1">
        <f>IFERROR(__xludf.DUMMYFUNCTION("""COMPUTED_VALUE"""),909962.0)</f>
        <v>909962</v>
      </c>
    </row>
    <row r="1453">
      <c r="A1453" s="2">
        <f>IFERROR(__xludf.DUMMYFUNCTION("""COMPUTED_VALUE"""),44151.64583333333)</f>
        <v>44151.64583</v>
      </c>
      <c r="B1453" s="1">
        <f>IFERROR(__xludf.DUMMYFUNCTION("""COMPUTED_VALUE"""),4010.0)</f>
        <v>4010</v>
      </c>
      <c r="C1453" s="1">
        <f>IFERROR(__xludf.DUMMYFUNCTION("""COMPUTED_VALUE"""),4045.0)</f>
        <v>4045</v>
      </c>
      <c r="D1453" s="1">
        <f>IFERROR(__xludf.DUMMYFUNCTION("""COMPUTED_VALUE"""),3980.0)</f>
        <v>3980</v>
      </c>
      <c r="E1453" s="1">
        <f>IFERROR(__xludf.DUMMYFUNCTION("""COMPUTED_VALUE"""),4010.0)</f>
        <v>4010</v>
      </c>
      <c r="F1453" s="1">
        <f>IFERROR(__xludf.DUMMYFUNCTION("""COMPUTED_VALUE"""),687313.0)</f>
        <v>687313</v>
      </c>
    </row>
    <row r="1454">
      <c r="A1454" s="2">
        <f>IFERROR(__xludf.DUMMYFUNCTION("""COMPUTED_VALUE"""),44152.64583333333)</f>
        <v>44152.64583</v>
      </c>
      <c r="B1454" s="1">
        <f>IFERROR(__xludf.DUMMYFUNCTION("""COMPUTED_VALUE"""),4015.0)</f>
        <v>4015</v>
      </c>
      <c r="C1454" s="1">
        <f>IFERROR(__xludf.DUMMYFUNCTION("""COMPUTED_VALUE"""),4030.0)</f>
        <v>4030</v>
      </c>
      <c r="D1454" s="1">
        <f>IFERROR(__xludf.DUMMYFUNCTION("""COMPUTED_VALUE"""),3975.0)</f>
        <v>3975</v>
      </c>
      <c r="E1454" s="1">
        <f>IFERROR(__xludf.DUMMYFUNCTION("""COMPUTED_VALUE"""),4005.0)</f>
        <v>4005</v>
      </c>
      <c r="F1454" s="1">
        <f>IFERROR(__xludf.DUMMYFUNCTION("""COMPUTED_VALUE"""),559041.0)</f>
        <v>559041</v>
      </c>
    </row>
    <row r="1455">
      <c r="A1455" s="2">
        <f>IFERROR(__xludf.DUMMYFUNCTION("""COMPUTED_VALUE"""),44153.64583333333)</f>
        <v>44153.64583</v>
      </c>
      <c r="B1455" s="1">
        <f>IFERROR(__xludf.DUMMYFUNCTION("""COMPUTED_VALUE"""),4005.0)</f>
        <v>4005</v>
      </c>
      <c r="C1455" s="1">
        <f>IFERROR(__xludf.DUMMYFUNCTION("""COMPUTED_VALUE"""),4175.0)</f>
        <v>4175</v>
      </c>
      <c r="D1455" s="1">
        <f>IFERROR(__xludf.DUMMYFUNCTION("""COMPUTED_VALUE"""),4005.0)</f>
        <v>4005</v>
      </c>
      <c r="E1455" s="1">
        <f>IFERROR(__xludf.DUMMYFUNCTION("""COMPUTED_VALUE"""),4130.0)</f>
        <v>4130</v>
      </c>
      <c r="F1455" s="1">
        <f>IFERROR(__xludf.DUMMYFUNCTION("""COMPUTED_VALUE"""),2254889.0)</f>
        <v>2254889</v>
      </c>
    </row>
    <row r="1456">
      <c r="A1456" s="2">
        <f>IFERROR(__xludf.DUMMYFUNCTION("""COMPUTED_VALUE"""),44154.64583333333)</f>
        <v>44154.64583</v>
      </c>
      <c r="B1456" s="1">
        <f>IFERROR(__xludf.DUMMYFUNCTION("""COMPUTED_VALUE"""),4135.0)</f>
        <v>4135</v>
      </c>
      <c r="C1456" s="1">
        <f>IFERROR(__xludf.DUMMYFUNCTION("""COMPUTED_VALUE"""),4230.0)</f>
        <v>4230</v>
      </c>
      <c r="D1456" s="1">
        <f>IFERROR(__xludf.DUMMYFUNCTION("""COMPUTED_VALUE"""),4080.0)</f>
        <v>4080</v>
      </c>
      <c r="E1456" s="1">
        <f>IFERROR(__xludf.DUMMYFUNCTION("""COMPUTED_VALUE"""),4230.0)</f>
        <v>4230</v>
      </c>
      <c r="F1456" s="1">
        <f>IFERROR(__xludf.DUMMYFUNCTION("""COMPUTED_VALUE"""),1880907.0)</f>
        <v>1880907</v>
      </c>
    </row>
    <row r="1457">
      <c r="A1457" s="2">
        <f>IFERROR(__xludf.DUMMYFUNCTION("""COMPUTED_VALUE"""),44155.64583333333)</f>
        <v>44155.64583</v>
      </c>
      <c r="B1457" s="1">
        <f>IFERROR(__xludf.DUMMYFUNCTION("""COMPUTED_VALUE"""),4230.0)</f>
        <v>4230</v>
      </c>
      <c r="C1457" s="1">
        <f>IFERROR(__xludf.DUMMYFUNCTION("""COMPUTED_VALUE"""),4245.0)</f>
        <v>4245</v>
      </c>
      <c r="D1457" s="1">
        <f>IFERROR(__xludf.DUMMYFUNCTION("""COMPUTED_VALUE"""),4150.0)</f>
        <v>4150</v>
      </c>
      <c r="E1457" s="1">
        <f>IFERROR(__xludf.DUMMYFUNCTION("""COMPUTED_VALUE"""),4180.0)</f>
        <v>4180</v>
      </c>
      <c r="F1457" s="1">
        <f>IFERROR(__xludf.DUMMYFUNCTION("""COMPUTED_VALUE"""),881722.0)</f>
        <v>881722</v>
      </c>
    </row>
    <row r="1458">
      <c r="A1458" s="2">
        <f>IFERROR(__xludf.DUMMYFUNCTION("""COMPUTED_VALUE"""),44158.64583333333)</f>
        <v>44158.64583</v>
      </c>
      <c r="B1458" s="1">
        <f>IFERROR(__xludf.DUMMYFUNCTION("""COMPUTED_VALUE"""),4195.0)</f>
        <v>4195</v>
      </c>
      <c r="C1458" s="1">
        <f>IFERROR(__xludf.DUMMYFUNCTION("""COMPUTED_VALUE"""),4325.0)</f>
        <v>4325</v>
      </c>
      <c r="D1458" s="1">
        <f>IFERROR(__xludf.DUMMYFUNCTION("""COMPUTED_VALUE"""),4195.0)</f>
        <v>4195</v>
      </c>
      <c r="E1458" s="1">
        <f>IFERROR(__xludf.DUMMYFUNCTION("""COMPUTED_VALUE"""),4225.0)</f>
        <v>4225</v>
      </c>
      <c r="F1458" s="1">
        <f>IFERROR(__xludf.DUMMYFUNCTION("""COMPUTED_VALUE"""),2428186.0)</f>
        <v>2428186</v>
      </c>
    </row>
    <row r="1459">
      <c r="A1459" s="2">
        <f>IFERROR(__xludf.DUMMYFUNCTION("""COMPUTED_VALUE"""),44159.64583333333)</f>
        <v>44159.64583</v>
      </c>
      <c r="B1459" s="1">
        <f>IFERROR(__xludf.DUMMYFUNCTION("""COMPUTED_VALUE"""),4250.0)</f>
        <v>4250</v>
      </c>
      <c r="C1459" s="1">
        <f>IFERROR(__xludf.DUMMYFUNCTION("""COMPUTED_VALUE"""),4490.0)</f>
        <v>4490</v>
      </c>
      <c r="D1459" s="1">
        <f>IFERROR(__xludf.DUMMYFUNCTION("""COMPUTED_VALUE"""),4165.0)</f>
        <v>4165</v>
      </c>
      <c r="E1459" s="1">
        <f>IFERROR(__xludf.DUMMYFUNCTION("""COMPUTED_VALUE"""),4305.0)</f>
        <v>4305</v>
      </c>
      <c r="F1459" s="1">
        <f>IFERROR(__xludf.DUMMYFUNCTION("""COMPUTED_VALUE"""),5748399.0)</f>
        <v>5748399</v>
      </c>
    </row>
    <row r="1460">
      <c r="A1460" s="2">
        <f>IFERROR(__xludf.DUMMYFUNCTION("""COMPUTED_VALUE"""),44160.64583333333)</f>
        <v>44160.64583</v>
      </c>
      <c r="B1460" s="1">
        <f>IFERROR(__xludf.DUMMYFUNCTION("""COMPUTED_VALUE"""),4515.0)</f>
        <v>4515</v>
      </c>
      <c r="C1460" s="1">
        <f>IFERROR(__xludf.DUMMYFUNCTION("""COMPUTED_VALUE"""),4520.0)</f>
        <v>4520</v>
      </c>
      <c r="D1460" s="1">
        <f>IFERROR(__xludf.DUMMYFUNCTION("""COMPUTED_VALUE"""),4240.0)</f>
        <v>4240</v>
      </c>
      <c r="E1460" s="1">
        <f>IFERROR(__xludf.DUMMYFUNCTION("""COMPUTED_VALUE"""),4350.0)</f>
        <v>4350</v>
      </c>
      <c r="F1460" s="1">
        <f>IFERROR(__xludf.DUMMYFUNCTION("""COMPUTED_VALUE"""),4498444.0)</f>
        <v>4498444</v>
      </c>
    </row>
    <row r="1461">
      <c r="A1461" s="2">
        <f>IFERROR(__xludf.DUMMYFUNCTION("""COMPUTED_VALUE"""),44161.64583333333)</f>
        <v>44161.64583</v>
      </c>
      <c r="B1461" s="1">
        <f>IFERROR(__xludf.DUMMYFUNCTION("""COMPUTED_VALUE"""),4350.0)</f>
        <v>4350</v>
      </c>
      <c r="C1461" s="1">
        <f>IFERROR(__xludf.DUMMYFUNCTION("""COMPUTED_VALUE"""),4425.0)</f>
        <v>4425</v>
      </c>
      <c r="D1461" s="1">
        <f>IFERROR(__xludf.DUMMYFUNCTION("""COMPUTED_VALUE"""),4270.0)</f>
        <v>4270</v>
      </c>
      <c r="E1461" s="1">
        <f>IFERROR(__xludf.DUMMYFUNCTION("""COMPUTED_VALUE"""),4310.0)</f>
        <v>4310</v>
      </c>
      <c r="F1461" s="1">
        <f>IFERROR(__xludf.DUMMYFUNCTION("""COMPUTED_VALUE"""),1258127.0)</f>
        <v>1258127</v>
      </c>
    </row>
    <row r="1462">
      <c r="A1462" s="2">
        <f>IFERROR(__xludf.DUMMYFUNCTION("""COMPUTED_VALUE"""),44162.64583333333)</f>
        <v>44162.64583</v>
      </c>
      <c r="B1462" s="1">
        <f>IFERROR(__xludf.DUMMYFUNCTION("""COMPUTED_VALUE"""),4310.0)</f>
        <v>4310</v>
      </c>
      <c r="C1462" s="1">
        <f>IFERROR(__xludf.DUMMYFUNCTION("""COMPUTED_VALUE"""),4315.0)</f>
        <v>4315</v>
      </c>
      <c r="D1462" s="1">
        <f>IFERROR(__xludf.DUMMYFUNCTION("""COMPUTED_VALUE"""),4230.0)</f>
        <v>4230</v>
      </c>
      <c r="E1462" s="1">
        <f>IFERROR(__xludf.DUMMYFUNCTION("""COMPUTED_VALUE"""),4260.0)</f>
        <v>4260</v>
      </c>
      <c r="F1462" s="1">
        <f>IFERROR(__xludf.DUMMYFUNCTION("""COMPUTED_VALUE"""),965084.0)</f>
        <v>965084</v>
      </c>
    </row>
    <row r="1463">
      <c r="A1463" s="2">
        <f>IFERROR(__xludf.DUMMYFUNCTION("""COMPUTED_VALUE"""),44165.64583333333)</f>
        <v>44165.64583</v>
      </c>
      <c r="B1463" s="1">
        <f>IFERROR(__xludf.DUMMYFUNCTION("""COMPUTED_VALUE"""),4265.0)</f>
        <v>4265</v>
      </c>
      <c r="C1463" s="1">
        <f>IFERROR(__xludf.DUMMYFUNCTION("""COMPUTED_VALUE"""),4350.0)</f>
        <v>4350</v>
      </c>
      <c r="D1463" s="1">
        <f>IFERROR(__xludf.DUMMYFUNCTION("""COMPUTED_VALUE"""),4245.0)</f>
        <v>4245</v>
      </c>
      <c r="E1463" s="1">
        <f>IFERROR(__xludf.DUMMYFUNCTION("""COMPUTED_VALUE"""),4245.0)</f>
        <v>4245</v>
      </c>
      <c r="F1463" s="1">
        <f>IFERROR(__xludf.DUMMYFUNCTION("""COMPUTED_VALUE"""),996661.0)</f>
        <v>996661</v>
      </c>
    </row>
    <row r="1464">
      <c r="A1464" s="2">
        <f>IFERROR(__xludf.DUMMYFUNCTION("""COMPUTED_VALUE"""),44166.64583333333)</f>
        <v>44166.64583</v>
      </c>
      <c r="B1464" s="1">
        <f>IFERROR(__xludf.DUMMYFUNCTION("""COMPUTED_VALUE"""),4300.0)</f>
        <v>4300</v>
      </c>
      <c r="C1464" s="1">
        <f>IFERROR(__xludf.DUMMYFUNCTION("""COMPUTED_VALUE"""),4365.0)</f>
        <v>4365</v>
      </c>
      <c r="D1464" s="1">
        <f>IFERROR(__xludf.DUMMYFUNCTION("""COMPUTED_VALUE"""),4260.0)</f>
        <v>4260</v>
      </c>
      <c r="E1464" s="1">
        <f>IFERROR(__xludf.DUMMYFUNCTION("""COMPUTED_VALUE"""),4330.0)</f>
        <v>4330</v>
      </c>
      <c r="F1464" s="1">
        <f>IFERROR(__xludf.DUMMYFUNCTION("""COMPUTED_VALUE"""),1306568.0)</f>
        <v>1306568</v>
      </c>
    </row>
    <row r="1465">
      <c r="A1465" s="2">
        <f>IFERROR(__xludf.DUMMYFUNCTION("""COMPUTED_VALUE"""),44167.64583333333)</f>
        <v>44167.64583</v>
      </c>
      <c r="B1465" s="1">
        <f>IFERROR(__xludf.DUMMYFUNCTION("""COMPUTED_VALUE"""),4440.0)</f>
        <v>4440</v>
      </c>
      <c r="C1465" s="1">
        <f>IFERROR(__xludf.DUMMYFUNCTION("""COMPUTED_VALUE"""),4730.0)</f>
        <v>4730</v>
      </c>
      <c r="D1465" s="1">
        <f>IFERROR(__xludf.DUMMYFUNCTION("""COMPUTED_VALUE"""),4320.0)</f>
        <v>4320</v>
      </c>
      <c r="E1465" s="1">
        <f>IFERROR(__xludf.DUMMYFUNCTION("""COMPUTED_VALUE"""),4325.0)</f>
        <v>4325</v>
      </c>
      <c r="F1465" s="1">
        <f>IFERROR(__xludf.DUMMYFUNCTION("""COMPUTED_VALUE"""),2.0149191E7)</f>
        <v>20149191</v>
      </c>
    </row>
    <row r="1466">
      <c r="A1466" s="2">
        <f>IFERROR(__xludf.DUMMYFUNCTION("""COMPUTED_VALUE"""),44168.64583333333)</f>
        <v>44168.64583</v>
      </c>
      <c r="B1466" s="1">
        <f>IFERROR(__xludf.DUMMYFUNCTION("""COMPUTED_VALUE"""),4335.0)</f>
        <v>4335</v>
      </c>
      <c r="C1466" s="1">
        <f>IFERROR(__xludf.DUMMYFUNCTION("""COMPUTED_VALUE"""),4530.0)</f>
        <v>4530</v>
      </c>
      <c r="D1466" s="1">
        <f>IFERROR(__xludf.DUMMYFUNCTION("""COMPUTED_VALUE"""),4215.0)</f>
        <v>4215</v>
      </c>
      <c r="E1466" s="1">
        <f>IFERROR(__xludf.DUMMYFUNCTION("""COMPUTED_VALUE"""),4370.0)</f>
        <v>4370</v>
      </c>
      <c r="F1466" s="1">
        <f>IFERROR(__xludf.DUMMYFUNCTION("""COMPUTED_VALUE"""),5526244.0)</f>
        <v>5526244</v>
      </c>
    </row>
    <row r="1467">
      <c r="A1467" s="2">
        <f>IFERROR(__xludf.DUMMYFUNCTION("""COMPUTED_VALUE"""),44169.64583333333)</f>
        <v>44169.64583</v>
      </c>
      <c r="B1467" s="1">
        <f>IFERROR(__xludf.DUMMYFUNCTION("""COMPUTED_VALUE"""),4390.0)</f>
        <v>4390</v>
      </c>
      <c r="C1467" s="1">
        <f>IFERROR(__xludf.DUMMYFUNCTION("""COMPUTED_VALUE"""),4485.0)</f>
        <v>4485</v>
      </c>
      <c r="D1467" s="1">
        <f>IFERROR(__xludf.DUMMYFUNCTION("""COMPUTED_VALUE"""),4350.0)</f>
        <v>4350</v>
      </c>
      <c r="E1467" s="1">
        <f>IFERROR(__xludf.DUMMYFUNCTION("""COMPUTED_VALUE"""),4370.0)</f>
        <v>4370</v>
      </c>
      <c r="F1467" s="1">
        <f>IFERROR(__xludf.DUMMYFUNCTION("""COMPUTED_VALUE"""),2493224.0)</f>
        <v>2493224</v>
      </c>
    </row>
    <row r="1468">
      <c r="A1468" s="2">
        <f>IFERROR(__xludf.DUMMYFUNCTION("""COMPUTED_VALUE"""),44172.64583333333)</f>
        <v>44172.64583</v>
      </c>
      <c r="B1468" s="1">
        <f>IFERROR(__xludf.DUMMYFUNCTION("""COMPUTED_VALUE"""),4340.0)</f>
        <v>4340</v>
      </c>
      <c r="C1468" s="1">
        <f>IFERROR(__xludf.DUMMYFUNCTION("""COMPUTED_VALUE"""),4440.0)</f>
        <v>4440</v>
      </c>
      <c r="D1468" s="1">
        <f>IFERROR(__xludf.DUMMYFUNCTION("""COMPUTED_VALUE"""),4310.0)</f>
        <v>4310</v>
      </c>
      <c r="E1468" s="1">
        <f>IFERROR(__xludf.DUMMYFUNCTION("""COMPUTED_VALUE"""),4315.0)</f>
        <v>4315</v>
      </c>
      <c r="F1468" s="1">
        <f>IFERROR(__xludf.DUMMYFUNCTION("""COMPUTED_VALUE"""),1502452.0)</f>
        <v>1502452</v>
      </c>
    </row>
    <row r="1469">
      <c r="A1469" s="2">
        <f>IFERROR(__xludf.DUMMYFUNCTION("""COMPUTED_VALUE"""),44173.64583333333)</f>
        <v>44173.64583</v>
      </c>
      <c r="B1469" s="1">
        <f>IFERROR(__xludf.DUMMYFUNCTION("""COMPUTED_VALUE"""),4300.0)</f>
        <v>4300</v>
      </c>
      <c r="C1469" s="1">
        <f>IFERROR(__xludf.DUMMYFUNCTION("""COMPUTED_VALUE"""),4375.0)</f>
        <v>4375</v>
      </c>
      <c r="D1469" s="1">
        <f>IFERROR(__xludf.DUMMYFUNCTION("""COMPUTED_VALUE"""),4225.0)</f>
        <v>4225</v>
      </c>
      <c r="E1469" s="1">
        <f>IFERROR(__xludf.DUMMYFUNCTION("""COMPUTED_VALUE"""),4330.0)</f>
        <v>4330</v>
      </c>
      <c r="F1469" s="1">
        <f>IFERROR(__xludf.DUMMYFUNCTION("""COMPUTED_VALUE"""),1342693.0)</f>
        <v>1342693</v>
      </c>
    </row>
    <row r="1470">
      <c r="A1470" s="2">
        <f>IFERROR(__xludf.DUMMYFUNCTION("""COMPUTED_VALUE"""),44174.64583333333)</f>
        <v>44174.64583</v>
      </c>
      <c r="B1470" s="1">
        <f>IFERROR(__xludf.DUMMYFUNCTION("""COMPUTED_VALUE"""),4400.0)</f>
        <v>4400</v>
      </c>
      <c r="C1470" s="1">
        <f>IFERROR(__xludf.DUMMYFUNCTION("""COMPUTED_VALUE"""),4425.0)</f>
        <v>4425</v>
      </c>
      <c r="D1470" s="1">
        <f>IFERROR(__xludf.DUMMYFUNCTION("""COMPUTED_VALUE"""),4280.0)</f>
        <v>4280</v>
      </c>
      <c r="E1470" s="1">
        <f>IFERROR(__xludf.DUMMYFUNCTION("""COMPUTED_VALUE"""),4310.0)</f>
        <v>4310</v>
      </c>
      <c r="F1470" s="1">
        <f>IFERROR(__xludf.DUMMYFUNCTION("""COMPUTED_VALUE"""),1408134.0)</f>
        <v>1408134</v>
      </c>
    </row>
    <row r="1471">
      <c r="A1471" s="2">
        <f>IFERROR(__xludf.DUMMYFUNCTION("""COMPUTED_VALUE"""),44175.64583333333)</f>
        <v>44175.64583</v>
      </c>
      <c r="B1471" s="1">
        <f>IFERROR(__xludf.DUMMYFUNCTION("""COMPUTED_VALUE"""),4310.0)</f>
        <v>4310</v>
      </c>
      <c r="C1471" s="1">
        <f>IFERROR(__xludf.DUMMYFUNCTION("""COMPUTED_VALUE"""),4690.0)</f>
        <v>4690</v>
      </c>
      <c r="D1471" s="1">
        <f>IFERROR(__xludf.DUMMYFUNCTION("""COMPUTED_VALUE"""),4225.0)</f>
        <v>4225</v>
      </c>
      <c r="E1471" s="1">
        <f>IFERROR(__xludf.DUMMYFUNCTION("""COMPUTED_VALUE"""),4290.0)</f>
        <v>4290</v>
      </c>
      <c r="F1471" s="1">
        <f>IFERROR(__xludf.DUMMYFUNCTION("""COMPUTED_VALUE"""),5780338.0)</f>
        <v>5780338</v>
      </c>
    </row>
    <row r="1472">
      <c r="A1472" s="2">
        <f>IFERROR(__xludf.DUMMYFUNCTION("""COMPUTED_VALUE"""),44176.64583333333)</f>
        <v>44176.64583</v>
      </c>
      <c r="B1472" s="1">
        <f>IFERROR(__xludf.DUMMYFUNCTION("""COMPUTED_VALUE"""),4290.0)</f>
        <v>4290</v>
      </c>
      <c r="C1472" s="1">
        <f>IFERROR(__xludf.DUMMYFUNCTION("""COMPUTED_VALUE"""),4310.0)</f>
        <v>4310</v>
      </c>
      <c r="D1472" s="1">
        <f>IFERROR(__xludf.DUMMYFUNCTION("""COMPUTED_VALUE"""),4210.0)</f>
        <v>4210</v>
      </c>
      <c r="E1472" s="1">
        <f>IFERROR(__xludf.DUMMYFUNCTION("""COMPUTED_VALUE"""),4215.0)</f>
        <v>4215</v>
      </c>
      <c r="F1472" s="1">
        <f>IFERROR(__xludf.DUMMYFUNCTION("""COMPUTED_VALUE"""),1245273.0)</f>
        <v>1245273</v>
      </c>
    </row>
    <row r="1473">
      <c r="A1473" s="2">
        <f>IFERROR(__xludf.DUMMYFUNCTION("""COMPUTED_VALUE"""),44179.64583333333)</f>
        <v>44179.64583</v>
      </c>
      <c r="B1473" s="1">
        <f>IFERROR(__xludf.DUMMYFUNCTION("""COMPUTED_VALUE"""),4200.0)</f>
        <v>4200</v>
      </c>
      <c r="C1473" s="1">
        <f>IFERROR(__xludf.DUMMYFUNCTION("""COMPUTED_VALUE"""),4205.0)</f>
        <v>4205</v>
      </c>
      <c r="D1473" s="1">
        <f>IFERROR(__xludf.DUMMYFUNCTION("""COMPUTED_VALUE"""),4055.0)</f>
        <v>4055</v>
      </c>
      <c r="E1473" s="1">
        <f>IFERROR(__xludf.DUMMYFUNCTION("""COMPUTED_VALUE"""),4055.0)</f>
        <v>4055</v>
      </c>
      <c r="F1473" s="1">
        <f>IFERROR(__xludf.DUMMYFUNCTION("""COMPUTED_VALUE"""),1287594.0)</f>
        <v>1287594</v>
      </c>
    </row>
    <row r="1474">
      <c r="A1474" s="2">
        <f>IFERROR(__xludf.DUMMYFUNCTION("""COMPUTED_VALUE"""),44180.64583333333)</f>
        <v>44180.64583</v>
      </c>
      <c r="B1474" s="1">
        <f>IFERROR(__xludf.DUMMYFUNCTION("""COMPUTED_VALUE"""),4095.0)</f>
        <v>4095</v>
      </c>
      <c r="C1474" s="1">
        <f>IFERROR(__xludf.DUMMYFUNCTION("""COMPUTED_VALUE"""),4125.0)</f>
        <v>4125</v>
      </c>
      <c r="D1474" s="1">
        <f>IFERROR(__xludf.DUMMYFUNCTION("""COMPUTED_VALUE"""),4025.0)</f>
        <v>4025</v>
      </c>
      <c r="E1474" s="1">
        <f>IFERROR(__xludf.DUMMYFUNCTION("""COMPUTED_VALUE"""),4030.0)</f>
        <v>4030</v>
      </c>
      <c r="F1474" s="1">
        <f>IFERROR(__xludf.DUMMYFUNCTION("""COMPUTED_VALUE"""),775958.0)</f>
        <v>775958</v>
      </c>
    </row>
    <row r="1475">
      <c r="A1475" s="2">
        <f>IFERROR(__xludf.DUMMYFUNCTION("""COMPUTED_VALUE"""),44181.64583333333)</f>
        <v>44181.64583</v>
      </c>
      <c r="B1475" s="1">
        <f>IFERROR(__xludf.DUMMYFUNCTION("""COMPUTED_VALUE"""),4025.0)</f>
        <v>4025</v>
      </c>
      <c r="C1475" s="1">
        <f>IFERROR(__xludf.DUMMYFUNCTION("""COMPUTED_VALUE"""),4150.0)</f>
        <v>4150</v>
      </c>
      <c r="D1475" s="1">
        <f>IFERROR(__xludf.DUMMYFUNCTION("""COMPUTED_VALUE"""),4010.0)</f>
        <v>4010</v>
      </c>
      <c r="E1475" s="1">
        <f>IFERROR(__xludf.DUMMYFUNCTION("""COMPUTED_VALUE"""),4075.0)</f>
        <v>4075</v>
      </c>
      <c r="F1475" s="1">
        <f>IFERROR(__xludf.DUMMYFUNCTION("""COMPUTED_VALUE"""),836562.0)</f>
        <v>836562</v>
      </c>
    </row>
    <row r="1476">
      <c r="A1476" s="2">
        <f>IFERROR(__xludf.DUMMYFUNCTION("""COMPUTED_VALUE"""),44182.64583333333)</f>
        <v>44182.64583</v>
      </c>
      <c r="B1476" s="1">
        <f>IFERROR(__xludf.DUMMYFUNCTION("""COMPUTED_VALUE"""),4075.0)</f>
        <v>4075</v>
      </c>
      <c r="C1476" s="1">
        <f>IFERROR(__xludf.DUMMYFUNCTION("""COMPUTED_VALUE"""),4130.0)</f>
        <v>4130</v>
      </c>
      <c r="D1476" s="1">
        <f>IFERROR(__xludf.DUMMYFUNCTION("""COMPUTED_VALUE"""),4060.0)</f>
        <v>4060</v>
      </c>
      <c r="E1476" s="1">
        <f>IFERROR(__xludf.DUMMYFUNCTION("""COMPUTED_VALUE"""),4085.0)</f>
        <v>4085</v>
      </c>
      <c r="F1476" s="1">
        <f>IFERROR(__xludf.DUMMYFUNCTION("""COMPUTED_VALUE"""),537188.0)</f>
        <v>537188</v>
      </c>
    </row>
    <row r="1477">
      <c r="A1477" s="2">
        <f>IFERROR(__xludf.DUMMYFUNCTION("""COMPUTED_VALUE"""),44183.64583333333)</f>
        <v>44183.64583</v>
      </c>
      <c r="B1477" s="1">
        <f>IFERROR(__xludf.DUMMYFUNCTION("""COMPUTED_VALUE"""),4120.0)</f>
        <v>4120</v>
      </c>
      <c r="C1477" s="1">
        <f>IFERROR(__xludf.DUMMYFUNCTION("""COMPUTED_VALUE"""),4120.0)</f>
        <v>4120</v>
      </c>
      <c r="D1477" s="1">
        <f>IFERROR(__xludf.DUMMYFUNCTION("""COMPUTED_VALUE"""),4040.0)</f>
        <v>4040</v>
      </c>
      <c r="E1477" s="1">
        <f>IFERROR(__xludf.DUMMYFUNCTION("""COMPUTED_VALUE"""),4065.0)</f>
        <v>4065</v>
      </c>
      <c r="F1477" s="1">
        <f>IFERROR(__xludf.DUMMYFUNCTION("""COMPUTED_VALUE"""),572480.0)</f>
        <v>572480</v>
      </c>
    </row>
    <row r="1478">
      <c r="A1478" s="2">
        <f>IFERROR(__xludf.DUMMYFUNCTION("""COMPUTED_VALUE"""),44187.64583333333)</f>
        <v>44187.64583</v>
      </c>
      <c r="B1478" s="1">
        <f>IFERROR(__xludf.DUMMYFUNCTION("""COMPUTED_VALUE"""),4030.0)</f>
        <v>4030</v>
      </c>
      <c r="C1478" s="1">
        <f>IFERROR(__xludf.DUMMYFUNCTION("""COMPUTED_VALUE"""),4030.0)</f>
        <v>4030</v>
      </c>
      <c r="D1478" s="1">
        <f>IFERROR(__xludf.DUMMYFUNCTION("""COMPUTED_VALUE"""),3900.0)</f>
        <v>3900</v>
      </c>
      <c r="E1478" s="1">
        <f>IFERROR(__xludf.DUMMYFUNCTION("""COMPUTED_VALUE"""),3900.0)</f>
        <v>3900</v>
      </c>
      <c r="F1478" s="1">
        <f>IFERROR(__xludf.DUMMYFUNCTION("""COMPUTED_VALUE"""),929704.0)</f>
        <v>929704</v>
      </c>
    </row>
    <row r="1479">
      <c r="A1479" s="2">
        <f>IFERROR(__xludf.DUMMYFUNCTION("""COMPUTED_VALUE"""),44188.64583333333)</f>
        <v>44188.64583</v>
      </c>
      <c r="B1479" s="1">
        <f>IFERROR(__xludf.DUMMYFUNCTION("""COMPUTED_VALUE"""),3895.0)</f>
        <v>3895</v>
      </c>
      <c r="C1479" s="1">
        <f>IFERROR(__xludf.DUMMYFUNCTION("""COMPUTED_VALUE"""),3975.0)</f>
        <v>3975</v>
      </c>
      <c r="D1479" s="1">
        <f>IFERROR(__xludf.DUMMYFUNCTION("""COMPUTED_VALUE"""),3825.0)</f>
        <v>3825</v>
      </c>
      <c r="E1479" s="1">
        <f>IFERROR(__xludf.DUMMYFUNCTION("""COMPUTED_VALUE"""),3880.0)</f>
        <v>3880</v>
      </c>
      <c r="F1479" s="1">
        <f>IFERROR(__xludf.DUMMYFUNCTION("""COMPUTED_VALUE"""),673887.0)</f>
        <v>673887</v>
      </c>
    </row>
    <row r="1480">
      <c r="A1480" s="2">
        <f>IFERROR(__xludf.DUMMYFUNCTION("""COMPUTED_VALUE"""),44189.64583333333)</f>
        <v>44189.64583</v>
      </c>
      <c r="B1480" s="1">
        <f>IFERROR(__xludf.DUMMYFUNCTION("""COMPUTED_VALUE"""),3845.0)</f>
        <v>3845</v>
      </c>
      <c r="C1480" s="1">
        <f>IFERROR(__xludf.DUMMYFUNCTION("""COMPUTED_VALUE"""),3920.0)</f>
        <v>3920</v>
      </c>
      <c r="D1480" s="1">
        <f>IFERROR(__xludf.DUMMYFUNCTION("""COMPUTED_VALUE"""),3800.0)</f>
        <v>3800</v>
      </c>
      <c r="E1480" s="1">
        <f>IFERROR(__xludf.DUMMYFUNCTION("""COMPUTED_VALUE"""),3835.0)</f>
        <v>3835</v>
      </c>
      <c r="F1480" s="1">
        <f>IFERROR(__xludf.DUMMYFUNCTION("""COMPUTED_VALUE"""),668100.0)</f>
        <v>668100</v>
      </c>
    </row>
    <row r="1481">
      <c r="A1481" s="2">
        <f>IFERROR(__xludf.DUMMYFUNCTION("""COMPUTED_VALUE"""),44193.64583333333)</f>
        <v>44193.64583</v>
      </c>
      <c r="B1481" s="1">
        <f>IFERROR(__xludf.DUMMYFUNCTION("""COMPUTED_VALUE"""),3845.0)</f>
        <v>3845</v>
      </c>
      <c r="C1481" s="1">
        <f>IFERROR(__xludf.DUMMYFUNCTION("""COMPUTED_VALUE"""),3970.0)</f>
        <v>3970</v>
      </c>
      <c r="D1481" s="1">
        <f>IFERROR(__xludf.DUMMYFUNCTION("""COMPUTED_VALUE"""),3780.0)</f>
        <v>3780</v>
      </c>
      <c r="E1481" s="1">
        <f>IFERROR(__xludf.DUMMYFUNCTION("""COMPUTED_VALUE"""),3800.0)</f>
        <v>3800</v>
      </c>
      <c r="F1481" s="1">
        <f>IFERROR(__xludf.DUMMYFUNCTION("""COMPUTED_VALUE"""),911744.0)</f>
        <v>911744</v>
      </c>
    </row>
    <row r="1482">
      <c r="A1482" s="2">
        <f>IFERROR(__xludf.DUMMYFUNCTION("""COMPUTED_VALUE"""),44194.64583333333)</f>
        <v>44194.64583</v>
      </c>
      <c r="B1482" s="1">
        <f>IFERROR(__xludf.DUMMYFUNCTION("""COMPUTED_VALUE"""),3785.0)</f>
        <v>3785</v>
      </c>
      <c r="C1482" s="1">
        <f>IFERROR(__xludf.DUMMYFUNCTION("""COMPUTED_VALUE"""),3875.0)</f>
        <v>3875</v>
      </c>
      <c r="D1482" s="1">
        <f>IFERROR(__xludf.DUMMYFUNCTION("""COMPUTED_VALUE"""),3785.0)</f>
        <v>3785</v>
      </c>
      <c r="E1482" s="1">
        <f>IFERROR(__xludf.DUMMYFUNCTION("""COMPUTED_VALUE"""),3845.0)</f>
        <v>3845</v>
      </c>
      <c r="F1482" s="1">
        <f>IFERROR(__xludf.DUMMYFUNCTION("""COMPUTED_VALUE"""),363888.0)</f>
        <v>363888</v>
      </c>
    </row>
    <row r="1483">
      <c r="A1483" s="2">
        <f>IFERROR(__xludf.DUMMYFUNCTION("""COMPUTED_VALUE"""),44195.64583333333)</f>
        <v>44195.64583</v>
      </c>
      <c r="B1483" s="1">
        <f>IFERROR(__xludf.DUMMYFUNCTION("""COMPUTED_VALUE"""),3855.0)</f>
        <v>3855</v>
      </c>
      <c r="C1483" s="1">
        <f>IFERROR(__xludf.DUMMYFUNCTION("""COMPUTED_VALUE"""),3950.0)</f>
        <v>3950</v>
      </c>
      <c r="D1483" s="1">
        <f>IFERROR(__xludf.DUMMYFUNCTION("""COMPUTED_VALUE"""),3840.0)</f>
        <v>3840</v>
      </c>
      <c r="E1483" s="1">
        <f>IFERROR(__xludf.DUMMYFUNCTION("""COMPUTED_VALUE"""),3930.0)</f>
        <v>3930</v>
      </c>
      <c r="F1483" s="1">
        <f>IFERROR(__xludf.DUMMYFUNCTION("""COMPUTED_VALUE"""),472844.0)</f>
        <v>472844</v>
      </c>
    </row>
    <row r="1484">
      <c r="A1484" s="2">
        <f>IFERROR(__xludf.DUMMYFUNCTION("""COMPUTED_VALUE"""),44200.64583333333)</f>
        <v>44200.64583</v>
      </c>
      <c r="B1484" s="1">
        <f>IFERROR(__xludf.DUMMYFUNCTION("""COMPUTED_VALUE"""),3935.0)</f>
        <v>3935</v>
      </c>
      <c r="C1484" s="1">
        <f>IFERROR(__xludf.DUMMYFUNCTION("""COMPUTED_VALUE"""),4025.0)</f>
        <v>4025</v>
      </c>
      <c r="D1484" s="1">
        <f>IFERROR(__xludf.DUMMYFUNCTION("""COMPUTED_VALUE"""),3930.0)</f>
        <v>3930</v>
      </c>
      <c r="E1484" s="1">
        <f>IFERROR(__xludf.DUMMYFUNCTION("""COMPUTED_VALUE"""),3980.0)</f>
        <v>3980</v>
      </c>
      <c r="F1484" s="1">
        <f>IFERROR(__xludf.DUMMYFUNCTION("""COMPUTED_VALUE"""),581790.0)</f>
        <v>581790</v>
      </c>
    </row>
    <row r="1485">
      <c r="A1485" s="2">
        <f>IFERROR(__xludf.DUMMYFUNCTION("""COMPUTED_VALUE"""),44201.64583333333)</f>
        <v>44201.64583</v>
      </c>
      <c r="B1485" s="1">
        <f>IFERROR(__xludf.DUMMYFUNCTION("""COMPUTED_VALUE"""),3915.0)</f>
        <v>3915</v>
      </c>
      <c r="C1485" s="1">
        <f>IFERROR(__xludf.DUMMYFUNCTION("""COMPUTED_VALUE"""),4005.0)</f>
        <v>4005</v>
      </c>
      <c r="D1485" s="1">
        <f>IFERROR(__xludf.DUMMYFUNCTION("""COMPUTED_VALUE"""),3910.0)</f>
        <v>3910</v>
      </c>
      <c r="E1485" s="1">
        <f>IFERROR(__xludf.DUMMYFUNCTION("""COMPUTED_VALUE"""),3970.0)</f>
        <v>3970</v>
      </c>
      <c r="F1485" s="1">
        <f>IFERROR(__xludf.DUMMYFUNCTION("""COMPUTED_VALUE"""),661467.0)</f>
        <v>661467</v>
      </c>
    </row>
    <row r="1486">
      <c r="A1486" s="2">
        <f>IFERROR(__xludf.DUMMYFUNCTION("""COMPUTED_VALUE"""),44202.64583333333)</f>
        <v>44202.64583</v>
      </c>
      <c r="B1486" s="1">
        <f>IFERROR(__xludf.DUMMYFUNCTION("""COMPUTED_VALUE"""),3950.0)</f>
        <v>3950</v>
      </c>
      <c r="C1486" s="1">
        <f>IFERROR(__xludf.DUMMYFUNCTION("""COMPUTED_VALUE"""),4080.0)</f>
        <v>4080</v>
      </c>
      <c r="D1486" s="1">
        <f>IFERROR(__xludf.DUMMYFUNCTION("""COMPUTED_VALUE"""),3920.0)</f>
        <v>3920</v>
      </c>
      <c r="E1486" s="1">
        <f>IFERROR(__xludf.DUMMYFUNCTION("""COMPUTED_VALUE"""),4050.0)</f>
        <v>4050</v>
      </c>
      <c r="F1486" s="1">
        <f>IFERROR(__xludf.DUMMYFUNCTION("""COMPUTED_VALUE"""),1549287.0)</f>
        <v>1549287</v>
      </c>
    </row>
    <row r="1487">
      <c r="A1487" s="2">
        <f>IFERROR(__xludf.DUMMYFUNCTION("""COMPUTED_VALUE"""),44203.64583333333)</f>
        <v>44203.64583</v>
      </c>
      <c r="B1487" s="1">
        <f>IFERROR(__xludf.DUMMYFUNCTION("""COMPUTED_VALUE"""),4110.0)</f>
        <v>4110</v>
      </c>
      <c r="C1487" s="1">
        <f>IFERROR(__xludf.DUMMYFUNCTION("""COMPUTED_VALUE"""),4110.0)</f>
        <v>4110</v>
      </c>
      <c r="D1487" s="1">
        <f>IFERROR(__xludf.DUMMYFUNCTION("""COMPUTED_VALUE"""),4010.0)</f>
        <v>4010</v>
      </c>
      <c r="E1487" s="1">
        <f>IFERROR(__xludf.DUMMYFUNCTION("""COMPUTED_VALUE"""),4035.0)</f>
        <v>4035</v>
      </c>
      <c r="F1487" s="1">
        <f>IFERROR(__xludf.DUMMYFUNCTION("""COMPUTED_VALUE"""),1051195.0)</f>
        <v>1051195</v>
      </c>
    </row>
    <row r="1488">
      <c r="A1488" s="2">
        <f>IFERROR(__xludf.DUMMYFUNCTION("""COMPUTED_VALUE"""),44204.64583333333)</f>
        <v>44204.64583</v>
      </c>
      <c r="B1488" s="1">
        <f>IFERROR(__xludf.DUMMYFUNCTION("""COMPUTED_VALUE"""),4070.0)</f>
        <v>4070</v>
      </c>
      <c r="C1488" s="1">
        <f>IFERROR(__xludf.DUMMYFUNCTION("""COMPUTED_VALUE"""),4085.0)</f>
        <v>4085</v>
      </c>
      <c r="D1488" s="1">
        <f>IFERROR(__xludf.DUMMYFUNCTION("""COMPUTED_VALUE"""),4010.0)</f>
        <v>4010</v>
      </c>
      <c r="E1488" s="1">
        <f>IFERROR(__xludf.DUMMYFUNCTION("""COMPUTED_VALUE"""),4030.0)</f>
        <v>4030</v>
      </c>
      <c r="F1488" s="1">
        <f>IFERROR(__xludf.DUMMYFUNCTION("""COMPUTED_VALUE"""),982175.0)</f>
        <v>982175</v>
      </c>
    </row>
    <row r="1489">
      <c r="A1489" s="2">
        <f>IFERROR(__xludf.DUMMYFUNCTION("""COMPUTED_VALUE"""),44207.64583333333)</f>
        <v>44207.64583</v>
      </c>
      <c r="B1489" s="1">
        <f>IFERROR(__xludf.DUMMYFUNCTION("""COMPUTED_VALUE"""),4065.0)</f>
        <v>4065</v>
      </c>
      <c r="C1489" s="1">
        <f>IFERROR(__xludf.DUMMYFUNCTION("""COMPUTED_VALUE"""),4065.0)</f>
        <v>4065</v>
      </c>
      <c r="D1489" s="1">
        <f>IFERROR(__xludf.DUMMYFUNCTION("""COMPUTED_VALUE"""),3835.0)</f>
        <v>3835</v>
      </c>
      <c r="E1489" s="1">
        <f>IFERROR(__xludf.DUMMYFUNCTION("""COMPUTED_VALUE"""),3850.0)</f>
        <v>3850</v>
      </c>
      <c r="F1489" s="1">
        <f>IFERROR(__xludf.DUMMYFUNCTION("""COMPUTED_VALUE"""),1257033.0)</f>
        <v>1257033</v>
      </c>
    </row>
    <row r="1490">
      <c r="A1490" s="2">
        <f>IFERROR(__xludf.DUMMYFUNCTION("""COMPUTED_VALUE"""),44208.64583333333)</f>
        <v>44208.64583</v>
      </c>
      <c r="B1490" s="1">
        <f>IFERROR(__xludf.DUMMYFUNCTION("""COMPUTED_VALUE"""),3810.0)</f>
        <v>3810</v>
      </c>
      <c r="C1490" s="1">
        <f>IFERROR(__xludf.DUMMYFUNCTION("""COMPUTED_VALUE"""),3925.0)</f>
        <v>3925</v>
      </c>
      <c r="D1490" s="1">
        <f>IFERROR(__xludf.DUMMYFUNCTION("""COMPUTED_VALUE"""),3805.0)</f>
        <v>3805</v>
      </c>
      <c r="E1490" s="1">
        <f>IFERROR(__xludf.DUMMYFUNCTION("""COMPUTED_VALUE"""),3840.0)</f>
        <v>3840</v>
      </c>
      <c r="F1490" s="1">
        <f>IFERROR(__xludf.DUMMYFUNCTION("""COMPUTED_VALUE"""),486385.0)</f>
        <v>486385</v>
      </c>
    </row>
    <row r="1491">
      <c r="A1491" s="2">
        <f>IFERROR(__xludf.DUMMYFUNCTION("""COMPUTED_VALUE"""),44209.64583333333)</f>
        <v>44209.64583</v>
      </c>
      <c r="B1491" s="1">
        <f>IFERROR(__xludf.DUMMYFUNCTION("""COMPUTED_VALUE"""),3825.0)</f>
        <v>3825</v>
      </c>
      <c r="C1491" s="1">
        <f>IFERROR(__xludf.DUMMYFUNCTION("""COMPUTED_VALUE"""),3920.0)</f>
        <v>3920</v>
      </c>
      <c r="D1491" s="1">
        <f>IFERROR(__xludf.DUMMYFUNCTION("""COMPUTED_VALUE"""),3825.0)</f>
        <v>3825</v>
      </c>
      <c r="E1491" s="1">
        <f>IFERROR(__xludf.DUMMYFUNCTION("""COMPUTED_VALUE"""),3890.0)</f>
        <v>3890</v>
      </c>
      <c r="F1491" s="1">
        <f>IFERROR(__xludf.DUMMYFUNCTION("""COMPUTED_VALUE"""),351315.0)</f>
        <v>351315</v>
      </c>
    </row>
    <row r="1492">
      <c r="A1492" s="2">
        <f>IFERROR(__xludf.DUMMYFUNCTION("""COMPUTED_VALUE"""),44210.64583333333)</f>
        <v>44210.64583</v>
      </c>
      <c r="B1492" s="1">
        <f>IFERROR(__xludf.DUMMYFUNCTION("""COMPUTED_VALUE"""),3870.0)</f>
        <v>3870</v>
      </c>
      <c r="C1492" s="1">
        <f>IFERROR(__xludf.DUMMYFUNCTION("""COMPUTED_VALUE"""),3935.0)</f>
        <v>3935</v>
      </c>
      <c r="D1492" s="1">
        <f>IFERROR(__xludf.DUMMYFUNCTION("""COMPUTED_VALUE"""),3860.0)</f>
        <v>3860</v>
      </c>
      <c r="E1492" s="1">
        <f>IFERROR(__xludf.DUMMYFUNCTION("""COMPUTED_VALUE"""),3900.0)</f>
        <v>3900</v>
      </c>
      <c r="F1492" s="1">
        <f>IFERROR(__xludf.DUMMYFUNCTION("""COMPUTED_VALUE"""),437291.0)</f>
        <v>437291</v>
      </c>
    </row>
    <row r="1493">
      <c r="A1493" s="2">
        <f>IFERROR(__xludf.DUMMYFUNCTION("""COMPUTED_VALUE"""),44211.64583333333)</f>
        <v>44211.64583</v>
      </c>
      <c r="B1493" s="1">
        <f>IFERROR(__xludf.DUMMYFUNCTION("""COMPUTED_VALUE"""),3910.0)</f>
        <v>3910</v>
      </c>
      <c r="C1493" s="1">
        <f>IFERROR(__xludf.DUMMYFUNCTION("""COMPUTED_VALUE"""),3940.0)</f>
        <v>3940</v>
      </c>
      <c r="D1493" s="1">
        <f>IFERROR(__xludf.DUMMYFUNCTION("""COMPUTED_VALUE"""),3810.0)</f>
        <v>3810</v>
      </c>
      <c r="E1493" s="1">
        <f>IFERROR(__xludf.DUMMYFUNCTION("""COMPUTED_VALUE"""),3840.0)</f>
        <v>3840</v>
      </c>
      <c r="F1493" s="1">
        <f>IFERROR(__xludf.DUMMYFUNCTION("""COMPUTED_VALUE"""),634794.0)</f>
        <v>634794</v>
      </c>
    </row>
    <row r="1494">
      <c r="A1494" s="2">
        <f>IFERROR(__xludf.DUMMYFUNCTION("""COMPUTED_VALUE"""),44214.64583333333)</f>
        <v>44214.64583</v>
      </c>
      <c r="B1494" s="1">
        <f>IFERROR(__xludf.DUMMYFUNCTION("""COMPUTED_VALUE"""),3840.0)</f>
        <v>3840</v>
      </c>
      <c r="C1494" s="1">
        <f>IFERROR(__xludf.DUMMYFUNCTION("""COMPUTED_VALUE"""),3890.0)</f>
        <v>3890</v>
      </c>
      <c r="D1494" s="1">
        <f>IFERROR(__xludf.DUMMYFUNCTION("""COMPUTED_VALUE"""),3705.0)</f>
        <v>3705</v>
      </c>
      <c r="E1494" s="1">
        <f>IFERROR(__xludf.DUMMYFUNCTION("""COMPUTED_VALUE"""),3720.0)</f>
        <v>3720</v>
      </c>
      <c r="F1494" s="1">
        <f>IFERROR(__xludf.DUMMYFUNCTION("""COMPUTED_VALUE"""),719418.0)</f>
        <v>719418</v>
      </c>
    </row>
    <row r="1495">
      <c r="A1495" s="2">
        <f>IFERROR(__xludf.DUMMYFUNCTION("""COMPUTED_VALUE"""),44215.64583333333)</f>
        <v>44215.64583</v>
      </c>
      <c r="B1495" s="1">
        <f>IFERROR(__xludf.DUMMYFUNCTION("""COMPUTED_VALUE"""),3720.0)</f>
        <v>3720</v>
      </c>
      <c r="C1495" s="1">
        <f>IFERROR(__xludf.DUMMYFUNCTION("""COMPUTED_VALUE"""),3760.0)</f>
        <v>3760</v>
      </c>
      <c r="D1495" s="1">
        <f>IFERROR(__xludf.DUMMYFUNCTION("""COMPUTED_VALUE"""),3670.0)</f>
        <v>3670</v>
      </c>
      <c r="E1495" s="1">
        <f>IFERROR(__xludf.DUMMYFUNCTION("""COMPUTED_VALUE"""),3715.0)</f>
        <v>3715</v>
      </c>
      <c r="F1495" s="1">
        <f>IFERROR(__xludf.DUMMYFUNCTION("""COMPUTED_VALUE"""),494476.0)</f>
        <v>494476</v>
      </c>
    </row>
    <row r="1496">
      <c r="A1496" s="2">
        <f>IFERROR(__xludf.DUMMYFUNCTION("""COMPUTED_VALUE"""),44216.64583333333)</f>
        <v>44216.64583</v>
      </c>
      <c r="B1496" s="1">
        <f>IFERROR(__xludf.DUMMYFUNCTION("""COMPUTED_VALUE"""),3715.0)</f>
        <v>3715</v>
      </c>
      <c r="C1496" s="1">
        <f>IFERROR(__xludf.DUMMYFUNCTION("""COMPUTED_VALUE"""),3780.0)</f>
        <v>3780</v>
      </c>
      <c r="D1496" s="1">
        <f>IFERROR(__xludf.DUMMYFUNCTION("""COMPUTED_VALUE"""),3705.0)</f>
        <v>3705</v>
      </c>
      <c r="E1496" s="1">
        <f>IFERROR(__xludf.DUMMYFUNCTION("""COMPUTED_VALUE"""),3740.0)</f>
        <v>3740</v>
      </c>
      <c r="F1496" s="1">
        <f>IFERROR(__xludf.DUMMYFUNCTION("""COMPUTED_VALUE"""),329255.0)</f>
        <v>329255</v>
      </c>
    </row>
    <row r="1497">
      <c r="A1497" s="2">
        <f>IFERROR(__xludf.DUMMYFUNCTION("""COMPUTED_VALUE"""),44217.64583333333)</f>
        <v>44217.64583</v>
      </c>
      <c r="B1497" s="1">
        <f>IFERROR(__xludf.DUMMYFUNCTION("""COMPUTED_VALUE"""),3740.0)</f>
        <v>3740</v>
      </c>
      <c r="C1497" s="1">
        <f>IFERROR(__xludf.DUMMYFUNCTION("""COMPUTED_VALUE"""),3820.0)</f>
        <v>3820</v>
      </c>
      <c r="D1497" s="1">
        <f>IFERROR(__xludf.DUMMYFUNCTION("""COMPUTED_VALUE"""),3725.0)</f>
        <v>3725</v>
      </c>
      <c r="E1497" s="1">
        <f>IFERROR(__xludf.DUMMYFUNCTION("""COMPUTED_VALUE"""),3765.0)</f>
        <v>3765</v>
      </c>
      <c r="F1497" s="1">
        <f>IFERROR(__xludf.DUMMYFUNCTION("""COMPUTED_VALUE"""),342716.0)</f>
        <v>342716</v>
      </c>
    </row>
    <row r="1498">
      <c r="A1498" s="2">
        <f>IFERROR(__xludf.DUMMYFUNCTION("""COMPUTED_VALUE"""),44218.64583333333)</f>
        <v>44218.64583</v>
      </c>
      <c r="B1498" s="1">
        <f>IFERROR(__xludf.DUMMYFUNCTION("""COMPUTED_VALUE"""),3790.0)</f>
        <v>3790</v>
      </c>
      <c r="C1498" s="1">
        <f>IFERROR(__xludf.DUMMYFUNCTION("""COMPUTED_VALUE"""),3820.0)</f>
        <v>3820</v>
      </c>
      <c r="D1498" s="1">
        <f>IFERROR(__xludf.DUMMYFUNCTION("""COMPUTED_VALUE"""),3740.0)</f>
        <v>3740</v>
      </c>
      <c r="E1498" s="1">
        <f>IFERROR(__xludf.DUMMYFUNCTION("""COMPUTED_VALUE"""),3755.0)</f>
        <v>3755</v>
      </c>
      <c r="F1498" s="1">
        <f>IFERROR(__xludf.DUMMYFUNCTION("""COMPUTED_VALUE"""),321022.0)</f>
        <v>321022</v>
      </c>
    </row>
    <row r="1499">
      <c r="A1499" s="2">
        <f>IFERROR(__xludf.DUMMYFUNCTION("""COMPUTED_VALUE"""),44221.64583333333)</f>
        <v>44221.64583</v>
      </c>
      <c r="B1499" s="1">
        <f>IFERROR(__xludf.DUMMYFUNCTION("""COMPUTED_VALUE"""),3760.0)</f>
        <v>3760</v>
      </c>
      <c r="C1499" s="1">
        <f>IFERROR(__xludf.DUMMYFUNCTION("""COMPUTED_VALUE"""),3805.0)</f>
        <v>3805</v>
      </c>
      <c r="D1499" s="1">
        <f>IFERROR(__xludf.DUMMYFUNCTION("""COMPUTED_VALUE"""),3715.0)</f>
        <v>3715</v>
      </c>
      <c r="E1499" s="1">
        <f>IFERROR(__xludf.DUMMYFUNCTION("""COMPUTED_VALUE"""),3780.0)</f>
        <v>3780</v>
      </c>
      <c r="F1499" s="1">
        <f>IFERROR(__xludf.DUMMYFUNCTION("""COMPUTED_VALUE"""),377041.0)</f>
        <v>377041</v>
      </c>
    </row>
    <row r="1500">
      <c r="A1500" s="2">
        <f>IFERROR(__xludf.DUMMYFUNCTION("""COMPUTED_VALUE"""),44222.64583333333)</f>
        <v>44222.64583</v>
      </c>
      <c r="B1500" s="1">
        <f>IFERROR(__xludf.DUMMYFUNCTION("""COMPUTED_VALUE"""),3770.0)</f>
        <v>3770</v>
      </c>
      <c r="C1500" s="1">
        <f>IFERROR(__xludf.DUMMYFUNCTION("""COMPUTED_VALUE"""),3900.0)</f>
        <v>3900</v>
      </c>
      <c r="D1500" s="1">
        <f>IFERROR(__xludf.DUMMYFUNCTION("""COMPUTED_VALUE"""),3765.0)</f>
        <v>3765</v>
      </c>
      <c r="E1500" s="1">
        <f>IFERROR(__xludf.DUMMYFUNCTION("""COMPUTED_VALUE"""),3840.0)</f>
        <v>3840</v>
      </c>
      <c r="F1500" s="1">
        <f>IFERROR(__xludf.DUMMYFUNCTION("""COMPUTED_VALUE"""),974912.0)</f>
        <v>974912</v>
      </c>
    </row>
    <row r="1501">
      <c r="A1501" s="2">
        <f>IFERROR(__xludf.DUMMYFUNCTION("""COMPUTED_VALUE"""),44223.64583333333)</f>
        <v>44223.64583</v>
      </c>
      <c r="B1501" s="1">
        <f>IFERROR(__xludf.DUMMYFUNCTION("""COMPUTED_VALUE"""),3855.0)</f>
        <v>3855</v>
      </c>
      <c r="C1501" s="1">
        <f>IFERROR(__xludf.DUMMYFUNCTION("""COMPUTED_VALUE"""),3915.0)</f>
        <v>3915</v>
      </c>
      <c r="D1501" s="1">
        <f>IFERROR(__xludf.DUMMYFUNCTION("""COMPUTED_VALUE"""),3800.0)</f>
        <v>3800</v>
      </c>
      <c r="E1501" s="1">
        <f>IFERROR(__xludf.DUMMYFUNCTION("""COMPUTED_VALUE"""),3880.0)</f>
        <v>3880</v>
      </c>
      <c r="F1501" s="1">
        <f>IFERROR(__xludf.DUMMYFUNCTION("""COMPUTED_VALUE"""),771827.0)</f>
        <v>771827</v>
      </c>
    </row>
    <row r="1502">
      <c r="A1502" s="2">
        <f>IFERROR(__xludf.DUMMYFUNCTION("""COMPUTED_VALUE"""),44224.64583333333)</f>
        <v>44224.64583</v>
      </c>
      <c r="B1502" s="1">
        <f>IFERROR(__xludf.DUMMYFUNCTION("""COMPUTED_VALUE"""),3840.0)</f>
        <v>3840</v>
      </c>
      <c r="C1502" s="1">
        <f>IFERROR(__xludf.DUMMYFUNCTION("""COMPUTED_VALUE"""),3895.0)</f>
        <v>3895</v>
      </c>
      <c r="D1502" s="1">
        <f>IFERROR(__xludf.DUMMYFUNCTION("""COMPUTED_VALUE"""),3750.0)</f>
        <v>3750</v>
      </c>
      <c r="E1502" s="1">
        <f>IFERROR(__xludf.DUMMYFUNCTION("""COMPUTED_VALUE"""),3820.0)</f>
        <v>3820</v>
      </c>
      <c r="F1502" s="1">
        <f>IFERROR(__xludf.DUMMYFUNCTION("""COMPUTED_VALUE"""),517289.0)</f>
        <v>517289</v>
      </c>
    </row>
    <row r="1503">
      <c r="A1503" s="2">
        <f>IFERROR(__xludf.DUMMYFUNCTION("""COMPUTED_VALUE"""),44225.64583333333)</f>
        <v>44225.64583</v>
      </c>
      <c r="B1503" s="1">
        <f>IFERROR(__xludf.DUMMYFUNCTION("""COMPUTED_VALUE"""),3950.0)</f>
        <v>3950</v>
      </c>
      <c r="C1503" s="1">
        <f>IFERROR(__xludf.DUMMYFUNCTION("""COMPUTED_VALUE"""),3975.0)</f>
        <v>3975</v>
      </c>
      <c r="D1503" s="1">
        <f>IFERROR(__xludf.DUMMYFUNCTION("""COMPUTED_VALUE"""),3695.0)</f>
        <v>3695</v>
      </c>
      <c r="E1503" s="1">
        <f>IFERROR(__xludf.DUMMYFUNCTION("""COMPUTED_VALUE"""),3695.0)</f>
        <v>3695</v>
      </c>
      <c r="F1503" s="1">
        <f>IFERROR(__xludf.DUMMYFUNCTION("""COMPUTED_VALUE"""),915125.0)</f>
        <v>915125</v>
      </c>
    </row>
    <row r="1504">
      <c r="A1504" s="2">
        <f>IFERROR(__xludf.DUMMYFUNCTION("""COMPUTED_VALUE"""),44228.64583333333)</f>
        <v>44228.64583</v>
      </c>
      <c r="B1504" s="1">
        <f>IFERROR(__xludf.DUMMYFUNCTION("""COMPUTED_VALUE"""),3660.0)</f>
        <v>3660</v>
      </c>
      <c r="C1504" s="1">
        <f>IFERROR(__xludf.DUMMYFUNCTION("""COMPUTED_VALUE"""),3730.0)</f>
        <v>3730</v>
      </c>
      <c r="D1504" s="1">
        <f>IFERROR(__xludf.DUMMYFUNCTION("""COMPUTED_VALUE"""),3600.0)</f>
        <v>3600</v>
      </c>
      <c r="E1504" s="1">
        <f>IFERROR(__xludf.DUMMYFUNCTION("""COMPUTED_VALUE"""),3715.0)</f>
        <v>3715</v>
      </c>
      <c r="F1504" s="1">
        <f>IFERROR(__xludf.DUMMYFUNCTION("""COMPUTED_VALUE"""),399447.0)</f>
        <v>399447</v>
      </c>
    </row>
    <row r="1505">
      <c r="A1505" s="2">
        <f>IFERROR(__xludf.DUMMYFUNCTION("""COMPUTED_VALUE"""),44229.64583333333)</f>
        <v>44229.64583</v>
      </c>
      <c r="B1505" s="1">
        <f>IFERROR(__xludf.DUMMYFUNCTION("""COMPUTED_VALUE"""),3725.0)</f>
        <v>3725</v>
      </c>
      <c r="C1505" s="1">
        <f>IFERROR(__xludf.DUMMYFUNCTION("""COMPUTED_VALUE"""),3765.0)</f>
        <v>3765</v>
      </c>
      <c r="D1505" s="1">
        <f>IFERROR(__xludf.DUMMYFUNCTION("""COMPUTED_VALUE"""),3695.0)</f>
        <v>3695</v>
      </c>
      <c r="E1505" s="1">
        <f>IFERROR(__xludf.DUMMYFUNCTION("""COMPUTED_VALUE"""),3705.0)</f>
        <v>3705</v>
      </c>
      <c r="F1505" s="1">
        <f>IFERROR(__xludf.DUMMYFUNCTION("""COMPUTED_VALUE"""),379255.0)</f>
        <v>379255</v>
      </c>
    </row>
    <row r="1506">
      <c r="A1506" s="2">
        <f>IFERROR(__xludf.DUMMYFUNCTION("""COMPUTED_VALUE"""),44230.64583333333)</f>
        <v>44230.64583</v>
      </c>
      <c r="B1506" s="1">
        <f>IFERROR(__xludf.DUMMYFUNCTION("""COMPUTED_VALUE"""),3770.0)</f>
        <v>3770</v>
      </c>
      <c r="C1506" s="1">
        <f>IFERROR(__xludf.DUMMYFUNCTION("""COMPUTED_VALUE"""),3790.0)</f>
        <v>3790</v>
      </c>
      <c r="D1506" s="1">
        <f>IFERROR(__xludf.DUMMYFUNCTION("""COMPUTED_VALUE"""),3690.0)</f>
        <v>3690</v>
      </c>
      <c r="E1506" s="1">
        <f>IFERROR(__xludf.DUMMYFUNCTION("""COMPUTED_VALUE"""),3720.0)</f>
        <v>3720</v>
      </c>
      <c r="F1506" s="1">
        <f>IFERROR(__xludf.DUMMYFUNCTION("""COMPUTED_VALUE"""),282288.0)</f>
        <v>282288</v>
      </c>
    </row>
    <row r="1507">
      <c r="A1507" s="2">
        <f>IFERROR(__xludf.DUMMYFUNCTION("""COMPUTED_VALUE"""),44231.64583333333)</f>
        <v>44231.64583</v>
      </c>
      <c r="B1507" s="1">
        <f>IFERROR(__xludf.DUMMYFUNCTION("""COMPUTED_VALUE"""),3705.0)</f>
        <v>3705</v>
      </c>
      <c r="C1507" s="1">
        <f>IFERROR(__xludf.DUMMYFUNCTION("""COMPUTED_VALUE"""),3775.0)</f>
        <v>3775</v>
      </c>
      <c r="D1507" s="1">
        <f>IFERROR(__xludf.DUMMYFUNCTION("""COMPUTED_VALUE"""),3705.0)</f>
        <v>3705</v>
      </c>
      <c r="E1507" s="1">
        <f>IFERROR(__xludf.DUMMYFUNCTION("""COMPUTED_VALUE"""),3705.0)</f>
        <v>3705</v>
      </c>
      <c r="F1507" s="1">
        <f>IFERROR(__xludf.DUMMYFUNCTION("""COMPUTED_VALUE"""),274365.0)</f>
        <v>274365</v>
      </c>
    </row>
    <row r="1508">
      <c r="A1508" s="2">
        <f>IFERROR(__xludf.DUMMYFUNCTION("""COMPUTED_VALUE"""),44232.64583333333)</f>
        <v>44232.64583</v>
      </c>
      <c r="B1508" s="1">
        <f>IFERROR(__xludf.DUMMYFUNCTION("""COMPUTED_VALUE"""),3715.0)</f>
        <v>3715</v>
      </c>
      <c r="C1508" s="1">
        <f>IFERROR(__xludf.DUMMYFUNCTION("""COMPUTED_VALUE"""),3745.0)</f>
        <v>3745</v>
      </c>
      <c r="D1508" s="1">
        <f>IFERROR(__xludf.DUMMYFUNCTION("""COMPUTED_VALUE"""),3700.0)</f>
        <v>3700</v>
      </c>
      <c r="E1508" s="1">
        <f>IFERROR(__xludf.DUMMYFUNCTION("""COMPUTED_VALUE"""),3700.0)</f>
        <v>3700</v>
      </c>
      <c r="F1508" s="1">
        <f>IFERROR(__xludf.DUMMYFUNCTION("""COMPUTED_VALUE"""),256408.0)</f>
        <v>256408</v>
      </c>
    </row>
    <row r="1509">
      <c r="A1509" s="2">
        <f>IFERROR(__xludf.DUMMYFUNCTION("""COMPUTED_VALUE"""),44235.64583333333)</f>
        <v>44235.64583</v>
      </c>
      <c r="B1509" s="1">
        <f>IFERROR(__xludf.DUMMYFUNCTION("""COMPUTED_VALUE"""),3700.0)</f>
        <v>3700</v>
      </c>
      <c r="C1509" s="1">
        <f>IFERROR(__xludf.DUMMYFUNCTION("""COMPUTED_VALUE"""),3710.0)</f>
        <v>3710</v>
      </c>
      <c r="D1509" s="1">
        <f>IFERROR(__xludf.DUMMYFUNCTION("""COMPUTED_VALUE"""),3645.0)</f>
        <v>3645</v>
      </c>
      <c r="E1509" s="1">
        <f>IFERROR(__xludf.DUMMYFUNCTION("""COMPUTED_VALUE"""),3645.0)</f>
        <v>3645</v>
      </c>
      <c r="F1509" s="1">
        <f>IFERROR(__xludf.DUMMYFUNCTION("""COMPUTED_VALUE"""),379806.0)</f>
        <v>379806</v>
      </c>
    </row>
    <row r="1510">
      <c r="A1510" s="2">
        <f>IFERROR(__xludf.DUMMYFUNCTION("""COMPUTED_VALUE"""),44236.64583333333)</f>
        <v>44236.64583</v>
      </c>
      <c r="B1510" s="1">
        <f>IFERROR(__xludf.DUMMYFUNCTION("""COMPUTED_VALUE"""),3705.0)</f>
        <v>3705</v>
      </c>
      <c r="C1510" s="1">
        <f>IFERROR(__xludf.DUMMYFUNCTION("""COMPUTED_VALUE"""),3880.0)</f>
        <v>3880</v>
      </c>
      <c r="D1510" s="1">
        <f>IFERROR(__xludf.DUMMYFUNCTION("""COMPUTED_VALUE"""),3690.0)</f>
        <v>3690</v>
      </c>
      <c r="E1510" s="1">
        <f>IFERROR(__xludf.DUMMYFUNCTION("""COMPUTED_VALUE"""),3730.0)</f>
        <v>3730</v>
      </c>
      <c r="F1510" s="1">
        <f>IFERROR(__xludf.DUMMYFUNCTION("""COMPUTED_VALUE"""),1546003.0)</f>
        <v>1546003</v>
      </c>
    </row>
    <row r="1511">
      <c r="A1511" s="2">
        <f>IFERROR(__xludf.DUMMYFUNCTION("""COMPUTED_VALUE"""),44237.64583333333)</f>
        <v>44237.64583</v>
      </c>
      <c r="B1511" s="1">
        <f>IFERROR(__xludf.DUMMYFUNCTION("""COMPUTED_VALUE"""),3750.0)</f>
        <v>3750</v>
      </c>
      <c r="C1511" s="1">
        <f>IFERROR(__xludf.DUMMYFUNCTION("""COMPUTED_VALUE"""),3820.0)</f>
        <v>3820</v>
      </c>
      <c r="D1511" s="1">
        <f>IFERROR(__xludf.DUMMYFUNCTION("""COMPUTED_VALUE"""),3730.0)</f>
        <v>3730</v>
      </c>
      <c r="E1511" s="1">
        <f>IFERROR(__xludf.DUMMYFUNCTION("""COMPUTED_VALUE"""),3750.0)</f>
        <v>3750</v>
      </c>
      <c r="F1511" s="1">
        <f>IFERROR(__xludf.DUMMYFUNCTION("""COMPUTED_VALUE"""),385649.0)</f>
        <v>385649</v>
      </c>
    </row>
    <row r="1512">
      <c r="A1512" s="2">
        <f>IFERROR(__xludf.DUMMYFUNCTION("""COMPUTED_VALUE"""),44242.64583333333)</f>
        <v>44242.64583</v>
      </c>
      <c r="B1512" s="1">
        <f>IFERROR(__xludf.DUMMYFUNCTION("""COMPUTED_VALUE"""),3770.0)</f>
        <v>3770</v>
      </c>
      <c r="C1512" s="1">
        <f>IFERROR(__xludf.DUMMYFUNCTION("""COMPUTED_VALUE"""),3845.0)</f>
        <v>3845</v>
      </c>
      <c r="D1512" s="1">
        <f>IFERROR(__xludf.DUMMYFUNCTION("""COMPUTED_VALUE"""),3760.0)</f>
        <v>3760</v>
      </c>
      <c r="E1512" s="1">
        <f>IFERROR(__xludf.DUMMYFUNCTION("""COMPUTED_VALUE"""),3825.0)</f>
        <v>3825</v>
      </c>
      <c r="F1512" s="1">
        <f>IFERROR(__xludf.DUMMYFUNCTION("""COMPUTED_VALUE"""),489678.0)</f>
        <v>489678</v>
      </c>
    </row>
    <row r="1513">
      <c r="A1513" s="2">
        <f>IFERROR(__xludf.DUMMYFUNCTION("""COMPUTED_VALUE"""),44243.64583333333)</f>
        <v>44243.64583</v>
      </c>
      <c r="B1513" s="1">
        <f>IFERROR(__xludf.DUMMYFUNCTION("""COMPUTED_VALUE"""),3800.0)</f>
        <v>3800</v>
      </c>
      <c r="C1513" s="1">
        <f>IFERROR(__xludf.DUMMYFUNCTION("""COMPUTED_VALUE"""),3975.0)</f>
        <v>3975</v>
      </c>
      <c r="D1513" s="1">
        <f>IFERROR(__xludf.DUMMYFUNCTION("""COMPUTED_VALUE"""),3800.0)</f>
        <v>3800</v>
      </c>
      <c r="E1513" s="1">
        <f>IFERROR(__xludf.DUMMYFUNCTION("""COMPUTED_VALUE"""),3860.0)</f>
        <v>3860</v>
      </c>
      <c r="F1513" s="1">
        <f>IFERROR(__xludf.DUMMYFUNCTION("""COMPUTED_VALUE"""),1501675.0)</f>
        <v>1501675</v>
      </c>
    </row>
    <row r="1514">
      <c r="A1514" s="2">
        <f>IFERROR(__xludf.DUMMYFUNCTION("""COMPUTED_VALUE"""),44244.64583333333)</f>
        <v>44244.64583</v>
      </c>
      <c r="B1514" s="1">
        <f>IFERROR(__xludf.DUMMYFUNCTION("""COMPUTED_VALUE"""),3865.0)</f>
        <v>3865</v>
      </c>
      <c r="C1514" s="1">
        <f>IFERROR(__xludf.DUMMYFUNCTION("""COMPUTED_VALUE"""),4310.0)</f>
        <v>4310</v>
      </c>
      <c r="D1514" s="1">
        <f>IFERROR(__xludf.DUMMYFUNCTION("""COMPUTED_VALUE"""),3850.0)</f>
        <v>3850</v>
      </c>
      <c r="E1514" s="1">
        <f>IFERROR(__xludf.DUMMYFUNCTION("""COMPUTED_VALUE"""),4040.0)</f>
        <v>4040</v>
      </c>
      <c r="F1514" s="1">
        <f>IFERROR(__xludf.DUMMYFUNCTION("""COMPUTED_VALUE"""),1.0325538E7)</f>
        <v>10325538</v>
      </c>
    </row>
    <row r="1515">
      <c r="A1515" s="2">
        <f>IFERROR(__xludf.DUMMYFUNCTION("""COMPUTED_VALUE"""),44245.64583333333)</f>
        <v>44245.64583</v>
      </c>
      <c r="B1515" s="1">
        <f>IFERROR(__xludf.DUMMYFUNCTION("""COMPUTED_VALUE"""),4085.0)</f>
        <v>4085</v>
      </c>
      <c r="C1515" s="1">
        <f>IFERROR(__xludf.DUMMYFUNCTION("""COMPUTED_VALUE"""),4770.0)</f>
        <v>4770</v>
      </c>
      <c r="D1515" s="1">
        <f>IFERROR(__xludf.DUMMYFUNCTION("""COMPUTED_VALUE"""),4010.0)</f>
        <v>4010</v>
      </c>
      <c r="E1515" s="1">
        <f>IFERROR(__xludf.DUMMYFUNCTION("""COMPUTED_VALUE"""),4430.0)</f>
        <v>4430</v>
      </c>
      <c r="F1515" s="1">
        <f>IFERROR(__xludf.DUMMYFUNCTION("""COMPUTED_VALUE"""),5.1901721E7)</f>
        <v>51901721</v>
      </c>
    </row>
    <row r="1516">
      <c r="A1516" s="2">
        <f>IFERROR(__xludf.DUMMYFUNCTION("""COMPUTED_VALUE"""),44246.64583333333)</f>
        <v>44246.64583</v>
      </c>
      <c r="B1516" s="1">
        <f>IFERROR(__xludf.DUMMYFUNCTION("""COMPUTED_VALUE"""),4320.0)</f>
        <v>4320</v>
      </c>
      <c r="C1516" s="1">
        <f>IFERROR(__xludf.DUMMYFUNCTION("""COMPUTED_VALUE"""),4375.0)</f>
        <v>4375</v>
      </c>
      <c r="D1516" s="1">
        <f>IFERROR(__xludf.DUMMYFUNCTION("""COMPUTED_VALUE"""),4100.0)</f>
        <v>4100</v>
      </c>
      <c r="E1516" s="1">
        <f>IFERROR(__xludf.DUMMYFUNCTION("""COMPUTED_VALUE"""),4195.0)</f>
        <v>4195</v>
      </c>
      <c r="F1516" s="1">
        <f>IFERROR(__xludf.DUMMYFUNCTION("""COMPUTED_VALUE"""),6374244.0)</f>
        <v>6374244</v>
      </c>
    </row>
    <row r="1517">
      <c r="A1517" s="2">
        <f>IFERROR(__xludf.DUMMYFUNCTION("""COMPUTED_VALUE"""),44249.64583333333)</f>
        <v>44249.64583</v>
      </c>
      <c r="B1517" s="1">
        <f>IFERROR(__xludf.DUMMYFUNCTION("""COMPUTED_VALUE"""),4235.0)</f>
        <v>4235</v>
      </c>
      <c r="C1517" s="1">
        <f>IFERROR(__xludf.DUMMYFUNCTION("""COMPUTED_VALUE"""),4360.0)</f>
        <v>4360</v>
      </c>
      <c r="D1517" s="1">
        <f>IFERROR(__xludf.DUMMYFUNCTION("""COMPUTED_VALUE"""),4175.0)</f>
        <v>4175</v>
      </c>
      <c r="E1517" s="1">
        <f>IFERROR(__xludf.DUMMYFUNCTION("""COMPUTED_VALUE"""),4245.0)</f>
        <v>4245</v>
      </c>
      <c r="F1517" s="1">
        <f>IFERROR(__xludf.DUMMYFUNCTION("""COMPUTED_VALUE"""),4347000.0)</f>
        <v>4347000</v>
      </c>
    </row>
    <row r="1518">
      <c r="A1518" s="2">
        <f>IFERROR(__xludf.DUMMYFUNCTION("""COMPUTED_VALUE"""),44250.64583333333)</f>
        <v>44250.64583</v>
      </c>
      <c r="B1518" s="1">
        <f>IFERROR(__xludf.DUMMYFUNCTION("""COMPUTED_VALUE"""),4155.0)</f>
        <v>4155</v>
      </c>
      <c r="C1518" s="1">
        <f>IFERROR(__xludf.DUMMYFUNCTION("""COMPUTED_VALUE"""),4480.0)</f>
        <v>4480</v>
      </c>
      <c r="D1518" s="1">
        <f>IFERROR(__xludf.DUMMYFUNCTION("""COMPUTED_VALUE"""),4065.0)</f>
        <v>4065</v>
      </c>
      <c r="E1518" s="1">
        <f>IFERROR(__xludf.DUMMYFUNCTION("""COMPUTED_VALUE"""),4200.0)</f>
        <v>4200</v>
      </c>
      <c r="F1518" s="1">
        <f>IFERROR(__xludf.DUMMYFUNCTION("""COMPUTED_VALUE"""),7767413.0)</f>
        <v>7767413</v>
      </c>
    </row>
    <row r="1519">
      <c r="A1519" s="2">
        <f>IFERROR(__xludf.DUMMYFUNCTION("""COMPUTED_VALUE"""),44251.64583333333)</f>
        <v>44251.64583</v>
      </c>
      <c r="B1519" s="1">
        <f>IFERROR(__xludf.DUMMYFUNCTION("""COMPUTED_VALUE"""),4190.0)</f>
        <v>4190</v>
      </c>
      <c r="C1519" s="1">
        <f>IFERROR(__xludf.DUMMYFUNCTION("""COMPUTED_VALUE"""),4455.0)</f>
        <v>4455</v>
      </c>
      <c r="D1519" s="1">
        <f>IFERROR(__xludf.DUMMYFUNCTION("""COMPUTED_VALUE"""),4135.0)</f>
        <v>4135</v>
      </c>
      <c r="E1519" s="1">
        <f>IFERROR(__xludf.DUMMYFUNCTION("""COMPUTED_VALUE"""),4200.0)</f>
        <v>4200</v>
      </c>
      <c r="F1519" s="1">
        <f>IFERROR(__xludf.DUMMYFUNCTION("""COMPUTED_VALUE"""),8501812.0)</f>
        <v>8501812</v>
      </c>
    </row>
    <row r="1520">
      <c r="A1520" s="2">
        <f>IFERROR(__xludf.DUMMYFUNCTION("""COMPUTED_VALUE"""),44252.64583333333)</f>
        <v>44252.64583</v>
      </c>
      <c r="B1520" s="1">
        <f>IFERROR(__xludf.DUMMYFUNCTION("""COMPUTED_VALUE"""),4290.0)</f>
        <v>4290</v>
      </c>
      <c r="C1520" s="1">
        <f>IFERROR(__xludf.DUMMYFUNCTION("""COMPUTED_VALUE"""),4420.0)</f>
        <v>4420</v>
      </c>
      <c r="D1520" s="1">
        <f>IFERROR(__xludf.DUMMYFUNCTION("""COMPUTED_VALUE"""),4240.0)</f>
        <v>4240</v>
      </c>
      <c r="E1520" s="1">
        <f>IFERROR(__xludf.DUMMYFUNCTION("""COMPUTED_VALUE"""),4380.0)</f>
        <v>4380</v>
      </c>
      <c r="F1520" s="1">
        <f>IFERROR(__xludf.DUMMYFUNCTION("""COMPUTED_VALUE"""),3943029.0)</f>
        <v>3943029</v>
      </c>
    </row>
    <row r="1521">
      <c r="A1521" s="2">
        <f>IFERROR(__xludf.DUMMYFUNCTION("""COMPUTED_VALUE"""),44253.64583333333)</f>
        <v>44253.64583</v>
      </c>
      <c r="B1521" s="1">
        <f>IFERROR(__xludf.DUMMYFUNCTION("""COMPUTED_VALUE"""),4210.0)</f>
        <v>4210</v>
      </c>
      <c r="C1521" s="1">
        <f>IFERROR(__xludf.DUMMYFUNCTION("""COMPUTED_VALUE"""),4560.0)</f>
        <v>4560</v>
      </c>
      <c r="D1521" s="1">
        <f>IFERROR(__xludf.DUMMYFUNCTION("""COMPUTED_VALUE"""),4180.0)</f>
        <v>4180</v>
      </c>
      <c r="E1521" s="1">
        <f>IFERROR(__xludf.DUMMYFUNCTION("""COMPUTED_VALUE"""),4460.0)</f>
        <v>4460</v>
      </c>
      <c r="F1521" s="1">
        <f>IFERROR(__xludf.DUMMYFUNCTION("""COMPUTED_VALUE"""),1.3894528E7)</f>
        <v>13894528</v>
      </c>
    </row>
    <row r="1522">
      <c r="A1522" s="2">
        <f>IFERROR(__xludf.DUMMYFUNCTION("""COMPUTED_VALUE"""),44257.64583333333)</f>
        <v>44257.64583</v>
      </c>
      <c r="B1522" s="1">
        <f>IFERROR(__xludf.DUMMYFUNCTION("""COMPUTED_VALUE"""),4605.0)</f>
        <v>4605</v>
      </c>
      <c r="C1522" s="1">
        <f>IFERROR(__xludf.DUMMYFUNCTION("""COMPUTED_VALUE"""),4610.0)</f>
        <v>4610</v>
      </c>
      <c r="D1522" s="1">
        <f>IFERROR(__xludf.DUMMYFUNCTION("""COMPUTED_VALUE"""),4250.0)</f>
        <v>4250</v>
      </c>
      <c r="E1522" s="1">
        <f>IFERROR(__xludf.DUMMYFUNCTION("""COMPUTED_VALUE"""),4255.0)</f>
        <v>4255</v>
      </c>
      <c r="F1522" s="1">
        <f>IFERROR(__xludf.DUMMYFUNCTION("""COMPUTED_VALUE"""),5000957.0)</f>
        <v>5000957</v>
      </c>
    </row>
    <row r="1523">
      <c r="A1523" s="2">
        <f>IFERROR(__xludf.DUMMYFUNCTION("""COMPUTED_VALUE"""),44258.64583333333)</f>
        <v>44258.64583</v>
      </c>
      <c r="B1523" s="1">
        <f>IFERROR(__xludf.DUMMYFUNCTION("""COMPUTED_VALUE"""),4265.0)</f>
        <v>4265</v>
      </c>
      <c r="C1523" s="1">
        <f>IFERROR(__xludf.DUMMYFUNCTION("""COMPUTED_VALUE"""),4450.0)</f>
        <v>4450</v>
      </c>
      <c r="D1523" s="1">
        <f>IFERROR(__xludf.DUMMYFUNCTION("""COMPUTED_VALUE"""),4255.0)</f>
        <v>4255</v>
      </c>
      <c r="E1523" s="1">
        <f>IFERROR(__xludf.DUMMYFUNCTION("""COMPUTED_VALUE"""),4280.0)</f>
        <v>4280</v>
      </c>
      <c r="F1523" s="1">
        <f>IFERROR(__xludf.DUMMYFUNCTION("""COMPUTED_VALUE"""),2732107.0)</f>
        <v>2732107</v>
      </c>
    </row>
    <row r="1524">
      <c r="A1524" s="2">
        <f>IFERROR(__xludf.DUMMYFUNCTION("""COMPUTED_VALUE"""),44259.64583333333)</f>
        <v>44259.64583</v>
      </c>
      <c r="B1524" s="1">
        <f>IFERROR(__xludf.DUMMYFUNCTION("""COMPUTED_VALUE"""),4215.0)</f>
        <v>4215</v>
      </c>
      <c r="C1524" s="1">
        <f>IFERROR(__xludf.DUMMYFUNCTION("""COMPUTED_VALUE"""),4315.0)</f>
        <v>4315</v>
      </c>
      <c r="D1524" s="1">
        <f>IFERROR(__xludf.DUMMYFUNCTION("""COMPUTED_VALUE"""),4155.0)</f>
        <v>4155</v>
      </c>
      <c r="E1524" s="1">
        <f>IFERROR(__xludf.DUMMYFUNCTION("""COMPUTED_VALUE"""),4170.0)</f>
        <v>4170</v>
      </c>
      <c r="F1524" s="1">
        <f>IFERROR(__xludf.DUMMYFUNCTION("""COMPUTED_VALUE"""),1500702.0)</f>
        <v>1500702</v>
      </c>
    </row>
    <row r="1525">
      <c r="A1525" s="2">
        <f>IFERROR(__xludf.DUMMYFUNCTION("""COMPUTED_VALUE"""),44260.64583333333)</f>
        <v>44260.64583</v>
      </c>
      <c r="B1525" s="1">
        <f>IFERROR(__xludf.DUMMYFUNCTION("""COMPUTED_VALUE"""),4080.0)</f>
        <v>4080</v>
      </c>
      <c r="C1525" s="1">
        <f>IFERROR(__xludf.DUMMYFUNCTION("""COMPUTED_VALUE"""),4150.0)</f>
        <v>4150</v>
      </c>
      <c r="D1525" s="1">
        <f>IFERROR(__xludf.DUMMYFUNCTION("""COMPUTED_VALUE"""),4060.0)</f>
        <v>4060</v>
      </c>
      <c r="E1525" s="1">
        <f>IFERROR(__xludf.DUMMYFUNCTION("""COMPUTED_VALUE"""),4140.0)</f>
        <v>4140</v>
      </c>
      <c r="F1525" s="1">
        <f>IFERROR(__xludf.DUMMYFUNCTION("""COMPUTED_VALUE"""),1424234.0)</f>
        <v>1424234</v>
      </c>
    </row>
    <row r="1526">
      <c r="A1526" s="2">
        <f>IFERROR(__xludf.DUMMYFUNCTION("""COMPUTED_VALUE"""),44263.64583333333)</f>
        <v>44263.64583</v>
      </c>
      <c r="B1526" s="1">
        <f>IFERROR(__xludf.DUMMYFUNCTION("""COMPUTED_VALUE"""),4155.0)</f>
        <v>4155</v>
      </c>
      <c r="C1526" s="1">
        <f>IFERROR(__xludf.DUMMYFUNCTION("""COMPUTED_VALUE"""),4300.0)</f>
        <v>4300</v>
      </c>
      <c r="D1526" s="1">
        <f>IFERROR(__xludf.DUMMYFUNCTION("""COMPUTED_VALUE"""),4115.0)</f>
        <v>4115</v>
      </c>
      <c r="E1526" s="1">
        <f>IFERROR(__xludf.DUMMYFUNCTION("""COMPUTED_VALUE"""),4130.0)</f>
        <v>4130</v>
      </c>
      <c r="F1526" s="1">
        <f>IFERROR(__xludf.DUMMYFUNCTION("""COMPUTED_VALUE"""),1194673.0)</f>
        <v>1194673</v>
      </c>
    </row>
    <row r="1527">
      <c r="A1527" s="2">
        <f>IFERROR(__xludf.DUMMYFUNCTION("""COMPUTED_VALUE"""),44264.64583333333)</f>
        <v>44264.64583</v>
      </c>
      <c r="B1527" s="1">
        <f>IFERROR(__xludf.DUMMYFUNCTION("""COMPUTED_VALUE"""),4150.0)</f>
        <v>4150</v>
      </c>
      <c r="C1527" s="1">
        <f>IFERROR(__xludf.DUMMYFUNCTION("""COMPUTED_VALUE"""),4350.0)</f>
        <v>4350</v>
      </c>
      <c r="D1527" s="1">
        <f>IFERROR(__xludf.DUMMYFUNCTION("""COMPUTED_VALUE"""),4045.0)</f>
        <v>4045</v>
      </c>
      <c r="E1527" s="1">
        <f>IFERROR(__xludf.DUMMYFUNCTION("""COMPUTED_VALUE"""),4260.0)</f>
        <v>4260</v>
      </c>
      <c r="F1527" s="1">
        <f>IFERROR(__xludf.DUMMYFUNCTION("""COMPUTED_VALUE"""),2459431.0)</f>
        <v>2459431</v>
      </c>
    </row>
    <row r="1528">
      <c r="A1528" s="2">
        <f>IFERROR(__xludf.DUMMYFUNCTION("""COMPUTED_VALUE"""),44265.64583333333)</f>
        <v>44265.64583</v>
      </c>
      <c r="B1528" s="1">
        <f>IFERROR(__xludf.DUMMYFUNCTION("""COMPUTED_VALUE"""),4265.0)</f>
        <v>4265</v>
      </c>
      <c r="C1528" s="1">
        <f>IFERROR(__xludf.DUMMYFUNCTION("""COMPUTED_VALUE"""),4440.0)</f>
        <v>4440</v>
      </c>
      <c r="D1528" s="1">
        <f>IFERROR(__xludf.DUMMYFUNCTION("""COMPUTED_VALUE"""),4175.0)</f>
        <v>4175</v>
      </c>
      <c r="E1528" s="1">
        <f>IFERROR(__xludf.DUMMYFUNCTION("""COMPUTED_VALUE"""),4180.0)</f>
        <v>4180</v>
      </c>
      <c r="F1528" s="1">
        <f>IFERROR(__xludf.DUMMYFUNCTION("""COMPUTED_VALUE"""),5104382.0)</f>
        <v>5104382</v>
      </c>
    </row>
    <row r="1529">
      <c r="A1529" s="2">
        <f>IFERROR(__xludf.DUMMYFUNCTION("""COMPUTED_VALUE"""),44266.64583333333)</f>
        <v>44266.64583</v>
      </c>
      <c r="B1529" s="1">
        <f>IFERROR(__xludf.DUMMYFUNCTION("""COMPUTED_VALUE"""),4245.0)</f>
        <v>4245</v>
      </c>
      <c r="C1529" s="1">
        <f>IFERROR(__xludf.DUMMYFUNCTION("""COMPUTED_VALUE"""),4400.0)</f>
        <v>4400</v>
      </c>
      <c r="D1529" s="1">
        <f>IFERROR(__xludf.DUMMYFUNCTION("""COMPUTED_VALUE"""),4230.0)</f>
        <v>4230</v>
      </c>
      <c r="E1529" s="1">
        <f>IFERROR(__xludf.DUMMYFUNCTION("""COMPUTED_VALUE"""),4375.0)</f>
        <v>4375</v>
      </c>
      <c r="F1529" s="1">
        <f>IFERROR(__xludf.DUMMYFUNCTION("""COMPUTED_VALUE"""),2660712.0)</f>
        <v>2660712</v>
      </c>
    </row>
    <row r="1530">
      <c r="A1530" s="2">
        <f>IFERROR(__xludf.DUMMYFUNCTION("""COMPUTED_VALUE"""),44267.64583333333)</f>
        <v>44267.64583</v>
      </c>
      <c r="B1530" s="1">
        <f>IFERROR(__xludf.DUMMYFUNCTION("""COMPUTED_VALUE"""),4420.0)</f>
        <v>4420</v>
      </c>
      <c r="C1530" s="1">
        <f>IFERROR(__xludf.DUMMYFUNCTION("""COMPUTED_VALUE"""),4425.0)</f>
        <v>4425</v>
      </c>
      <c r="D1530" s="1">
        <f>IFERROR(__xludf.DUMMYFUNCTION("""COMPUTED_VALUE"""),4305.0)</f>
        <v>4305</v>
      </c>
      <c r="E1530" s="1">
        <f>IFERROR(__xludf.DUMMYFUNCTION("""COMPUTED_VALUE"""),4305.0)</f>
        <v>4305</v>
      </c>
      <c r="F1530" s="1">
        <f>IFERROR(__xludf.DUMMYFUNCTION("""COMPUTED_VALUE"""),1812207.0)</f>
        <v>1812207</v>
      </c>
    </row>
    <row r="1531">
      <c r="A1531" s="2">
        <f>IFERROR(__xludf.DUMMYFUNCTION("""COMPUTED_VALUE"""),44270.64583333333)</f>
        <v>44270.64583</v>
      </c>
      <c r="B1531" s="1">
        <f>IFERROR(__xludf.DUMMYFUNCTION("""COMPUTED_VALUE"""),4355.0)</f>
        <v>4355</v>
      </c>
      <c r="C1531" s="1">
        <f>IFERROR(__xludf.DUMMYFUNCTION("""COMPUTED_VALUE"""),4470.0)</f>
        <v>4470</v>
      </c>
      <c r="D1531" s="1">
        <f>IFERROR(__xludf.DUMMYFUNCTION("""COMPUTED_VALUE"""),4280.0)</f>
        <v>4280</v>
      </c>
      <c r="E1531" s="1">
        <f>IFERROR(__xludf.DUMMYFUNCTION("""COMPUTED_VALUE"""),4455.0)</f>
        <v>4455</v>
      </c>
      <c r="F1531" s="1">
        <f>IFERROR(__xludf.DUMMYFUNCTION("""COMPUTED_VALUE"""),3172715.0)</f>
        <v>3172715</v>
      </c>
    </row>
    <row r="1532">
      <c r="A1532" s="2">
        <f>IFERROR(__xludf.DUMMYFUNCTION("""COMPUTED_VALUE"""),44271.64583333333)</f>
        <v>44271.64583</v>
      </c>
      <c r="B1532" s="1">
        <f>IFERROR(__xludf.DUMMYFUNCTION("""COMPUTED_VALUE"""),4500.0)</f>
        <v>4500</v>
      </c>
      <c r="C1532" s="1">
        <f>IFERROR(__xludf.DUMMYFUNCTION("""COMPUTED_VALUE"""),4620.0)</f>
        <v>4620</v>
      </c>
      <c r="D1532" s="1">
        <f>IFERROR(__xludf.DUMMYFUNCTION("""COMPUTED_VALUE"""),4395.0)</f>
        <v>4395</v>
      </c>
      <c r="E1532" s="1">
        <f>IFERROR(__xludf.DUMMYFUNCTION("""COMPUTED_VALUE"""),4405.0)</f>
        <v>4405</v>
      </c>
      <c r="F1532" s="1">
        <f>IFERROR(__xludf.DUMMYFUNCTION("""COMPUTED_VALUE"""),5687219.0)</f>
        <v>5687219</v>
      </c>
    </row>
    <row r="1533">
      <c r="A1533" s="2">
        <f>IFERROR(__xludf.DUMMYFUNCTION("""COMPUTED_VALUE"""),44272.64583333333)</f>
        <v>44272.64583</v>
      </c>
      <c r="B1533" s="1">
        <f>IFERROR(__xludf.DUMMYFUNCTION("""COMPUTED_VALUE"""),4415.0)</f>
        <v>4415</v>
      </c>
      <c r="C1533" s="1">
        <f>IFERROR(__xludf.DUMMYFUNCTION("""COMPUTED_VALUE"""),4455.0)</f>
        <v>4455</v>
      </c>
      <c r="D1533" s="1">
        <f>IFERROR(__xludf.DUMMYFUNCTION("""COMPUTED_VALUE"""),4355.0)</f>
        <v>4355</v>
      </c>
      <c r="E1533" s="1">
        <f>IFERROR(__xludf.DUMMYFUNCTION("""COMPUTED_VALUE"""),4375.0)</f>
        <v>4375</v>
      </c>
      <c r="F1533" s="1">
        <f>IFERROR(__xludf.DUMMYFUNCTION("""COMPUTED_VALUE"""),1250554.0)</f>
        <v>1250554</v>
      </c>
    </row>
    <row r="1534">
      <c r="A1534" s="2">
        <f>IFERROR(__xludf.DUMMYFUNCTION("""COMPUTED_VALUE"""),44273.64583333333)</f>
        <v>44273.64583</v>
      </c>
      <c r="B1534" s="1">
        <f>IFERROR(__xludf.DUMMYFUNCTION("""COMPUTED_VALUE"""),4400.0)</f>
        <v>4400</v>
      </c>
      <c r="C1534" s="1">
        <f>IFERROR(__xludf.DUMMYFUNCTION("""COMPUTED_VALUE"""),4510.0)</f>
        <v>4510</v>
      </c>
      <c r="D1534" s="1">
        <f>IFERROR(__xludf.DUMMYFUNCTION("""COMPUTED_VALUE"""),4355.0)</f>
        <v>4355</v>
      </c>
      <c r="E1534" s="1">
        <f>IFERROR(__xludf.DUMMYFUNCTION("""COMPUTED_VALUE"""),4480.0)</f>
        <v>4480</v>
      </c>
      <c r="F1534" s="1">
        <f>IFERROR(__xludf.DUMMYFUNCTION("""COMPUTED_VALUE"""),2193087.0)</f>
        <v>2193087</v>
      </c>
    </row>
    <row r="1535">
      <c r="A1535" s="2">
        <f>IFERROR(__xludf.DUMMYFUNCTION("""COMPUTED_VALUE"""),44274.64583333333)</f>
        <v>44274.64583</v>
      </c>
      <c r="B1535" s="1">
        <f>IFERROR(__xludf.DUMMYFUNCTION("""COMPUTED_VALUE"""),4400.0)</f>
        <v>4400</v>
      </c>
      <c r="C1535" s="1">
        <f>IFERROR(__xludf.DUMMYFUNCTION("""COMPUTED_VALUE"""),4580.0)</f>
        <v>4580</v>
      </c>
      <c r="D1535" s="1">
        <f>IFERROR(__xludf.DUMMYFUNCTION("""COMPUTED_VALUE"""),4325.0)</f>
        <v>4325</v>
      </c>
      <c r="E1535" s="1">
        <f>IFERROR(__xludf.DUMMYFUNCTION("""COMPUTED_VALUE"""),4480.0)</f>
        <v>4480</v>
      </c>
      <c r="F1535" s="1">
        <f>IFERROR(__xludf.DUMMYFUNCTION("""COMPUTED_VALUE"""),3146388.0)</f>
        <v>3146388</v>
      </c>
    </row>
    <row r="1536">
      <c r="A1536" s="2">
        <f>IFERROR(__xludf.DUMMYFUNCTION("""COMPUTED_VALUE"""),44277.64583333333)</f>
        <v>44277.64583</v>
      </c>
      <c r="B1536" s="1">
        <f>IFERROR(__xludf.DUMMYFUNCTION("""COMPUTED_VALUE"""),4545.0)</f>
        <v>4545</v>
      </c>
      <c r="C1536" s="1">
        <f>IFERROR(__xludf.DUMMYFUNCTION("""COMPUTED_VALUE"""),4600.0)</f>
        <v>4600</v>
      </c>
      <c r="D1536" s="1">
        <f>IFERROR(__xludf.DUMMYFUNCTION("""COMPUTED_VALUE"""),4460.0)</f>
        <v>4460</v>
      </c>
      <c r="E1536" s="1">
        <f>IFERROR(__xludf.DUMMYFUNCTION("""COMPUTED_VALUE"""),4555.0)</f>
        <v>4555</v>
      </c>
      <c r="F1536" s="1">
        <f>IFERROR(__xludf.DUMMYFUNCTION("""COMPUTED_VALUE"""),3731593.0)</f>
        <v>3731593</v>
      </c>
    </row>
    <row r="1537">
      <c r="A1537" s="2">
        <f>IFERROR(__xludf.DUMMYFUNCTION("""COMPUTED_VALUE"""),44278.64583333333)</f>
        <v>44278.64583</v>
      </c>
      <c r="B1537" s="1">
        <f>IFERROR(__xludf.DUMMYFUNCTION("""COMPUTED_VALUE"""),4525.0)</f>
        <v>4525</v>
      </c>
      <c r="C1537" s="1">
        <f>IFERROR(__xludf.DUMMYFUNCTION("""COMPUTED_VALUE"""),4555.0)</f>
        <v>4555</v>
      </c>
      <c r="D1537" s="1">
        <f>IFERROR(__xludf.DUMMYFUNCTION("""COMPUTED_VALUE"""),4330.0)</f>
        <v>4330</v>
      </c>
      <c r="E1537" s="1">
        <f>IFERROR(__xludf.DUMMYFUNCTION("""COMPUTED_VALUE"""),4330.0)</f>
        <v>4330</v>
      </c>
      <c r="F1537" s="1">
        <f>IFERROR(__xludf.DUMMYFUNCTION("""COMPUTED_VALUE"""),2361540.0)</f>
        <v>2361540</v>
      </c>
    </row>
    <row r="1538">
      <c r="A1538" s="2">
        <f>IFERROR(__xludf.DUMMYFUNCTION("""COMPUTED_VALUE"""),44279.64583333333)</f>
        <v>44279.64583</v>
      </c>
      <c r="B1538" s="1">
        <f>IFERROR(__xludf.DUMMYFUNCTION("""COMPUTED_VALUE"""),4345.0)</f>
        <v>4345</v>
      </c>
      <c r="C1538" s="1">
        <f>IFERROR(__xludf.DUMMYFUNCTION("""COMPUTED_VALUE"""),4425.0)</f>
        <v>4425</v>
      </c>
      <c r="D1538" s="1">
        <f>IFERROR(__xludf.DUMMYFUNCTION("""COMPUTED_VALUE"""),4250.0)</f>
        <v>4250</v>
      </c>
      <c r="E1538" s="1">
        <f>IFERROR(__xludf.DUMMYFUNCTION("""COMPUTED_VALUE"""),4305.0)</f>
        <v>4305</v>
      </c>
      <c r="F1538" s="1">
        <f>IFERROR(__xludf.DUMMYFUNCTION("""COMPUTED_VALUE"""),920067.0)</f>
        <v>920067</v>
      </c>
    </row>
    <row r="1539">
      <c r="A1539" s="2">
        <f>IFERROR(__xludf.DUMMYFUNCTION("""COMPUTED_VALUE"""),44280.64583333333)</f>
        <v>44280.64583</v>
      </c>
      <c r="B1539" s="1">
        <f>IFERROR(__xludf.DUMMYFUNCTION("""COMPUTED_VALUE"""),4280.0)</f>
        <v>4280</v>
      </c>
      <c r="C1539" s="1">
        <f>IFERROR(__xludf.DUMMYFUNCTION("""COMPUTED_VALUE"""),4330.0)</f>
        <v>4330</v>
      </c>
      <c r="D1539" s="1">
        <f>IFERROR(__xludf.DUMMYFUNCTION("""COMPUTED_VALUE"""),4235.0)</f>
        <v>4235</v>
      </c>
      <c r="E1539" s="1">
        <f>IFERROR(__xludf.DUMMYFUNCTION("""COMPUTED_VALUE"""),4235.0)</f>
        <v>4235</v>
      </c>
      <c r="F1539" s="1">
        <f>IFERROR(__xludf.DUMMYFUNCTION("""COMPUTED_VALUE"""),836240.0)</f>
        <v>836240</v>
      </c>
    </row>
    <row r="1540">
      <c r="A1540" s="2">
        <f>IFERROR(__xludf.DUMMYFUNCTION("""COMPUTED_VALUE"""),44281.64583333333)</f>
        <v>44281.64583</v>
      </c>
      <c r="B1540" s="1">
        <f>IFERROR(__xludf.DUMMYFUNCTION("""COMPUTED_VALUE"""),4235.0)</f>
        <v>4235</v>
      </c>
      <c r="C1540" s="1">
        <f>IFERROR(__xludf.DUMMYFUNCTION("""COMPUTED_VALUE"""),4260.0)</f>
        <v>4260</v>
      </c>
      <c r="D1540" s="1">
        <f>IFERROR(__xludf.DUMMYFUNCTION("""COMPUTED_VALUE"""),4145.0)</f>
        <v>4145</v>
      </c>
      <c r="E1540" s="1">
        <f>IFERROR(__xludf.DUMMYFUNCTION("""COMPUTED_VALUE"""),4175.0)</f>
        <v>4175</v>
      </c>
      <c r="F1540" s="1">
        <f>IFERROR(__xludf.DUMMYFUNCTION("""COMPUTED_VALUE"""),959330.0)</f>
        <v>959330</v>
      </c>
    </row>
    <row r="1541">
      <c r="A1541" s="2">
        <f>IFERROR(__xludf.DUMMYFUNCTION("""COMPUTED_VALUE"""),44284.64583333333)</f>
        <v>44284.64583</v>
      </c>
      <c r="B1541" s="1">
        <f>IFERROR(__xludf.DUMMYFUNCTION("""COMPUTED_VALUE"""),4175.0)</f>
        <v>4175</v>
      </c>
      <c r="C1541" s="1">
        <f>IFERROR(__xludf.DUMMYFUNCTION("""COMPUTED_VALUE"""),4295.0)</f>
        <v>4295</v>
      </c>
      <c r="D1541" s="1">
        <f>IFERROR(__xludf.DUMMYFUNCTION("""COMPUTED_VALUE"""),4170.0)</f>
        <v>4170</v>
      </c>
      <c r="E1541" s="1">
        <f>IFERROR(__xludf.DUMMYFUNCTION("""COMPUTED_VALUE"""),4200.0)</f>
        <v>4200</v>
      </c>
      <c r="F1541" s="1">
        <f>IFERROR(__xludf.DUMMYFUNCTION("""COMPUTED_VALUE"""),914586.0)</f>
        <v>914586</v>
      </c>
    </row>
    <row r="1542">
      <c r="A1542" s="2">
        <f>IFERROR(__xludf.DUMMYFUNCTION("""COMPUTED_VALUE"""),44285.64583333333)</f>
        <v>44285.64583</v>
      </c>
      <c r="B1542" s="1">
        <f>IFERROR(__xludf.DUMMYFUNCTION("""COMPUTED_VALUE"""),4205.0)</f>
        <v>4205</v>
      </c>
      <c r="C1542" s="1">
        <f>IFERROR(__xludf.DUMMYFUNCTION("""COMPUTED_VALUE"""),4375.0)</f>
        <v>4375</v>
      </c>
      <c r="D1542" s="1">
        <f>IFERROR(__xludf.DUMMYFUNCTION("""COMPUTED_VALUE"""),4205.0)</f>
        <v>4205</v>
      </c>
      <c r="E1542" s="1">
        <f>IFERROR(__xludf.DUMMYFUNCTION("""COMPUTED_VALUE"""),4350.0)</f>
        <v>4350</v>
      </c>
      <c r="F1542" s="1">
        <f>IFERROR(__xludf.DUMMYFUNCTION("""COMPUTED_VALUE"""),1213140.0)</f>
        <v>1213140</v>
      </c>
    </row>
    <row r="1543">
      <c r="A1543" s="2">
        <f>IFERROR(__xludf.DUMMYFUNCTION("""COMPUTED_VALUE"""),44286.64583333333)</f>
        <v>44286.64583</v>
      </c>
      <c r="B1543" s="1">
        <f>IFERROR(__xludf.DUMMYFUNCTION("""COMPUTED_VALUE"""),4355.0)</f>
        <v>4355</v>
      </c>
      <c r="C1543" s="1">
        <f>IFERROR(__xludf.DUMMYFUNCTION("""COMPUTED_VALUE"""),4360.0)</f>
        <v>4360</v>
      </c>
      <c r="D1543" s="1">
        <f>IFERROR(__xludf.DUMMYFUNCTION("""COMPUTED_VALUE"""),4280.0)</f>
        <v>4280</v>
      </c>
      <c r="E1543" s="1">
        <f>IFERROR(__xludf.DUMMYFUNCTION("""COMPUTED_VALUE"""),4300.0)</f>
        <v>4300</v>
      </c>
      <c r="F1543" s="1">
        <f>IFERROR(__xludf.DUMMYFUNCTION("""COMPUTED_VALUE"""),1382020.0)</f>
        <v>1382020</v>
      </c>
    </row>
    <row r="1544">
      <c r="A1544" s="2">
        <f>IFERROR(__xludf.DUMMYFUNCTION("""COMPUTED_VALUE"""),44287.64583333333)</f>
        <v>44287.64583</v>
      </c>
      <c r="B1544" s="1">
        <f>IFERROR(__xludf.DUMMYFUNCTION("""COMPUTED_VALUE"""),4510.0)</f>
        <v>4510</v>
      </c>
      <c r="C1544" s="1">
        <f>IFERROR(__xludf.DUMMYFUNCTION("""COMPUTED_VALUE"""),4730.0)</f>
        <v>4730</v>
      </c>
      <c r="D1544" s="1">
        <f>IFERROR(__xludf.DUMMYFUNCTION("""COMPUTED_VALUE"""),4380.0)</f>
        <v>4380</v>
      </c>
      <c r="E1544" s="1">
        <f>IFERROR(__xludf.DUMMYFUNCTION("""COMPUTED_VALUE"""),4400.0)</f>
        <v>4400</v>
      </c>
      <c r="F1544" s="1">
        <f>IFERROR(__xludf.DUMMYFUNCTION("""COMPUTED_VALUE"""),1.5562865E7)</f>
        <v>15562865</v>
      </c>
    </row>
    <row r="1545">
      <c r="A1545" s="2">
        <f>IFERROR(__xludf.DUMMYFUNCTION("""COMPUTED_VALUE"""),44288.64583333333)</f>
        <v>44288.64583</v>
      </c>
      <c r="B1545" s="1">
        <f>IFERROR(__xludf.DUMMYFUNCTION("""COMPUTED_VALUE"""),4435.0)</f>
        <v>4435</v>
      </c>
      <c r="C1545" s="1">
        <f>IFERROR(__xludf.DUMMYFUNCTION("""COMPUTED_VALUE"""),4695.0)</f>
        <v>4695</v>
      </c>
      <c r="D1545" s="1">
        <f>IFERROR(__xludf.DUMMYFUNCTION("""COMPUTED_VALUE"""),4415.0)</f>
        <v>4415</v>
      </c>
      <c r="E1545" s="1">
        <f>IFERROR(__xludf.DUMMYFUNCTION("""COMPUTED_VALUE"""),4695.0)</f>
        <v>4695</v>
      </c>
      <c r="F1545" s="1">
        <f>IFERROR(__xludf.DUMMYFUNCTION("""COMPUTED_VALUE"""),9752243.0)</f>
        <v>9752243</v>
      </c>
    </row>
    <row r="1546">
      <c r="A1546" s="2">
        <f>IFERROR(__xludf.DUMMYFUNCTION("""COMPUTED_VALUE"""),44291.64583333333)</f>
        <v>44291.64583</v>
      </c>
      <c r="B1546" s="1">
        <f>IFERROR(__xludf.DUMMYFUNCTION("""COMPUTED_VALUE"""),5020.0)</f>
        <v>5020</v>
      </c>
      <c r="C1546" s="1">
        <f>IFERROR(__xludf.DUMMYFUNCTION("""COMPUTED_VALUE"""),5030.0)</f>
        <v>5030</v>
      </c>
      <c r="D1546" s="1">
        <f>IFERROR(__xludf.DUMMYFUNCTION("""COMPUTED_VALUE"""),4585.0)</f>
        <v>4585</v>
      </c>
      <c r="E1546" s="1">
        <f>IFERROR(__xludf.DUMMYFUNCTION("""COMPUTED_VALUE"""),4595.0)</f>
        <v>4595</v>
      </c>
      <c r="F1546" s="1">
        <f>IFERROR(__xludf.DUMMYFUNCTION("""COMPUTED_VALUE"""),9786919.0)</f>
        <v>9786919</v>
      </c>
    </row>
    <row r="1547">
      <c r="A1547" s="2">
        <f>IFERROR(__xludf.DUMMYFUNCTION("""COMPUTED_VALUE"""),44292.64583333333)</f>
        <v>44292.64583</v>
      </c>
      <c r="B1547" s="1">
        <f>IFERROR(__xludf.DUMMYFUNCTION("""COMPUTED_VALUE"""),4630.0)</f>
        <v>4630</v>
      </c>
      <c r="C1547" s="1">
        <f>IFERROR(__xludf.DUMMYFUNCTION("""COMPUTED_VALUE"""),5780.0)</f>
        <v>5780</v>
      </c>
      <c r="D1547" s="1">
        <f>IFERROR(__xludf.DUMMYFUNCTION("""COMPUTED_VALUE"""),4600.0)</f>
        <v>4600</v>
      </c>
      <c r="E1547" s="1">
        <f>IFERROR(__xludf.DUMMYFUNCTION("""COMPUTED_VALUE"""),5590.0)</f>
        <v>5590</v>
      </c>
      <c r="F1547" s="1">
        <f>IFERROR(__xludf.DUMMYFUNCTION("""COMPUTED_VALUE"""),8.231781E7)</f>
        <v>82317810</v>
      </c>
    </row>
    <row r="1548">
      <c r="A1548" s="2">
        <f>IFERROR(__xludf.DUMMYFUNCTION("""COMPUTED_VALUE"""),44293.64583333333)</f>
        <v>44293.64583</v>
      </c>
      <c r="B1548" s="1">
        <f>IFERROR(__xludf.DUMMYFUNCTION("""COMPUTED_VALUE"""),5540.0)</f>
        <v>5540</v>
      </c>
      <c r="C1548" s="1">
        <f>IFERROR(__xludf.DUMMYFUNCTION("""COMPUTED_VALUE"""),5700.0)</f>
        <v>5700</v>
      </c>
      <c r="D1548" s="1">
        <f>IFERROR(__xludf.DUMMYFUNCTION("""COMPUTED_VALUE"""),5430.0)</f>
        <v>5430</v>
      </c>
      <c r="E1548" s="1">
        <f>IFERROR(__xludf.DUMMYFUNCTION("""COMPUTED_VALUE"""),5660.0)</f>
        <v>5660</v>
      </c>
      <c r="F1548" s="1">
        <f>IFERROR(__xludf.DUMMYFUNCTION("""COMPUTED_VALUE"""),1.6521051E7)</f>
        <v>16521051</v>
      </c>
    </row>
    <row r="1549">
      <c r="A1549" s="2">
        <f>IFERROR(__xludf.DUMMYFUNCTION("""COMPUTED_VALUE"""),44294.64583333333)</f>
        <v>44294.64583</v>
      </c>
      <c r="B1549" s="1">
        <f>IFERROR(__xludf.DUMMYFUNCTION("""COMPUTED_VALUE"""),5550.0)</f>
        <v>5550</v>
      </c>
      <c r="C1549" s="1">
        <f>IFERROR(__xludf.DUMMYFUNCTION("""COMPUTED_VALUE"""),5640.0)</f>
        <v>5640</v>
      </c>
      <c r="D1549" s="1">
        <f>IFERROR(__xludf.DUMMYFUNCTION("""COMPUTED_VALUE"""),5430.0)</f>
        <v>5430</v>
      </c>
      <c r="E1549" s="1">
        <f>IFERROR(__xludf.DUMMYFUNCTION("""COMPUTED_VALUE"""),5630.0)</f>
        <v>5630</v>
      </c>
      <c r="F1549" s="1">
        <f>IFERROR(__xludf.DUMMYFUNCTION("""COMPUTED_VALUE"""),8386731.0)</f>
        <v>8386731</v>
      </c>
    </row>
    <row r="1550">
      <c r="A1550" s="2">
        <f>IFERROR(__xludf.DUMMYFUNCTION("""COMPUTED_VALUE"""),44295.64583333333)</f>
        <v>44295.64583</v>
      </c>
      <c r="B1550" s="1">
        <f>IFERROR(__xludf.DUMMYFUNCTION("""COMPUTED_VALUE"""),5590.0)</f>
        <v>5590</v>
      </c>
      <c r="C1550" s="1">
        <f>IFERROR(__xludf.DUMMYFUNCTION("""COMPUTED_VALUE"""),5830.0)</f>
        <v>5830</v>
      </c>
      <c r="D1550" s="1">
        <f>IFERROR(__xludf.DUMMYFUNCTION("""COMPUTED_VALUE"""),5540.0)</f>
        <v>5540</v>
      </c>
      <c r="E1550" s="1">
        <f>IFERROR(__xludf.DUMMYFUNCTION("""COMPUTED_VALUE"""),5630.0)</f>
        <v>5630</v>
      </c>
      <c r="F1550" s="1">
        <f>IFERROR(__xludf.DUMMYFUNCTION("""COMPUTED_VALUE"""),9664141.0)</f>
        <v>9664141</v>
      </c>
    </row>
    <row r="1551">
      <c r="A1551" s="2">
        <f>IFERROR(__xludf.DUMMYFUNCTION("""COMPUTED_VALUE"""),44298.64583333333)</f>
        <v>44298.64583</v>
      </c>
      <c r="B1551" s="1">
        <f>IFERROR(__xludf.DUMMYFUNCTION("""COMPUTED_VALUE"""),5680.0)</f>
        <v>5680</v>
      </c>
      <c r="C1551" s="1">
        <f>IFERROR(__xludf.DUMMYFUNCTION("""COMPUTED_VALUE"""),6150.0)</f>
        <v>6150</v>
      </c>
      <c r="D1551" s="1">
        <f>IFERROR(__xludf.DUMMYFUNCTION("""COMPUTED_VALUE"""),5530.0)</f>
        <v>5530</v>
      </c>
      <c r="E1551" s="1">
        <f>IFERROR(__xludf.DUMMYFUNCTION("""COMPUTED_VALUE"""),5610.0)</f>
        <v>5610</v>
      </c>
      <c r="F1551" s="1">
        <f>IFERROR(__xludf.DUMMYFUNCTION("""COMPUTED_VALUE"""),4.1332416E7)</f>
        <v>41332416</v>
      </c>
    </row>
    <row r="1552">
      <c r="A1552" s="2">
        <f>IFERROR(__xludf.DUMMYFUNCTION("""COMPUTED_VALUE"""),44299.64583333333)</f>
        <v>44299.64583</v>
      </c>
      <c r="B1552" s="1">
        <f>IFERROR(__xludf.DUMMYFUNCTION("""COMPUTED_VALUE"""),5590.0)</f>
        <v>5590</v>
      </c>
      <c r="C1552" s="1">
        <f>IFERROR(__xludf.DUMMYFUNCTION("""COMPUTED_VALUE"""),5740.0)</f>
        <v>5740</v>
      </c>
      <c r="D1552" s="1">
        <f>IFERROR(__xludf.DUMMYFUNCTION("""COMPUTED_VALUE"""),5470.0)</f>
        <v>5470</v>
      </c>
      <c r="E1552" s="1">
        <f>IFERROR(__xludf.DUMMYFUNCTION("""COMPUTED_VALUE"""),5620.0)</f>
        <v>5620</v>
      </c>
      <c r="F1552" s="1">
        <f>IFERROR(__xludf.DUMMYFUNCTION("""COMPUTED_VALUE"""),7642837.0)</f>
        <v>7642837</v>
      </c>
    </row>
    <row r="1553">
      <c r="A1553" s="2">
        <f>IFERROR(__xludf.DUMMYFUNCTION("""COMPUTED_VALUE"""),44300.64583333333)</f>
        <v>44300.64583</v>
      </c>
      <c r="B1553" s="1">
        <f>IFERROR(__xludf.DUMMYFUNCTION("""COMPUTED_VALUE"""),5880.0)</f>
        <v>5880</v>
      </c>
      <c r="C1553" s="1">
        <f>IFERROR(__xludf.DUMMYFUNCTION("""COMPUTED_VALUE"""),5910.0)</f>
        <v>5910</v>
      </c>
      <c r="D1553" s="1">
        <f>IFERROR(__xludf.DUMMYFUNCTION("""COMPUTED_VALUE"""),5510.0)</f>
        <v>5510</v>
      </c>
      <c r="E1553" s="1">
        <f>IFERROR(__xludf.DUMMYFUNCTION("""COMPUTED_VALUE"""),5520.0)</f>
        <v>5520</v>
      </c>
      <c r="F1553" s="1">
        <f>IFERROR(__xludf.DUMMYFUNCTION("""COMPUTED_VALUE"""),7512901.0)</f>
        <v>7512901</v>
      </c>
    </row>
    <row r="1554">
      <c r="A1554" s="2">
        <f>IFERROR(__xludf.DUMMYFUNCTION("""COMPUTED_VALUE"""),44301.64583333333)</f>
        <v>44301.64583</v>
      </c>
      <c r="B1554" s="1">
        <f>IFERROR(__xludf.DUMMYFUNCTION("""COMPUTED_VALUE"""),5450.0)</f>
        <v>5450</v>
      </c>
      <c r="C1554" s="1">
        <f>IFERROR(__xludf.DUMMYFUNCTION("""COMPUTED_VALUE"""),5760.0)</f>
        <v>5760</v>
      </c>
      <c r="D1554" s="1">
        <f>IFERROR(__xludf.DUMMYFUNCTION("""COMPUTED_VALUE"""),5200.0)</f>
        <v>5200</v>
      </c>
      <c r="E1554" s="1">
        <f>IFERROR(__xludf.DUMMYFUNCTION("""COMPUTED_VALUE"""),5340.0)</f>
        <v>5340</v>
      </c>
      <c r="F1554" s="1">
        <f>IFERROR(__xludf.DUMMYFUNCTION("""COMPUTED_VALUE"""),8337267.0)</f>
        <v>8337267</v>
      </c>
    </row>
    <row r="1555">
      <c r="A1555" s="2">
        <f>IFERROR(__xludf.DUMMYFUNCTION("""COMPUTED_VALUE"""),44302.64583333333)</f>
        <v>44302.64583</v>
      </c>
      <c r="B1555" s="1">
        <f>IFERROR(__xludf.DUMMYFUNCTION("""COMPUTED_VALUE"""),5400.0)</f>
        <v>5400</v>
      </c>
      <c r="C1555" s="1">
        <f>IFERROR(__xludf.DUMMYFUNCTION("""COMPUTED_VALUE"""),5490.0)</f>
        <v>5490</v>
      </c>
      <c r="D1555" s="1">
        <f>IFERROR(__xludf.DUMMYFUNCTION("""COMPUTED_VALUE"""),5240.0)</f>
        <v>5240</v>
      </c>
      <c r="E1555" s="1">
        <f>IFERROR(__xludf.DUMMYFUNCTION("""COMPUTED_VALUE"""),5250.0)</f>
        <v>5250</v>
      </c>
      <c r="F1555" s="1">
        <f>IFERROR(__xludf.DUMMYFUNCTION("""COMPUTED_VALUE"""),2131256.0)</f>
        <v>2131256</v>
      </c>
    </row>
    <row r="1556">
      <c r="A1556" s="2">
        <f>IFERROR(__xludf.DUMMYFUNCTION("""COMPUTED_VALUE"""),44305.64583333333)</f>
        <v>44305.64583</v>
      </c>
      <c r="B1556" s="1">
        <f>IFERROR(__xludf.DUMMYFUNCTION("""COMPUTED_VALUE"""),5230.0)</f>
        <v>5230</v>
      </c>
      <c r="C1556" s="1">
        <f>IFERROR(__xludf.DUMMYFUNCTION("""COMPUTED_VALUE"""),5330.0)</f>
        <v>5330</v>
      </c>
      <c r="D1556" s="1">
        <f>IFERROR(__xludf.DUMMYFUNCTION("""COMPUTED_VALUE"""),5100.0)</f>
        <v>5100</v>
      </c>
      <c r="E1556" s="1">
        <f>IFERROR(__xludf.DUMMYFUNCTION("""COMPUTED_VALUE"""),5160.0)</f>
        <v>5160</v>
      </c>
      <c r="F1556" s="1">
        <f>IFERROR(__xludf.DUMMYFUNCTION("""COMPUTED_VALUE"""),1852734.0)</f>
        <v>1852734</v>
      </c>
    </row>
    <row r="1557">
      <c r="A1557" s="2">
        <f>IFERROR(__xludf.DUMMYFUNCTION("""COMPUTED_VALUE"""),44306.64583333333)</f>
        <v>44306.64583</v>
      </c>
      <c r="B1557" s="1">
        <f>IFERROR(__xludf.DUMMYFUNCTION("""COMPUTED_VALUE"""),5160.0)</f>
        <v>5160</v>
      </c>
      <c r="C1557" s="1">
        <f>IFERROR(__xludf.DUMMYFUNCTION("""COMPUTED_VALUE"""),5260.0)</f>
        <v>5260</v>
      </c>
      <c r="D1557" s="1">
        <f>IFERROR(__xludf.DUMMYFUNCTION("""COMPUTED_VALUE"""),5110.0)</f>
        <v>5110</v>
      </c>
      <c r="E1557" s="1">
        <f>IFERROR(__xludf.DUMMYFUNCTION("""COMPUTED_VALUE"""),5220.0)</f>
        <v>5220</v>
      </c>
      <c r="F1557" s="1">
        <f>IFERROR(__xludf.DUMMYFUNCTION("""COMPUTED_VALUE"""),1098737.0)</f>
        <v>1098737</v>
      </c>
    </row>
    <row r="1558">
      <c r="A1558" s="2">
        <f>IFERROR(__xludf.DUMMYFUNCTION("""COMPUTED_VALUE"""),44307.64583333333)</f>
        <v>44307.64583</v>
      </c>
      <c r="B1558" s="1">
        <f>IFERROR(__xludf.DUMMYFUNCTION("""COMPUTED_VALUE"""),5190.0)</f>
        <v>5190</v>
      </c>
      <c r="C1558" s="1">
        <f>IFERROR(__xludf.DUMMYFUNCTION("""COMPUTED_VALUE"""),5280.0)</f>
        <v>5280</v>
      </c>
      <c r="D1558" s="1">
        <f>IFERROR(__xludf.DUMMYFUNCTION("""COMPUTED_VALUE"""),5130.0)</f>
        <v>5130</v>
      </c>
      <c r="E1558" s="1">
        <f>IFERROR(__xludf.DUMMYFUNCTION("""COMPUTED_VALUE"""),5140.0)</f>
        <v>5140</v>
      </c>
      <c r="F1558" s="1">
        <f>IFERROR(__xludf.DUMMYFUNCTION("""COMPUTED_VALUE"""),1019697.0)</f>
        <v>1019697</v>
      </c>
    </row>
    <row r="1559">
      <c r="A1559" s="2">
        <f>IFERROR(__xludf.DUMMYFUNCTION("""COMPUTED_VALUE"""),44308.64583333333)</f>
        <v>44308.64583</v>
      </c>
      <c r="B1559" s="1">
        <f>IFERROR(__xludf.DUMMYFUNCTION("""COMPUTED_VALUE"""),5210.0)</f>
        <v>5210</v>
      </c>
      <c r="C1559" s="1">
        <f>IFERROR(__xludf.DUMMYFUNCTION("""COMPUTED_VALUE"""),5560.0)</f>
        <v>5560</v>
      </c>
      <c r="D1559" s="1">
        <f>IFERROR(__xludf.DUMMYFUNCTION("""COMPUTED_VALUE"""),5160.0)</f>
        <v>5160</v>
      </c>
      <c r="E1559" s="1">
        <f>IFERROR(__xludf.DUMMYFUNCTION("""COMPUTED_VALUE"""),5370.0)</f>
        <v>5370</v>
      </c>
      <c r="F1559" s="1">
        <f>IFERROR(__xludf.DUMMYFUNCTION("""COMPUTED_VALUE"""),6209434.0)</f>
        <v>6209434</v>
      </c>
    </row>
    <row r="1560">
      <c r="A1560" s="2">
        <f>IFERROR(__xludf.DUMMYFUNCTION("""COMPUTED_VALUE"""),44309.64583333333)</f>
        <v>44309.64583</v>
      </c>
      <c r="B1560" s="1">
        <f>IFERROR(__xludf.DUMMYFUNCTION("""COMPUTED_VALUE"""),5360.0)</f>
        <v>5360</v>
      </c>
      <c r="C1560" s="1">
        <f>IFERROR(__xludf.DUMMYFUNCTION("""COMPUTED_VALUE"""),5480.0)</f>
        <v>5480</v>
      </c>
      <c r="D1560" s="1">
        <f>IFERROR(__xludf.DUMMYFUNCTION("""COMPUTED_VALUE"""),5250.0)</f>
        <v>5250</v>
      </c>
      <c r="E1560" s="1">
        <f>IFERROR(__xludf.DUMMYFUNCTION("""COMPUTED_VALUE"""),5410.0)</f>
        <v>5410</v>
      </c>
      <c r="F1560" s="1">
        <f>IFERROR(__xludf.DUMMYFUNCTION("""COMPUTED_VALUE"""),2337373.0)</f>
        <v>2337373</v>
      </c>
    </row>
    <row r="1561">
      <c r="A1561" s="2">
        <f>IFERROR(__xludf.DUMMYFUNCTION("""COMPUTED_VALUE"""),44312.64583333333)</f>
        <v>44312.64583</v>
      </c>
      <c r="B1561" s="1">
        <f>IFERROR(__xludf.DUMMYFUNCTION("""COMPUTED_VALUE"""),5490.0)</f>
        <v>5490</v>
      </c>
      <c r="C1561" s="1">
        <f>IFERROR(__xludf.DUMMYFUNCTION("""COMPUTED_VALUE"""),5670.0)</f>
        <v>5670</v>
      </c>
      <c r="D1561" s="1">
        <f>IFERROR(__xludf.DUMMYFUNCTION("""COMPUTED_VALUE"""),5350.0)</f>
        <v>5350</v>
      </c>
      <c r="E1561" s="1">
        <f>IFERROR(__xludf.DUMMYFUNCTION("""COMPUTED_VALUE"""),5660.0)</f>
        <v>5660</v>
      </c>
      <c r="F1561" s="1">
        <f>IFERROR(__xludf.DUMMYFUNCTION("""COMPUTED_VALUE"""),6497363.0)</f>
        <v>6497363</v>
      </c>
    </row>
    <row r="1562">
      <c r="A1562" s="2">
        <f>IFERROR(__xludf.DUMMYFUNCTION("""COMPUTED_VALUE"""),44313.64583333333)</f>
        <v>44313.64583</v>
      </c>
      <c r="B1562" s="1">
        <f>IFERROR(__xludf.DUMMYFUNCTION("""COMPUTED_VALUE"""),5650.0)</f>
        <v>5650</v>
      </c>
      <c r="C1562" s="1">
        <f>IFERROR(__xludf.DUMMYFUNCTION("""COMPUTED_VALUE"""),6030.0)</f>
        <v>6030</v>
      </c>
      <c r="D1562" s="1">
        <f>IFERROR(__xludf.DUMMYFUNCTION("""COMPUTED_VALUE"""),5480.0)</f>
        <v>5480</v>
      </c>
      <c r="E1562" s="1">
        <f>IFERROR(__xludf.DUMMYFUNCTION("""COMPUTED_VALUE"""),5660.0)</f>
        <v>5660</v>
      </c>
      <c r="F1562" s="1">
        <f>IFERROR(__xludf.DUMMYFUNCTION("""COMPUTED_VALUE"""),2.0448473E7)</f>
        <v>20448473</v>
      </c>
    </row>
    <row r="1563">
      <c r="A1563" s="2">
        <f>IFERROR(__xludf.DUMMYFUNCTION("""COMPUTED_VALUE"""),44314.64583333333)</f>
        <v>44314.64583</v>
      </c>
      <c r="B1563" s="1">
        <f>IFERROR(__xludf.DUMMYFUNCTION("""COMPUTED_VALUE"""),5670.0)</f>
        <v>5670</v>
      </c>
      <c r="C1563" s="1">
        <f>IFERROR(__xludf.DUMMYFUNCTION("""COMPUTED_VALUE"""),5810.0)</f>
        <v>5810</v>
      </c>
      <c r="D1563" s="1">
        <f>IFERROR(__xludf.DUMMYFUNCTION("""COMPUTED_VALUE"""),5410.0)</f>
        <v>5410</v>
      </c>
      <c r="E1563" s="1">
        <f>IFERROR(__xludf.DUMMYFUNCTION("""COMPUTED_VALUE"""),5420.0)</f>
        <v>5420</v>
      </c>
      <c r="F1563" s="1">
        <f>IFERROR(__xludf.DUMMYFUNCTION("""COMPUTED_VALUE"""),3407765.0)</f>
        <v>3407765</v>
      </c>
    </row>
    <row r="1564">
      <c r="A1564" s="2">
        <f>IFERROR(__xludf.DUMMYFUNCTION("""COMPUTED_VALUE"""),44315.64583333333)</f>
        <v>44315.64583</v>
      </c>
      <c r="B1564" s="1">
        <f>IFERROR(__xludf.DUMMYFUNCTION("""COMPUTED_VALUE"""),5420.0)</f>
        <v>5420</v>
      </c>
      <c r="C1564" s="1">
        <f>IFERROR(__xludf.DUMMYFUNCTION("""COMPUTED_VALUE"""),5540.0)</f>
        <v>5540</v>
      </c>
      <c r="D1564" s="1">
        <f>IFERROR(__xludf.DUMMYFUNCTION("""COMPUTED_VALUE"""),5150.0)</f>
        <v>5150</v>
      </c>
      <c r="E1564" s="1">
        <f>IFERROR(__xludf.DUMMYFUNCTION("""COMPUTED_VALUE"""),5150.0)</f>
        <v>5150</v>
      </c>
      <c r="F1564" s="1">
        <f>IFERROR(__xludf.DUMMYFUNCTION("""COMPUTED_VALUE"""),2596149.0)</f>
        <v>2596149</v>
      </c>
    </row>
    <row r="1565">
      <c r="A1565" s="2">
        <f>IFERROR(__xludf.DUMMYFUNCTION("""COMPUTED_VALUE"""),44316.64583333333)</f>
        <v>44316.64583</v>
      </c>
      <c r="B1565" s="1">
        <f>IFERROR(__xludf.DUMMYFUNCTION("""COMPUTED_VALUE"""),5150.0)</f>
        <v>5150</v>
      </c>
      <c r="C1565" s="1">
        <f>IFERROR(__xludf.DUMMYFUNCTION("""COMPUTED_VALUE"""),5240.0)</f>
        <v>5240</v>
      </c>
      <c r="D1565" s="1">
        <f>IFERROR(__xludf.DUMMYFUNCTION("""COMPUTED_VALUE"""),4970.0)</f>
        <v>4970</v>
      </c>
      <c r="E1565" s="1">
        <f>IFERROR(__xludf.DUMMYFUNCTION("""COMPUTED_VALUE"""),4985.0)</f>
        <v>4985</v>
      </c>
      <c r="F1565" s="1">
        <f>IFERROR(__xludf.DUMMYFUNCTION("""COMPUTED_VALUE"""),1925378.0)</f>
        <v>1925378</v>
      </c>
    </row>
    <row r="1566">
      <c r="A1566" s="2">
        <f>IFERROR(__xludf.DUMMYFUNCTION("""COMPUTED_VALUE"""),44319.64583333333)</f>
        <v>44319.64583</v>
      </c>
      <c r="B1566" s="1">
        <f>IFERROR(__xludf.DUMMYFUNCTION("""COMPUTED_VALUE"""),4990.0)</f>
        <v>4990</v>
      </c>
      <c r="C1566" s="1">
        <f>IFERROR(__xludf.DUMMYFUNCTION("""COMPUTED_VALUE"""),5130.0)</f>
        <v>5130</v>
      </c>
      <c r="D1566" s="1">
        <f>IFERROR(__xludf.DUMMYFUNCTION("""COMPUTED_VALUE"""),4820.0)</f>
        <v>4820</v>
      </c>
      <c r="E1566" s="1">
        <f>IFERROR(__xludf.DUMMYFUNCTION("""COMPUTED_VALUE"""),4895.0)</f>
        <v>4895</v>
      </c>
      <c r="F1566" s="1">
        <f>IFERROR(__xludf.DUMMYFUNCTION("""COMPUTED_VALUE"""),1524739.0)</f>
        <v>1524739</v>
      </c>
    </row>
    <row r="1567">
      <c r="A1567" s="2">
        <f>IFERROR(__xludf.DUMMYFUNCTION("""COMPUTED_VALUE"""),44320.64583333333)</f>
        <v>44320.64583</v>
      </c>
      <c r="B1567" s="1">
        <f>IFERROR(__xludf.DUMMYFUNCTION("""COMPUTED_VALUE"""),4830.0)</f>
        <v>4830</v>
      </c>
      <c r="C1567" s="1">
        <f>IFERROR(__xludf.DUMMYFUNCTION("""COMPUTED_VALUE"""),5020.0)</f>
        <v>5020</v>
      </c>
      <c r="D1567" s="1">
        <f>IFERROR(__xludf.DUMMYFUNCTION("""COMPUTED_VALUE"""),4765.0)</f>
        <v>4765</v>
      </c>
      <c r="E1567" s="1">
        <f>IFERROR(__xludf.DUMMYFUNCTION("""COMPUTED_VALUE"""),5020.0)</f>
        <v>5020</v>
      </c>
      <c r="F1567" s="1">
        <f>IFERROR(__xludf.DUMMYFUNCTION("""COMPUTED_VALUE"""),1192584.0)</f>
        <v>1192584</v>
      </c>
    </row>
    <row r="1568">
      <c r="A1568" s="2">
        <f>IFERROR(__xludf.DUMMYFUNCTION("""COMPUTED_VALUE"""),44322.64583333333)</f>
        <v>44322.64583</v>
      </c>
      <c r="B1568" s="1">
        <f>IFERROR(__xludf.DUMMYFUNCTION("""COMPUTED_VALUE"""),5030.0)</f>
        <v>5030</v>
      </c>
      <c r="C1568" s="1">
        <f>IFERROR(__xludf.DUMMYFUNCTION("""COMPUTED_VALUE"""),5250.0)</f>
        <v>5250</v>
      </c>
      <c r="D1568" s="1">
        <f>IFERROR(__xludf.DUMMYFUNCTION("""COMPUTED_VALUE"""),4970.0)</f>
        <v>4970</v>
      </c>
      <c r="E1568" s="1">
        <f>IFERROR(__xludf.DUMMYFUNCTION("""COMPUTED_VALUE"""),5150.0)</f>
        <v>5150</v>
      </c>
      <c r="F1568" s="1">
        <f>IFERROR(__xludf.DUMMYFUNCTION("""COMPUTED_VALUE"""),1916156.0)</f>
        <v>1916156</v>
      </c>
    </row>
    <row r="1569">
      <c r="A1569" s="2">
        <f>IFERROR(__xludf.DUMMYFUNCTION("""COMPUTED_VALUE"""),44323.64583333333)</f>
        <v>44323.64583</v>
      </c>
      <c r="B1569" s="1">
        <f>IFERROR(__xludf.DUMMYFUNCTION("""COMPUTED_VALUE"""),5150.0)</f>
        <v>5150</v>
      </c>
      <c r="C1569" s="1">
        <f>IFERROR(__xludf.DUMMYFUNCTION("""COMPUTED_VALUE"""),5250.0)</f>
        <v>5250</v>
      </c>
      <c r="D1569" s="1">
        <f>IFERROR(__xludf.DUMMYFUNCTION("""COMPUTED_VALUE"""),5100.0)</f>
        <v>5100</v>
      </c>
      <c r="E1569" s="1">
        <f>IFERROR(__xludf.DUMMYFUNCTION("""COMPUTED_VALUE"""),5120.0)</f>
        <v>5120</v>
      </c>
      <c r="F1569" s="1">
        <f>IFERROR(__xludf.DUMMYFUNCTION("""COMPUTED_VALUE"""),835314.0)</f>
        <v>835314</v>
      </c>
    </row>
    <row r="1570">
      <c r="A1570" s="2">
        <f>IFERROR(__xludf.DUMMYFUNCTION("""COMPUTED_VALUE"""),44326.64583333333)</f>
        <v>44326.64583</v>
      </c>
      <c r="B1570" s="1">
        <f>IFERROR(__xludf.DUMMYFUNCTION("""COMPUTED_VALUE"""),5120.0)</f>
        <v>5120</v>
      </c>
      <c r="C1570" s="1">
        <f>IFERROR(__xludf.DUMMYFUNCTION("""COMPUTED_VALUE"""),5280.0)</f>
        <v>5280</v>
      </c>
      <c r="D1570" s="1">
        <f>IFERROR(__xludf.DUMMYFUNCTION("""COMPUTED_VALUE"""),5110.0)</f>
        <v>5110</v>
      </c>
      <c r="E1570" s="1">
        <f>IFERROR(__xludf.DUMMYFUNCTION("""COMPUTED_VALUE"""),5280.0)</f>
        <v>5280</v>
      </c>
      <c r="F1570" s="1">
        <f>IFERROR(__xludf.DUMMYFUNCTION("""COMPUTED_VALUE"""),1140235.0)</f>
        <v>1140235</v>
      </c>
    </row>
    <row r="1571">
      <c r="A1571" s="2">
        <f>IFERROR(__xludf.DUMMYFUNCTION("""COMPUTED_VALUE"""),44327.64583333333)</f>
        <v>44327.64583</v>
      </c>
      <c r="B1571" s="1">
        <f>IFERROR(__xludf.DUMMYFUNCTION("""COMPUTED_VALUE"""),5170.0)</f>
        <v>5170</v>
      </c>
      <c r="C1571" s="1">
        <f>IFERROR(__xludf.DUMMYFUNCTION("""COMPUTED_VALUE"""),5230.0)</f>
        <v>5230</v>
      </c>
      <c r="D1571" s="1">
        <f>IFERROR(__xludf.DUMMYFUNCTION("""COMPUTED_VALUE"""),5110.0)</f>
        <v>5110</v>
      </c>
      <c r="E1571" s="1">
        <f>IFERROR(__xludf.DUMMYFUNCTION("""COMPUTED_VALUE"""),5110.0)</f>
        <v>5110</v>
      </c>
      <c r="F1571" s="1">
        <f>IFERROR(__xludf.DUMMYFUNCTION("""COMPUTED_VALUE"""),949098.0)</f>
        <v>949098</v>
      </c>
    </row>
    <row r="1572">
      <c r="A1572" s="2">
        <f>IFERROR(__xludf.DUMMYFUNCTION("""COMPUTED_VALUE"""),44328.64583333333)</f>
        <v>44328.64583</v>
      </c>
      <c r="B1572" s="1">
        <f>IFERROR(__xludf.DUMMYFUNCTION("""COMPUTED_VALUE"""),5100.0)</f>
        <v>5100</v>
      </c>
      <c r="C1572" s="1">
        <f>IFERROR(__xludf.DUMMYFUNCTION("""COMPUTED_VALUE"""),5120.0)</f>
        <v>5120</v>
      </c>
      <c r="D1572" s="1">
        <f>IFERROR(__xludf.DUMMYFUNCTION("""COMPUTED_VALUE"""),4925.0)</f>
        <v>4925</v>
      </c>
      <c r="E1572" s="1">
        <f>IFERROR(__xludf.DUMMYFUNCTION("""COMPUTED_VALUE"""),5010.0)</f>
        <v>5010</v>
      </c>
      <c r="F1572" s="1">
        <f>IFERROR(__xludf.DUMMYFUNCTION("""COMPUTED_VALUE"""),1324302.0)</f>
        <v>1324302</v>
      </c>
    </row>
    <row r="1573">
      <c r="A1573" s="2">
        <f>IFERROR(__xludf.DUMMYFUNCTION("""COMPUTED_VALUE"""),44329.64583333333)</f>
        <v>44329.64583</v>
      </c>
      <c r="B1573" s="1">
        <f>IFERROR(__xludf.DUMMYFUNCTION("""COMPUTED_VALUE"""),5140.0)</f>
        <v>5140</v>
      </c>
      <c r="C1573" s="1">
        <f>IFERROR(__xludf.DUMMYFUNCTION("""COMPUTED_VALUE"""),5430.0)</f>
        <v>5430</v>
      </c>
      <c r="D1573" s="1">
        <f>IFERROR(__xludf.DUMMYFUNCTION("""COMPUTED_VALUE"""),5080.0)</f>
        <v>5080</v>
      </c>
      <c r="E1573" s="1">
        <f>IFERROR(__xludf.DUMMYFUNCTION("""COMPUTED_VALUE"""),5330.0)</f>
        <v>5330</v>
      </c>
      <c r="F1573" s="1">
        <f>IFERROR(__xludf.DUMMYFUNCTION("""COMPUTED_VALUE"""),6639169.0)</f>
        <v>6639169</v>
      </c>
    </row>
    <row r="1574">
      <c r="A1574" s="2">
        <f>IFERROR(__xludf.DUMMYFUNCTION("""COMPUTED_VALUE"""),44330.64583333333)</f>
        <v>44330.64583</v>
      </c>
      <c r="B1574" s="1">
        <f>IFERROR(__xludf.DUMMYFUNCTION("""COMPUTED_VALUE"""),5250.0)</f>
        <v>5250</v>
      </c>
      <c r="C1574" s="1">
        <f>IFERROR(__xludf.DUMMYFUNCTION("""COMPUTED_VALUE"""),5410.0)</f>
        <v>5410</v>
      </c>
      <c r="D1574" s="1">
        <f>IFERROR(__xludf.DUMMYFUNCTION("""COMPUTED_VALUE"""),5210.0)</f>
        <v>5210</v>
      </c>
      <c r="E1574" s="1">
        <f>IFERROR(__xludf.DUMMYFUNCTION("""COMPUTED_VALUE"""),5340.0)</f>
        <v>5340</v>
      </c>
      <c r="F1574" s="1">
        <f>IFERROR(__xludf.DUMMYFUNCTION("""COMPUTED_VALUE"""),2418136.0)</f>
        <v>2418136</v>
      </c>
    </row>
    <row r="1575">
      <c r="A1575" s="2">
        <f>IFERROR(__xludf.DUMMYFUNCTION("""COMPUTED_VALUE"""),44333.64583333333)</f>
        <v>44333.64583</v>
      </c>
      <c r="B1575" s="1">
        <f>IFERROR(__xludf.DUMMYFUNCTION("""COMPUTED_VALUE"""),5210.0)</f>
        <v>5210</v>
      </c>
      <c r="C1575" s="1">
        <f>IFERROR(__xludf.DUMMYFUNCTION("""COMPUTED_VALUE"""),5290.0)</f>
        <v>5290</v>
      </c>
      <c r="D1575" s="1">
        <f>IFERROR(__xludf.DUMMYFUNCTION("""COMPUTED_VALUE"""),5090.0)</f>
        <v>5090</v>
      </c>
      <c r="E1575" s="1">
        <f>IFERROR(__xludf.DUMMYFUNCTION("""COMPUTED_VALUE"""),5090.0)</f>
        <v>5090</v>
      </c>
      <c r="F1575" s="1">
        <f>IFERROR(__xludf.DUMMYFUNCTION("""COMPUTED_VALUE"""),1507838.0)</f>
        <v>1507838</v>
      </c>
    </row>
    <row r="1576">
      <c r="A1576" s="2">
        <f>IFERROR(__xludf.DUMMYFUNCTION("""COMPUTED_VALUE"""),44334.64583333333)</f>
        <v>44334.64583</v>
      </c>
      <c r="B1576" s="1">
        <f>IFERROR(__xludf.DUMMYFUNCTION("""COMPUTED_VALUE"""),5040.0)</f>
        <v>5040</v>
      </c>
      <c r="C1576" s="1">
        <f>IFERROR(__xludf.DUMMYFUNCTION("""COMPUTED_VALUE"""),5170.0)</f>
        <v>5170</v>
      </c>
      <c r="D1576" s="1">
        <f>IFERROR(__xludf.DUMMYFUNCTION("""COMPUTED_VALUE"""),5030.0)</f>
        <v>5030</v>
      </c>
      <c r="E1576" s="1">
        <f>IFERROR(__xludf.DUMMYFUNCTION("""COMPUTED_VALUE"""),5070.0)</f>
        <v>5070</v>
      </c>
      <c r="F1576" s="1">
        <f>IFERROR(__xludf.DUMMYFUNCTION("""COMPUTED_VALUE"""),839347.0)</f>
        <v>839347</v>
      </c>
    </row>
    <row r="1577">
      <c r="A1577" s="2">
        <f>IFERROR(__xludf.DUMMYFUNCTION("""COMPUTED_VALUE"""),44336.64583333333)</f>
        <v>44336.64583</v>
      </c>
      <c r="B1577" s="1">
        <f>IFERROR(__xludf.DUMMYFUNCTION("""COMPUTED_VALUE"""),5030.0)</f>
        <v>5030</v>
      </c>
      <c r="C1577" s="1">
        <f>IFERROR(__xludf.DUMMYFUNCTION("""COMPUTED_VALUE"""),5120.0)</f>
        <v>5120</v>
      </c>
      <c r="D1577" s="1">
        <f>IFERROR(__xludf.DUMMYFUNCTION("""COMPUTED_VALUE"""),4995.0)</f>
        <v>4995</v>
      </c>
      <c r="E1577" s="1">
        <f>IFERROR(__xludf.DUMMYFUNCTION("""COMPUTED_VALUE"""),4995.0)</f>
        <v>4995</v>
      </c>
      <c r="F1577" s="1">
        <f>IFERROR(__xludf.DUMMYFUNCTION("""COMPUTED_VALUE"""),641577.0)</f>
        <v>641577</v>
      </c>
    </row>
    <row r="1578">
      <c r="A1578" s="2">
        <f>IFERROR(__xludf.DUMMYFUNCTION("""COMPUTED_VALUE"""),44337.64583333333)</f>
        <v>44337.64583</v>
      </c>
      <c r="B1578" s="1">
        <f>IFERROR(__xludf.DUMMYFUNCTION("""COMPUTED_VALUE"""),5030.0)</f>
        <v>5030</v>
      </c>
      <c r="C1578" s="1">
        <f>IFERROR(__xludf.DUMMYFUNCTION("""COMPUTED_VALUE"""),5370.0)</f>
        <v>5370</v>
      </c>
      <c r="D1578" s="1">
        <f>IFERROR(__xludf.DUMMYFUNCTION("""COMPUTED_VALUE"""),5010.0)</f>
        <v>5010</v>
      </c>
      <c r="E1578" s="1">
        <f>IFERROR(__xludf.DUMMYFUNCTION("""COMPUTED_VALUE"""),5230.0)</f>
        <v>5230</v>
      </c>
      <c r="F1578" s="1">
        <f>IFERROR(__xludf.DUMMYFUNCTION("""COMPUTED_VALUE"""),3669087.0)</f>
        <v>3669087</v>
      </c>
    </row>
    <row r="1579">
      <c r="A1579" s="2">
        <f>IFERROR(__xludf.DUMMYFUNCTION("""COMPUTED_VALUE"""),44340.64583333333)</f>
        <v>44340.64583</v>
      </c>
      <c r="B1579" s="1">
        <f>IFERROR(__xludf.DUMMYFUNCTION("""COMPUTED_VALUE"""),5250.0)</f>
        <v>5250</v>
      </c>
      <c r="C1579" s="1">
        <f>IFERROR(__xludf.DUMMYFUNCTION("""COMPUTED_VALUE"""),5510.0)</f>
        <v>5510</v>
      </c>
      <c r="D1579" s="1">
        <f>IFERROR(__xludf.DUMMYFUNCTION("""COMPUTED_VALUE"""),5160.0)</f>
        <v>5160</v>
      </c>
      <c r="E1579" s="1">
        <f>IFERROR(__xludf.DUMMYFUNCTION("""COMPUTED_VALUE"""),5420.0)</f>
        <v>5420</v>
      </c>
      <c r="F1579" s="1">
        <f>IFERROR(__xludf.DUMMYFUNCTION("""COMPUTED_VALUE"""),6934933.0)</f>
        <v>6934933</v>
      </c>
    </row>
    <row r="1580">
      <c r="A1580" s="2">
        <f>IFERROR(__xludf.DUMMYFUNCTION("""COMPUTED_VALUE"""),44341.64583333333)</f>
        <v>44341.64583</v>
      </c>
      <c r="B1580" s="1">
        <f>IFERROR(__xludf.DUMMYFUNCTION("""COMPUTED_VALUE"""),5550.0)</f>
        <v>5550</v>
      </c>
      <c r="C1580" s="1">
        <f>IFERROR(__xludf.DUMMYFUNCTION("""COMPUTED_VALUE"""),5660.0)</f>
        <v>5660</v>
      </c>
      <c r="D1580" s="1">
        <f>IFERROR(__xludf.DUMMYFUNCTION("""COMPUTED_VALUE"""),5320.0)</f>
        <v>5320</v>
      </c>
      <c r="E1580" s="1">
        <f>IFERROR(__xludf.DUMMYFUNCTION("""COMPUTED_VALUE"""),5360.0)</f>
        <v>5360</v>
      </c>
      <c r="F1580" s="1">
        <f>IFERROR(__xludf.DUMMYFUNCTION("""COMPUTED_VALUE"""),6070987.0)</f>
        <v>6070987</v>
      </c>
    </row>
    <row r="1581">
      <c r="A1581" s="2">
        <f>IFERROR(__xludf.DUMMYFUNCTION("""COMPUTED_VALUE"""),44342.64583333333)</f>
        <v>44342.64583</v>
      </c>
      <c r="B1581" s="1">
        <f>IFERROR(__xludf.DUMMYFUNCTION("""COMPUTED_VALUE"""),5500.0)</f>
        <v>5500</v>
      </c>
      <c r="C1581" s="1">
        <f>IFERROR(__xludf.DUMMYFUNCTION("""COMPUTED_VALUE"""),5650.0)</f>
        <v>5650</v>
      </c>
      <c r="D1581" s="1">
        <f>IFERROR(__xludf.DUMMYFUNCTION("""COMPUTED_VALUE"""),5440.0)</f>
        <v>5440</v>
      </c>
      <c r="E1581" s="1">
        <f>IFERROR(__xludf.DUMMYFUNCTION("""COMPUTED_VALUE"""),5470.0)</f>
        <v>5470</v>
      </c>
      <c r="F1581" s="1">
        <f>IFERROR(__xludf.DUMMYFUNCTION("""COMPUTED_VALUE"""),5758534.0)</f>
        <v>5758534</v>
      </c>
    </row>
    <row r="1582">
      <c r="A1582" s="2">
        <f>IFERROR(__xludf.DUMMYFUNCTION("""COMPUTED_VALUE"""),44343.64583333333)</f>
        <v>44343.64583</v>
      </c>
      <c r="B1582" s="1">
        <f>IFERROR(__xludf.DUMMYFUNCTION("""COMPUTED_VALUE"""),5540.0)</f>
        <v>5540</v>
      </c>
      <c r="C1582" s="1">
        <f>IFERROR(__xludf.DUMMYFUNCTION("""COMPUTED_VALUE"""),5630.0)</f>
        <v>5630</v>
      </c>
      <c r="D1582" s="1">
        <f>IFERROR(__xludf.DUMMYFUNCTION("""COMPUTED_VALUE"""),5360.0)</f>
        <v>5360</v>
      </c>
      <c r="E1582" s="1">
        <f>IFERROR(__xludf.DUMMYFUNCTION("""COMPUTED_VALUE"""),5520.0)</f>
        <v>5520</v>
      </c>
      <c r="F1582" s="1">
        <f>IFERROR(__xludf.DUMMYFUNCTION("""COMPUTED_VALUE"""),3943532.0)</f>
        <v>3943532</v>
      </c>
    </row>
    <row r="1583">
      <c r="A1583" s="2">
        <f>IFERROR(__xludf.DUMMYFUNCTION("""COMPUTED_VALUE"""),44344.64583333333)</f>
        <v>44344.64583</v>
      </c>
      <c r="B1583" s="1">
        <f>IFERROR(__xludf.DUMMYFUNCTION("""COMPUTED_VALUE"""),5800.0)</f>
        <v>5800</v>
      </c>
      <c r="C1583" s="1">
        <f>IFERROR(__xludf.DUMMYFUNCTION("""COMPUTED_VALUE"""),5820.0)</f>
        <v>5820</v>
      </c>
      <c r="D1583" s="1">
        <f>IFERROR(__xludf.DUMMYFUNCTION("""COMPUTED_VALUE"""),5380.0)</f>
        <v>5380</v>
      </c>
      <c r="E1583" s="1">
        <f>IFERROR(__xludf.DUMMYFUNCTION("""COMPUTED_VALUE"""),5410.0)</f>
        <v>5410</v>
      </c>
      <c r="F1583" s="1">
        <f>IFERROR(__xludf.DUMMYFUNCTION("""COMPUTED_VALUE"""),5738651.0)</f>
        <v>5738651</v>
      </c>
    </row>
    <row r="1584">
      <c r="A1584" s="2">
        <f>IFERROR(__xludf.DUMMYFUNCTION("""COMPUTED_VALUE"""),44347.64583333333)</f>
        <v>44347.64583</v>
      </c>
      <c r="B1584" s="1">
        <f>IFERROR(__xludf.DUMMYFUNCTION("""COMPUTED_VALUE"""),5470.0)</f>
        <v>5470</v>
      </c>
      <c r="C1584" s="1">
        <f>IFERROR(__xludf.DUMMYFUNCTION("""COMPUTED_VALUE"""),5520.0)</f>
        <v>5520</v>
      </c>
      <c r="D1584" s="1">
        <f>IFERROR(__xludf.DUMMYFUNCTION("""COMPUTED_VALUE"""),5380.0)</f>
        <v>5380</v>
      </c>
      <c r="E1584" s="1">
        <f>IFERROR(__xludf.DUMMYFUNCTION("""COMPUTED_VALUE"""),5450.0)</f>
        <v>5450</v>
      </c>
      <c r="F1584" s="1">
        <f>IFERROR(__xludf.DUMMYFUNCTION("""COMPUTED_VALUE"""),1355776.0)</f>
        <v>1355776</v>
      </c>
    </row>
    <row r="1585">
      <c r="A1585" s="2">
        <f>IFERROR(__xludf.DUMMYFUNCTION("""COMPUTED_VALUE"""),44348.64583333333)</f>
        <v>44348.64583</v>
      </c>
      <c r="B1585" s="1">
        <f>IFERROR(__xludf.DUMMYFUNCTION("""COMPUTED_VALUE"""),5380.0)</f>
        <v>5380</v>
      </c>
      <c r="C1585" s="1">
        <f>IFERROR(__xludf.DUMMYFUNCTION("""COMPUTED_VALUE"""),5600.0)</f>
        <v>5600</v>
      </c>
      <c r="D1585" s="1">
        <f>IFERROR(__xludf.DUMMYFUNCTION("""COMPUTED_VALUE"""),5380.0)</f>
        <v>5380</v>
      </c>
      <c r="E1585" s="1">
        <f>IFERROR(__xludf.DUMMYFUNCTION("""COMPUTED_VALUE"""),5490.0)</f>
        <v>5490</v>
      </c>
      <c r="F1585" s="1">
        <f>IFERROR(__xludf.DUMMYFUNCTION("""COMPUTED_VALUE"""),2228037.0)</f>
        <v>2228037</v>
      </c>
    </row>
    <row r="1586">
      <c r="A1586" s="2">
        <f>IFERROR(__xludf.DUMMYFUNCTION("""COMPUTED_VALUE"""),44349.64583333333)</f>
        <v>44349.64583</v>
      </c>
      <c r="B1586" s="1">
        <f>IFERROR(__xludf.DUMMYFUNCTION("""COMPUTED_VALUE"""),5490.0)</f>
        <v>5490</v>
      </c>
      <c r="C1586" s="1">
        <f>IFERROR(__xludf.DUMMYFUNCTION("""COMPUTED_VALUE"""),5550.0)</f>
        <v>5550</v>
      </c>
      <c r="D1586" s="1">
        <f>IFERROR(__xludf.DUMMYFUNCTION("""COMPUTED_VALUE"""),5420.0)</f>
        <v>5420</v>
      </c>
      <c r="E1586" s="1">
        <f>IFERROR(__xludf.DUMMYFUNCTION("""COMPUTED_VALUE"""),5540.0)</f>
        <v>5540</v>
      </c>
      <c r="F1586" s="1">
        <f>IFERROR(__xludf.DUMMYFUNCTION("""COMPUTED_VALUE"""),1662517.0)</f>
        <v>1662517</v>
      </c>
    </row>
    <row r="1587">
      <c r="A1587" s="2">
        <f>IFERROR(__xludf.DUMMYFUNCTION("""COMPUTED_VALUE"""),44350.64583333333)</f>
        <v>44350.64583</v>
      </c>
      <c r="B1587" s="1">
        <f>IFERROR(__xludf.DUMMYFUNCTION("""COMPUTED_VALUE"""),5600.0)</f>
        <v>5600</v>
      </c>
      <c r="C1587" s="1">
        <f>IFERROR(__xludf.DUMMYFUNCTION("""COMPUTED_VALUE"""),5650.0)</f>
        <v>5650</v>
      </c>
      <c r="D1587" s="1">
        <f>IFERROR(__xludf.DUMMYFUNCTION("""COMPUTED_VALUE"""),5440.0)</f>
        <v>5440</v>
      </c>
      <c r="E1587" s="1">
        <f>IFERROR(__xludf.DUMMYFUNCTION("""COMPUTED_VALUE"""),5470.0)</f>
        <v>5470</v>
      </c>
      <c r="F1587" s="1">
        <f>IFERROR(__xludf.DUMMYFUNCTION("""COMPUTED_VALUE"""),2283291.0)</f>
        <v>2283291</v>
      </c>
    </row>
    <row r="1588">
      <c r="A1588" s="2">
        <f>IFERROR(__xludf.DUMMYFUNCTION("""COMPUTED_VALUE"""),44351.64583333333)</f>
        <v>44351.64583</v>
      </c>
      <c r="B1588" s="1">
        <f>IFERROR(__xludf.DUMMYFUNCTION("""COMPUTED_VALUE"""),5570.0)</f>
        <v>5570</v>
      </c>
      <c r="C1588" s="1">
        <f>IFERROR(__xludf.DUMMYFUNCTION("""COMPUTED_VALUE"""),5990.0)</f>
        <v>5990</v>
      </c>
      <c r="D1588" s="1">
        <f>IFERROR(__xludf.DUMMYFUNCTION("""COMPUTED_VALUE"""),5540.0)</f>
        <v>5540</v>
      </c>
      <c r="E1588" s="1">
        <f>IFERROR(__xludf.DUMMYFUNCTION("""COMPUTED_VALUE"""),5650.0)</f>
        <v>5650</v>
      </c>
      <c r="F1588" s="1">
        <f>IFERROR(__xludf.DUMMYFUNCTION("""COMPUTED_VALUE"""),1.9594458E7)</f>
        <v>19594458</v>
      </c>
    </row>
    <row r="1589">
      <c r="A1589" s="2">
        <f>IFERROR(__xludf.DUMMYFUNCTION("""COMPUTED_VALUE"""),44354.64583333333)</f>
        <v>44354.64583</v>
      </c>
      <c r="B1589" s="1">
        <f>IFERROR(__xludf.DUMMYFUNCTION("""COMPUTED_VALUE"""),5710.0)</f>
        <v>5710</v>
      </c>
      <c r="C1589" s="1">
        <f>IFERROR(__xludf.DUMMYFUNCTION("""COMPUTED_VALUE"""),5850.0)</f>
        <v>5850</v>
      </c>
      <c r="D1589" s="1">
        <f>IFERROR(__xludf.DUMMYFUNCTION("""COMPUTED_VALUE"""),5650.0)</f>
        <v>5650</v>
      </c>
      <c r="E1589" s="1">
        <f>IFERROR(__xludf.DUMMYFUNCTION("""COMPUTED_VALUE"""),5650.0)</f>
        <v>5650</v>
      </c>
      <c r="F1589" s="1">
        <f>IFERROR(__xludf.DUMMYFUNCTION("""COMPUTED_VALUE"""),3601034.0)</f>
        <v>3601034</v>
      </c>
    </row>
    <row r="1590">
      <c r="A1590" s="2">
        <f>IFERROR(__xludf.DUMMYFUNCTION("""COMPUTED_VALUE"""),44355.64583333333)</f>
        <v>44355.64583</v>
      </c>
      <c r="B1590" s="1">
        <f>IFERROR(__xludf.DUMMYFUNCTION("""COMPUTED_VALUE"""),5700.0)</f>
        <v>5700</v>
      </c>
      <c r="C1590" s="1">
        <f>IFERROR(__xludf.DUMMYFUNCTION("""COMPUTED_VALUE"""),6210.0)</f>
        <v>6210</v>
      </c>
      <c r="D1590" s="1">
        <f>IFERROR(__xludf.DUMMYFUNCTION("""COMPUTED_VALUE"""),5600.0)</f>
        <v>5600</v>
      </c>
      <c r="E1590" s="1">
        <f>IFERROR(__xludf.DUMMYFUNCTION("""COMPUTED_VALUE"""),6150.0)</f>
        <v>6150</v>
      </c>
      <c r="F1590" s="1">
        <f>IFERROR(__xludf.DUMMYFUNCTION("""COMPUTED_VALUE"""),2.0604917E7)</f>
        <v>20604917</v>
      </c>
    </row>
    <row r="1591">
      <c r="A1591" s="2">
        <f>IFERROR(__xludf.DUMMYFUNCTION("""COMPUTED_VALUE"""),44356.64583333333)</f>
        <v>44356.64583</v>
      </c>
      <c r="B1591" s="1">
        <f>IFERROR(__xludf.DUMMYFUNCTION("""COMPUTED_VALUE"""),6100.0)</f>
        <v>6100</v>
      </c>
      <c r="C1591" s="1">
        <f>IFERROR(__xludf.DUMMYFUNCTION("""COMPUTED_VALUE"""),6290.0)</f>
        <v>6290</v>
      </c>
      <c r="D1591" s="1">
        <f>IFERROR(__xludf.DUMMYFUNCTION("""COMPUTED_VALUE"""),5500.0)</f>
        <v>5500</v>
      </c>
      <c r="E1591" s="1">
        <f>IFERROR(__xludf.DUMMYFUNCTION("""COMPUTED_VALUE"""),5660.0)</f>
        <v>5660</v>
      </c>
      <c r="F1591" s="1">
        <f>IFERROR(__xludf.DUMMYFUNCTION("""COMPUTED_VALUE"""),1.0958654E7)</f>
        <v>10958654</v>
      </c>
    </row>
    <row r="1592">
      <c r="A1592" s="2">
        <f>IFERROR(__xludf.DUMMYFUNCTION("""COMPUTED_VALUE"""),44357.64583333333)</f>
        <v>44357.64583</v>
      </c>
      <c r="B1592" s="1">
        <f>IFERROR(__xludf.DUMMYFUNCTION("""COMPUTED_VALUE"""),5740.0)</f>
        <v>5740</v>
      </c>
      <c r="C1592" s="1">
        <f>IFERROR(__xludf.DUMMYFUNCTION("""COMPUTED_VALUE"""),5790.0)</f>
        <v>5790</v>
      </c>
      <c r="D1592" s="1">
        <f>IFERROR(__xludf.DUMMYFUNCTION("""COMPUTED_VALUE"""),5490.0)</f>
        <v>5490</v>
      </c>
      <c r="E1592" s="1">
        <f>IFERROR(__xludf.DUMMYFUNCTION("""COMPUTED_VALUE"""),5620.0)</f>
        <v>5620</v>
      </c>
      <c r="F1592" s="1">
        <f>IFERROR(__xludf.DUMMYFUNCTION("""COMPUTED_VALUE"""),3612559.0)</f>
        <v>3612559</v>
      </c>
    </row>
    <row r="1593">
      <c r="A1593" s="2">
        <f>IFERROR(__xludf.DUMMYFUNCTION("""COMPUTED_VALUE"""),44358.64583333333)</f>
        <v>44358.64583</v>
      </c>
      <c r="B1593" s="1">
        <f>IFERROR(__xludf.DUMMYFUNCTION("""COMPUTED_VALUE"""),5650.0)</f>
        <v>5650</v>
      </c>
      <c r="C1593" s="1">
        <f>IFERROR(__xludf.DUMMYFUNCTION("""COMPUTED_VALUE"""),5700.0)</f>
        <v>5700</v>
      </c>
      <c r="D1593" s="1">
        <f>IFERROR(__xludf.DUMMYFUNCTION("""COMPUTED_VALUE"""),5560.0)</f>
        <v>5560</v>
      </c>
      <c r="E1593" s="1">
        <f>IFERROR(__xludf.DUMMYFUNCTION("""COMPUTED_VALUE"""),5610.0)</f>
        <v>5610</v>
      </c>
      <c r="F1593" s="1">
        <f>IFERROR(__xludf.DUMMYFUNCTION("""COMPUTED_VALUE"""),1616019.0)</f>
        <v>1616019</v>
      </c>
    </row>
    <row r="1594">
      <c r="A1594" s="2">
        <f>IFERROR(__xludf.DUMMYFUNCTION("""COMPUTED_VALUE"""),44361.64583333333)</f>
        <v>44361.64583</v>
      </c>
      <c r="B1594" s="1">
        <f>IFERROR(__xludf.DUMMYFUNCTION("""COMPUTED_VALUE"""),5620.0)</f>
        <v>5620</v>
      </c>
      <c r="C1594" s="1">
        <f>IFERROR(__xludf.DUMMYFUNCTION("""COMPUTED_VALUE"""),5630.0)</f>
        <v>5630</v>
      </c>
      <c r="D1594" s="1">
        <f>IFERROR(__xludf.DUMMYFUNCTION("""COMPUTED_VALUE"""),5520.0)</f>
        <v>5520</v>
      </c>
      <c r="E1594" s="1">
        <f>IFERROR(__xludf.DUMMYFUNCTION("""COMPUTED_VALUE"""),5540.0)</f>
        <v>5540</v>
      </c>
      <c r="F1594" s="1">
        <f>IFERROR(__xludf.DUMMYFUNCTION("""COMPUTED_VALUE"""),912345.0)</f>
        <v>912345</v>
      </c>
    </row>
    <row r="1595">
      <c r="A1595" s="2">
        <f>IFERROR(__xludf.DUMMYFUNCTION("""COMPUTED_VALUE"""),44362.64583333333)</f>
        <v>44362.64583</v>
      </c>
      <c r="B1595" s="1">
        <f>IFERROR(__xludf.DUMMYFUNCTION("""COMPUTED_VALUE"""),5520.0)</f>
        <v>5520</v>
      </c>
      <c r="C1595" s="1">
        <f>IFERROR(__xludf.DUMMYFUNCTION("""COMPUTED_VALUE"""),5670.0)</f>
        <v>5670</v>
      </c>
      <c r="D1595" s="1">
        <f>IFERROR(__xludf.DUMMYFUNCTION("""COMPUTED_VALUE"""),5500.0)</f>
        <v>5500</v>
      </c>
      <c r="E1595" s="1">
        <f>IFERROR(__xludf.DUMMYFUNCTION("""COMPUTED_VALUE"""),5670.0)</f>
        <v>5670</v>
      </c>
      <c r="F1595" s="1">
        <f>IFERROR(__xludf.DUMMYFUNCTION("""COMPUTED_VALUE"""),1238735.0)</f>
        <v>1238735</v>
      </c>
    </row>
    <row r="1596">
      <c r="A1596" s="2">
        <f>IFERROR(__xludf.DUMMYFUNCTION("""COMPUTED_VALUE"""),44363.64583333333)</f>
        <v>44363.64583</v>
      </c>
      <c r="B1596" s="1">
        <f>IFERROR(__xludf.DUMMYFUNCTION("""COMPUTED_VALUE"""),5650.0)</f>
        <v>5650</v>
      </c>
      <c r="C1596" s="1">
        <f>IFERROR(__xludf.DUMMYFUNCTION("""COMPUTED_VALUE"""),5720.0)</f>
        <v>5720</v>
      </c>
      <c r="D1596" s="1">
        <f>IFERROR(__xludf.DUMMYFUNCTION("""COMPUTED_VALUE"""),5600.0)</f>
        <v>5600</v>
      </c>
      <c r="E1596" s="1">
        <f>IFERROR(__xludf.DUMMYFUNCTION("""COMPUTED_VALUE"""),5610.0)</f>
        <v>5610</v>
      </c>
      <c r="F1596" s="1">
        <f>IFERROR(__xludf.DUMMYFUNCTION("""COMPUTED_VALUE"""),1222801.0)</f>
        <v>1222801</v>
      </c>
    </row>
    <row r="1597">
      <c r="A1597" s="2">
        <f>IFERROR(__xludf.DUMMYFUNCTION("""COMPUTED_VALUE"""),44364.64583333333)</f>
        <v>44364.64583</v>
      </c>
      <c r="B1597" s="1">
        <f>IFERROR(__xludf.DUMMYFUNCTION("""COMPUTED_VALUE"""),5580.0)</f>
        <v>5580</v>
      </c>
      <c r="C1597" s="1">
        <f>IFERROR(__xludf.DUMMYFUNCTION("""COMPUTED_VALUE"""),5690.0)</f>
        <v>5690</v>
      </c>
      <c r="D1597" s="1">
        <f>IFERROR(__xludf.DUMMYFUNCTION("""COMPUTED_VALUE"""),5550.0)</f>
        <v>5550</v>
      </c>
      <c r="E1597" s="1">
        <f>IFERROR(__xludf.DUMMYFUNCTION("""COMPUTED_VALUE"""),5640.0)</f>
        <v>5640</v>
      </c>
      <c r="F1597" s="1">
        <f>IFERROR(__xludf.DUMMYFUNCTION("""COMPUTED_VALUE"""),1298503.0)</f>
        <v>1298503</v>
      </c>
    </row>
    <row r="1598">
      <c r="A1598" s="2">
        <f>IFERROR(__xludf.DUMMYFUNCTION("""COMPUTED_VALUE"""),44365.64583333333)</f>
        <v>44365.64583</v>
      </c>
      <c r="B1598" s="1">
        <f>IFERROR(__xludf.DUMMYFUNCTION("""COMPUTED_VALUE"""),5720.0)</f>
        <v>5720</v>
      </c>
      <c r="C1598" s="1">
        <f>IFERROR(__xludf.DUMMYFUNCTION("""COMPUTED_VALUE"""),5790.0)</f>
        <v>5790</v>
      </c>
      <c r="D1598" s="1">
        <f>IFERROR(__xludf.DUMMYFUNCTION("""COMPUTED_VALUE"""),5580.0)</f>
        <v>5580</v>
      </c>
      <c r="E1598" s="1">
        <f>IFERROR(__xludf.DUMMYFUNCTION("""COMPUTED_VALUE"""),5580.0)</f>
        <v>5580</v>
      </c>
      <c r="F1598" s="1">
        <f>IFERROR(__xludf.DUMMYFUNCTION("""COMPUTED_VALUE"""),1945383.0)</f>
        <v>1945383</v>
      </c>
    </row>
    <row r="1599">
      <c r="A1599" s="2">
        <f>IFERROR(__xludf.DUMMYFUNCTION("""COMPUTED_VALUE"""),44368.64583333333)</f>
        <v>44368.64583</v>
      </c>
      <c r="B1599" s="1">
        <f>IFERROR(__xludf.DUMMYFUNCTION("""COMPUTED_VALUE"""),5530.0)</f>
        <v>5530</v>
      </c>
      <c r="C1599" s="1">
        <f>IFERROR(__xludf.DUMMYFUNCTION("""COMPUTED_VALUE"""),5530.0)</f>
        <v>5530</v>
      </c>
      <c r="D1599" s="1">
        <f>IFERROR(__xludf.DUMMYFUNCTION("""COMPUTED_VALUE"""),5010.0)</f>
        <v>5010</v>
      </c>
      <c r="E1599" s="1">
        <f>IFERROR(__xludf.DUMMYFUNCTION("""COMPUTED_VALUE"""),5280.0)</f>
        <v>5280</v>
      </c>
      <c r="F1599" s="1">
        <f>IFERROR(__xludf.DUMMYFUNCTION("""COMPUTED_VALUE"""),1819596.0)</f>
        <v>1819596</v>
      </c>
    </row>
    <row r="1600">
      <c r="A1600" s="2">
        <f>IFERROR(__xludf.DUMMYFUNCTION("""COMPUTED_VALUE"""),44369.64583333333)</f>
        <v>44369.64583</v>
      </c>
      <c r="B1600" s="1">
        <f>IFERROR(__xludf.DUMMYFUNCTION("""COMPUTED_VALUE"""),5320.0)</f>
        <v>5320</v>
      </c>
      <c r="C1600" s="1">
        <f>IFERROR(__xludf.DUMMYFUNCTION("""COMPUTED_VALUE"""),5430.0)</f>
        <v>5430</v>
      </c>
      <c r="D1600" s="1">
        <f>IFERROR(__xludf.DUMMYFUNCTION("""COMPUTED_VALUE"""),5280.0)</f>
        <v>5280</v>
      </c>
      <c r="E1600" s="1">
        <f>IFERROR(__xludf.DUMMYFUNCTION("""COMPUTED_VALUE"""),5300.0)</f>
        <v>5300</v>
      </c>
      <c r="F1600" s="1">
        <f>IFERROR(__xludf.DUMMYFUNCTION("""COMPUTED_VALUE"""),771483.0)</f>
        <v>771483</v>
      </c>
    </row>
    <row r="1601">
      <c r="A1601" s="2">
        <f>IFERROR(__xludf.DUMMYFUNCTION("""COMPUTED_VALUE"""),44370.64583333333)</f>
        <v>44370.64583</v>
      </c>
      <c r="B1601" s="1">
        <f>IFERROR(__xludf.DUMMYFUNCTION("""COMPUTED_VALUE"""),5340.0)</f>
        <v>5340</v>
      </c>
      <c r="C1601" s="1">
        <f>IFERROR(__xludf.DUMMYFUNCTION("""COMPUTED_VALUE"""),5480.0)</f>
        <v>5480</v>
      </c>
      <c r="D1601" s="1">
        <f>IFERROR(__xludf.DUMMYFUNCTION("""COMPUTED_VALUE"""),5300.0)</f>
        <v>5300</v>
      </c>
      <c r="E1601" s="1">
        <f>IFERROR(__xludf.DUMMYFUNCTION("""COMPUTED_VALUE"""),5360.0)</f>
        <v>5360</v>
      </c>
      <c r="F1601" s="1">
        <f>IFERROR(__xludf.DUMMYFUNCTION("""COMPUTED_VALUE"""),911146.0)</f>
        <v>911146</v>
      </c>
    </row>
    <row r="1602">
      <c r="A1602" s="2">
        <f>IFERROR(__xludf.DUMMYFUNCTION("""COMPUTED_VALUE"""),44371.64583333333)</f>
        <v>44371.64583</v>
      </c>
      <c r="B1602" s="1">
        <f>IFERROR(__xludf.DUMMYFUNCTION("""COMPUTED_VALUE"""),5330.0)</f>
        <v>5330</v>
      </c>
      <c r="C1602" s="1">
        <f>IFERROR(__xludf.DUMMYFUNCTION("""COMPUTED_VALUE"""),5390.0)</f>
        <v>5390</v>
      </c>
      <c r="D1602" s="1">
        <f>IFERROR(__xludf.DUMMYFUNCTION("""COMPUTED_VALUE"""),5260.0)</f>
        <v>5260</v>
      </c>
      <c r="E1602" s="1">
        <f>IFERROR(__xludf.DUMMYFUNCTION("""COMPUTED_VALUE"""),5390.0)</f>
        <v>5390</v>
      </c>
      <c r="F1602" s="1">
        <f>IFERROR(__xludf.DUMMYFUNCTION("""COMPUTED_VALUE"""),656635.0)</f>
        <v>656635</v>
      </c>
    </row>
    <row r="1603">
      <c r="A1603" s="2">
        <f>IFERROR(__xludf.DUMMYFUNCTION("""COMPUTED_VALUE"""),44372.64583333333)</f>
        <v>44372.64583</v>
      </c>
      <c r="B1603" s="1">
        <f>IFERROR(__xludf.DUMMYFUNCTION("""COMPUTED_VALUE"""),5410.0)</f>
        <v>5410</v>
      </c>
      <c r="C1603" s="1">
        <f>IFERROR(__xludf.DUMMYFUNCTION("""COMPUTED_VALUE"""),5440.0)</f>
        <v>5440</v>
      </c>
      <c r="D1603" s="1">
        <f>IFERROR(__xludf.DUMMYFUNCTION("""COMPUTED_VALUE"""),5300.0)</f>
        <v>5300</v>
      </c>
      <c r="E1603" s="1">
        <f>IFERROR(__xludf.DUMMYFUNCTION("""COMPUTED_VALUE"""),5440.0)</f>
        <v>5440</v>
      </c>
      <c r="F1603" s="1">
        <f>IFERROR(__xludf.DUMMYFUNCTION("""COMPUTED_VALUE"""),754519.0)</f>
        <v>754519</v>
      </c>
    </row>
    <row r="1604">
      <c r="A1604" s="2">
        <f>IFERROR(__xludf.DUMMYFUNCTION("""COMPUTED_VALUE"""),44375.64583333333)</f>
        <v>44375.64583</v>
      </c>
      <c r="B1604" s="1">
        <f>IFERROR(__xludf.DUMMYFUNCTION("""COMPUTED_VALUE"""),5460.0)</f>
        <v>5460</v>
      </c>
      <c r="C1604" s="1">
        <f>IFERROR(__xludf.DUMMYFUNCTION("""COMPUTED_VALUE"""),5460.0)</f>
        <v>5460</v>
      </c>
      <c r="D1604" s="1">
        <f>IFERROR(__xludf.DUMMYFUNCTION("""COMPUTED_VALUE"""),5340.0)</f>
        <v>5340</v>
      </c>
      <c r="E1604" s="1">
        <f>IFERROR(__xludf.DUMMYFUNCTION("""COMPUTED_VALUE"""),5400.0)</f>
        <v>5400</v>
      </c>
      <c r="F1604" s="1">
        <f>IFERROR(__xludf.DUMMYFUNCTION("""COMPUTED_VALUE"""),545454.0)</f>
        <v>545454</v>
      </c>
    </row>
    <row r="1605">
      <c r="A1605" s="2">
        <f>IFERROR(__xludf.DUMMYFUNCTION("""COMPUTED_VALUE"""),44376.64583333333)</f>
        <v>44376.64583</v>
      </c>
      <c r="B1605" s="1">
        <f>IFERROR(__xludf.DUMMYFUNCTION("""COMPUTED_VALUE"""),5400.0)</f>
        <v>5400</v>
      </c>
      <c r="C1605" s="1">
        <f>IFERROR(__xludf.DUMMYFUNCTION("""COMPUTED_VALUE"""),5700.0)</f>
        <v>5700</v>
      </c>
      <c r="D1605" s="1">
        <f>IFERROR(__xludf.DUMMYFUNCTION("""COMPUTED_VALUE"""),5390.0)</f>
        <v>5390</v>
      </c>
      <c r="E1605" s="1">
        <f>IFERROR(__xludf.DUMMYFUNCTION("""COMPUTED_VALUE"""),5530.0)</f>
        <v>5530</v>
      </c>
      <c r="F1605" s="1">
        <f>IFERROR(__xludf.DUMMYFUNCTION("""COMPUTED_VALUE"""),2168288.0)</f>
        <v>2168288</v>
      </c>
    </row>
    <row r="1606">
      <c r="A1606" s="2">
        <f>IFERROR(__xludf.DUMMYFUNCTION("""COMPUTED_VALUE"""),44377.64583333333)</f>
        <v>44377.64583</v>
      </c>
      <c r="B1606" s="1">
        <f>IFERROR(__xludf.DUMMYFUNCTION("""COMPUTED_VALUE"""),5520.0)</f>
        <v>5520</v>
      </c>
      <c r="C1606" s="1">
        <f>IFERROR(__xludf.DUMMYFUNCTION("""COMPUTED_VALUE"""),5560.0)</f>
        <v>5560</v>
      </c>
      <c r="D1606" s="1">
        <f>IFERROR(__xludf.DUMMYFUNCTION("""COMPUTED_VALUE"""),5440.0)</f>
        <v>5440</v>
      </c>
      <c r="E1606" s="1">
        <f>IFERROR(__xludf.DUMMYFUNCTION("""COMPUTED_VALUE"""),5530.0)</f>
        <v>5530</v>
      </c>
      <c r="F1606" s="1">
        <f>IFERROR(__xludf.DUMMYFUNCTION("""COMPUTED_VALUE"""),562656.0)</f>
        <v>562656</v>
      </c>
    </row>
    <row r="1607">
      <c r="A1607" s="2">
        <f>IFERROR(__xludf.DUMMYFUNCTION("""COMPUTED_VALUE"""),44379.64583333333)</f>
        <v>44379.64583</v>
      </c>
      <c r="B1607" s="1">
        <f>IFERROR(__xludf.DUMMYFUNCTION("""COMPUTED_VALUE"""),5540.0)</f>
        <v>5540</v>
      </c>
      <c r="C1607" s="1">
        <f>IFERROR(__xludf.DUMMYFUNCTION("""COMPUTED_VALUE"""),5540.0)</f>
        <v>5540</v>
      </c>
      <c r="D1607" s="1">
        <f>IFERROR(__xludf.DUMMYFUNCTION("""COMPUTED_VALUE"""),5350.0)</f>
        <v>5350</v>
      </c>
      <c r="E1607" s="1">
        <f>IFERROR(__xludf.DUMMYFUNCTION("""COMPUTED_VALUE"""),5360.0)</f>
        <v>5360</v>
      </c>
      <c r="F1607" s="1">
        <f>IFERROR(__xludf.DUMMYFUNCTION("""COMPUTED_VALUE"""),812234.0)</f>
        <v>812234</v>
      </c>
    </row>
    <row r="1608">
      <c r="A1608" s="2">
        <f>IFERROR(__xludf.DUMMYFUNCTION("""COMPUTED_VALUE"""),44382.64583333333)</f>
        <v>44382.64583</v>
      </c>
      <c r="B1608" s="1">
        <f>IFERROR(__xludf.DUMMYFUNCTION("""COMPUTED_VALUE"""),5360.0)</f>
        <v>5360</v>
      </c>
      <c r="C1608" s="1">
        <f>IFERROR(__xludf.DUMMYFUNCTION("""COMPUTED_VALUE"""),5430.0)</f>
        <v>5430</v>
      </c>
      <c r="D1608" s="1">
        <f>IFERROR(__xludf.DUMMYFUNCTION("""COMPUTED_VALUE"""),5330.0)</f>
        <v>5330</v>
      </c>
      <c r="E1608" s="1">
        <f>IFERROR(__xludf.DUMMYFUNCTION("""COMPUTED_VALUE"""),5420.0)</f>
        <v>5420</v>
      </c>
      <c r="F1608" s="1">
        <f>IFERROR(__xludf.DUMMYFUNCTION("""COMPUTED_VALUE"""),580994.0)</f>
        <v>580994</v>
      </c>
    </row>
    <row r="1609">
      <c r="A1609" s="2">
        <f>IFERROR(__xludf.DUMMYFUNCTION("""COMPUTED_VALUE"""),44383.64583333333)</f>
        <v>44383.64583</v>
      </c>
      <c r="B1609" s="1">
        <f>IFERROR(__xludf.DUMMYFUNCTION("""COMPUTED_VALUE"""),5300.0)</f>
        <v>5300</v>
      </c>
      <c r="C1609" s="1">
        <f>IFERROR(__xludf.DUMMYFUNCTION("""COMPUTED_VALUE"""),5410.0)</f>
        <v>5410</v>
      </c>
      <c r="D1609" s="1">
        <f>IFERROR(__xludf.DUMMYFUNCTION("""COMPUTED_VALUE"""),5230.0)</f>
        <v>5230</v>
      </c>
      <c r="E1609" s="1">
        <f>IFERROR(__xludf.DUMMYFUNCTION("""COMPUTED_VALUE"""),5330.0)</f>
        <v>5330</v>
      </c>
      <c r="F1609" s="1">
        <f>IFERROR(__xludf.DUMMYFUNCTION("""COMPUTED_VALUE"""),824453.0)</f>
        <v>824453</v>
      </c>
    </row>
    <row r="1610">
      <c r="A1610" s="2">
        <f>IFERROR(__xludf.DUMMYFUNCTION("""COMPUTED_VALUE"""),44384.64583333333)</f>
        <v>44384.64583</v>
      </c>
      <c r="B1610" s="1">
        <f>IFERROR(__xludf.DUMMYFUNCTION("""COMPUTED_VALUE"""),5340.0)</f>
        <v>5340</v>
      </c>
      <c r="C1610" s="1">
        <f>IFERROR(__xludf.DUMMYFUNCTION("""COMPUTED_VALUE"""),5440.0)</f>
        <v>5440</v>
      </c>
      <c r="D1610" s="1">
        <f>IFERROR(__xludf.DUMMYFUNCTION("""COMPUTED_VALUE"""),5310.0)</f>
        <v>5310</v>
      </c>
      <c r="E1610" s="1">
        <f>IFERROR(__xludf.DUMMYFUNCTION("""COMPUTED_VALUE"""),5390.0)</f>
        <v>5390</v>
      </c>
      <c r="F1610" s="1">
        <f>IFERROR(__xludf.DUMMYFUNCTION("""COMPUTED_VALUE"""),594787.0)</f>
        <v>594787</v>
      </c>
    </row>
    <row r="1611">
      <c r="A1611" s="2">
        <f>IFERROR(__xludf.DUMMYFUNCTION("""COMPUTED_VALUE"""),44385.64583333333)</f>
        <v>44385.64583</v>
      </c>
      <c r="B1611" s="1">
        <f>IFERROR(__xludf.DUMMYFUNCTION("""COMPUTED_VALUE"""),5370.0)</f>
        <v>5370</v>
      </c>
      <c r="C1611" s="1">
        <f>IFERROR(__xludf.DUMMYFUNCTION("""COMPUTED_VALUE"""),5420.0)</f>
        <v>5420</v>
      </c>
      <c r="D1611" s="1">
        <f>IFERROR(__xludf.DUMMYFUNCTION("""COMPUTED_VALUE"""),5170.0)</f>
        <v>5170</v>
      </c>
      <c r="E1611" s="1">
        <f>IFERROR(__xludf.DUMMYFUNCTION("""COMPUTED_VALUE"""),5270.0)</f>
        <v>5270</v>
      </c>
      <c r="F1611" s="1">
        <f>IFERROR(__xludf.DUMMYFUNCTION("""COMPUTED_VALUE"""),790058.0)</f>
        <v>790058</v>
      </c>
    </row>
    <row r="1612">
      <c r="A1612" s="2">
        <f>IFERROR(__xludf.DUMMYFUNCTION("""COMPUTED_VALUE"""),44386.64583333333)</f>
        <v>44386.64583</v>
      </c>
      <c r="B1612" s="1">
        <f>IFERROR(__xludf.DUMMYFUNCTION("""COMPUTED_VALUE"""),5120.0)</f>
        <v>5120</v>
      </c>
      <c r="C1612" s="1">
        <f>IFERROR(__xludf.DUMMYFUNCTION("""COMPUTED_VALUE"""),5160.0)</f>
        <v>5160</v>
      </c>
      <c r="D1612" s="1">
        <f>IFERROR(__xludf.DUMMYFUNCTION("""COMPUTED_VALUE"""),4995.0)</f>
        <v>4995</v>
      </c>
      <c r="E1612" s="1">
        <f>IFERROR(__xludf.DUMMYFUNCTION("""COMPUTED_VALUE"""),5060.0)</f>
        <v>5060</v>
      </c>
      <c r="F1612" s="1">
        <f>IFERROR(__xludf.DUMMYFUNCTION("""COMPUTED_VALUE"""),1303243.0)</f>
        <v>1303243</v>
      </c>
    </row>
    <row r="1613">
      <c r="A1613" s="2">
        <f>IFERROR(__xludf.DUMMYFUNCTION("""COMPUTED_VALUE"""),44389.64583333333)</f>
        <v>44389.64583</v>
      </c>
      <c r="B1613" s="1">
        <f>IFERROR(__xludf.DUMMYFUNCTION("""COMPUTED_VALUE"""),5020.0)</f>
        <v>5020</v>
      </c>
      <c r="C1613" s="1">
        <f>IFERROR(__xludf.DUMMYFUNCTION("""COMPUTED_VALUE"""),5130.0)</f>
        <v>5130</v>
      </c>
      <c r="D1613" s="1">
        <f>IFERROR(__xludf.DUMMYFUNCTION("""COMPUTED_VALUE"""),5020.0)</f>
        <v>5020</v>
      </c>
      <c r="E1613" s="1">
        <f>IFERROR(__xludf.DUMMYFUNCTION("""COMPUTED_VALUE"""),5120.0)</f>
        <v>5120</v>
      </c>
      <c r="F1613" s="1">
        <f>IFERROR(__xludf.DUMMYFUNCTION("""COMPUTED_VALUE"""),538894.0)</f>
        <v>538894</v>
      </c>
    </row>
    <row r="1614">
      <c r="A1614" s="2">
        <f>IFERROR(__xludf.DUMMYFUNCTION("""COMPUTED_VALUE"""),44390.64583333333)</f>
        <v>44390.64583</v>
      </c>
      <c r="B1614" s="1">
        <f>IFERROR(__xludf.DUMMYFUNCTION("""COMPUTED_VALUE"""),5120.0)</f>
        <v>5120</v>
      </c>
      <c r="C1614" s="1">
        <f>IFERROR(__xludf.DUMMYFUNCTION("""COMPUTED_VALUE"""),5240.0)</f>
        <v>5240</v>
      </c>
      <c r="D1614" s="1">
        <f>IFERROR(__xludf.DUMMYFUNCTION("""COMPUTED_VALUE"""),5110.0)</f>
        <v>5110</v>
      </c>
      <c r="E1614" s="1">
        <f>IFERROR(__xludf.DUMMYFUNCTION("""COMPUTED_VALUE"""),5160.0)</f>
        <v>5160</v>
      </c>
      <c r="F1614" s="1">
        <f>IFERROR(__xludf.DUMMYFUNCTION("""COMPUTED_VALUE"""),539264.0)</f>
        <v>539264</v>
      </c>
    </row>
    <row r="1615">
      <c r="A1615" s="2">
        <f>IFERROR(__xludf.DUMMYFUNCTION("""COMPUTED_VALUE"""),44391.64583333333)</f>
        <v>44391.64583</v>
      </c>
      <c r="B1615" s="1">
        <f>IFERROR(__xludf.DUMMYFUNCTION("""COMPUTED_VALUE"""),5160.0)</f>
        <v>5160</v>
      </c>
      <c r="C1615" s="1">
        <f>IFERROR(__xludf.DUMMYFUNCTION("""COMPUTED_VALUE"""),5170.0)</f>
        <v>5170</v>
      </c>
      <c r="D1615" s="1">
        <f>IFERROR(__xludf.DUMMYFUNCTION("""COMPUTED_VALUE"""),5080.0)</f>
        <v>5080</v>
      </c>
      <c r="E1615" s="1">
        <f>IFERROR(__xludf.DUMMYFUNCTION("""COMPUTED_VALUE"""),5080.0)</f>
        <v>5080</v>
      </c>
      <c r="F1615" s="1">
        <f>IFERROR(__xludf.DUMMYFUNCTION("""COMPUTED_VALUE"""),388210.0)</f>
        <v>388210</v>
      </c>
    </row>
    <row r="1616">
      <c r="A1616" s="2">
        <f>IFERROR(__xludf.DUMMYFUNCTION("""COMPUTED_VALUE"""),44392.64583333333)</f>
        <v>44392.64583</v>
      </c>
      <c r="B1616" s="1">
        <f>IFERROR(__xludf.DUMMYFUNCTION("""COMPUTED_VALUE"""),5110.0)</f>
        <v>5110</v>
      </c>
      <c r="C1616" s="1">
        <f>IFERROR(__xludf.DUMMYFUNCTION("""COMPUTED_VALUE"""),5160.0)</f>
        <v>5160</v>
      </c>
      <c r="D1616" s="1">
        <f>IFERROR(__xludf.DUMMYFUNCTION("""COMPUTED_VALUE"""),5100.0)</f>
        <v>5100</v>
      </c>
      <c r="E1616" s="1">
        <f>IFERROR(__xludf.DUMMYFUNCTION("""COMPUTED_VALUE"""),5130.0)</f>
        <v>5130</v>
      </c>
      <c r="F1616" s="1">
        <f>IFERROR(__xludf.DUMMYFUNCTION("""COMPUTED_VALUE"""),359241.0)</f>
        <v>359241</v>
      </c>
    </row>
    <row r="1617">
      <c r="A1617" s="2">
        <f>IFERROR(__xludf.DUMMYFUNCTION("""COMPUTED_VALUE"""),44393.64583333333)</f>
        <v>44393.64583</v>
      </c>
      <c r="B1617" s="1">
        <f>IFERROR(__xludf.DUMMYFUNCTION("""COMPUTED_VALUE"""),5140.0)</f>
        <v>5140</v>
      </c>
      <c r="C1617" s="1">
        <f>IFERROR(__xludf.DUMMYFUNCTION("""COMPUTED_VALUE"""),5270.0)</f>
        <v>5270</v>
      </c>
      <c r="D1617" s="1">
        <f>IFERROR(__xludf.DUMMYFUNCTION("""COMPUTED_VALUE"""),5130.0)</f>
        <v>5130</v>
      </c>
      <c r="E1617" s="1">
        <f>IFERROR(__xludf.DUMMYFUNCTION("""COMPUTED_VALUE"""),5210.0)</f>
        <v>5210</v>
      </c>
      <c r="F1617" s="1">
        <f>IFERROR(__xludf.DUMMYFUNCTION("""COMPUTED_VALUE"""),714841.0)</f>
        <v>714841</v>
      </c>
    </row>
    <row r="1618">
      <c r="A1618" s="2">
        <f>IFERROR(__xludf.DUMMYFUNCTION("""COMPUTED_VALUE"""),44396.64583333333)</f>
        <v>44396.64583</v>
      </c>
      <c r="B1618" s="1">
        <f>IFERROR(__xludf.DUMMYFUNCTION("""COMPUTED_VALUE"""),5180.0)</f>
        <v>5180</v>
      </c>
      <c r="C1618" s="1">
        <f>IFERROR(__xludf.DUMMYFUNCTION("""COMPUTED_VALUE"""),5360.0)</f>
        <v>5360</v>
      </c>
      <c r="D1618" s="1">
        <f>IFERROR(__xludf.DUMMYFUNCTION("""COMPUTED_VALUE"""),5160.0)</f>
        <v>5160</v>
      </c>
      <c r="E1618" s="1">
        <f>IFERROR(__xludf.DUMMYFUNCTION("""COMPUTED_VALUE"""),5270.0)</f>
        <v>5270</v>
      </c>
      <c r="F1618" s="1">
        <f>IFERROR(__xludf.DUMMYFUNCTION("""COMPUTED_VALUE"""),1578248.0)</f>
        <v>1578248</v>
      </c>
    </row>
    <row r="1619">
      <c r="A1619" s="2">
        <f>IFERROR(__xludf.DUMMYFUNCTION("""COMPUTED_VALUE"""),44397.64583333333)</f>
        <v>44397.64583</v>
      </c>
      <c r="B1619" s="1">
        <f>IFERROR(__xludf.DUMMYFUNCTION("""COMPUTED_VALUE"""),5310.0)</f>
        <v>5310</v>
      </c>
      <c r="C1619" s="1">
        <f>IFERROR(__xludf.DUMMYFUNCTION("""COMPUTED_VALUE"""),5750.0)</f>
        <v>5750</v>
      </c>
      <c r="D1619" s="1">
        <f>IFERROR(__xludf.DUMMYFUNCTION("""COMPUTED_VALUE"""),5220.0)</f>
        <v>5220</v>
      </c>
      <c r="E1619" s="1">
        <f>IFERROR(__xludf.DUMMYFUNCTION("""COMPUTED_VALUE"""),5500.0)</f>
        <v>5500</v>
      </c>
      <c r="F1619" s="1">
        <f>IFERROR(__xludf.DUMMYFUNCTION("""COMPUTED_VALUE"""),6222410.0)</f>
        <v>6222410</v>
      </c>
    </row>
    <row r="1620">
      <c r="A1620" s="2">
        <f>IFERROR(__xludf.DUMMYFUNCTION("""COMPUTED_VALUE"""),44398.64583333333)</f>
        <v>44398.64583</v>
      </c>
      <c r="B1620" s="1">
        <f>IFERROR(__xludf.DUMMYFUNCTION("""COMPUTED_VALUE"""),5580.0)</f>
        <v>5580</v>
      </c>
      <c r="C1620" s="1">
        <f>IFERROR(__xludf.DUMMYFUNCTION("""COMPUTED_VALUE"""),5700.0)</f>
        <v>5700</v>
      </c>
      <c r="D1620" s="1">
        <f>IFERROR(__xludf.DUMMYFUNCTION("""COMPUTED_VALUE"""),5400.0)</f>
        <v>5400</v>
      </c>
      <c r="E1620" s="1">
        <f>IFERROR(__xludf.DUMMYFUNCTION("""COMPUTED_VALUE"""),5400.0)</f>
        <v>5400</v>
      </c>
      <c r="F1620" s="1">
        <f>IFERROR(__xludf.DUMMYFUNCTION("""COMPUTED_VALUE"""),3876375.0)</f>
        <v>3876375</v>
      </c>
    </row>
    <row r="1621">
      <c r="A1621" s="2">
        <f>IFERROR(__xludf.DUMMYFUNCTION("""COMPUTED_VALUE"""),44399.64583333333)</f>
        <v>44399.64583</v>
      </c>
      <c r="B1621" s="1">
        <f>IFERROR(__xludf.DUMMYFUNCTION("""COMPUTED_VALUE"""),5510.0)</f>
        <v>5510</v>
      </c>
      <c r="C1621" s="1">
        <f>IFERROR(__xludf.DUMMYFUNCTION("""COMPUTED_VALUE"""),5550.0)</f>
        <v>5550</v>
      </c>
      <c r="D1621" s="1">
        <f>IFERROR(__xludf.DUMMYFUNCTION("""COMPUTED_VALUE"""),5390.0)</f>
        <v>5390</v>
      </c>
      <c r="E1621" s="1">
        <f>IFERROR(__xludf.DUMMYFUNCTION("""COMPUTED_VALUE"""),5510.0)</f>
        <v>5510</v>
      </c>
      <c r="F1621" s="1">
        <f>IFERROR(__xludf.DUMMYFUNCTION("""COMPUTED_VALUE"""),1175182.0)</f>
        <v>1175182</v>
      </c>
    </row>
    <row r="1622">
      <c r="A1622" s="2">
        <f>IFERROR(__xludf.DUMMYFUNCTION("""COMPUTED_VALUE"""),44400.64583333333)</f>
        <v>44400.64583</v>
      </c>
      <c r="B1622" s="1">
        <f>IFERROR(__xludf.DUMMYFUNCTION("""COMPUTED_VALUE"""),5500.0)</f>
        <v>5500</v>
      </c>
      <c r="C1622" s="1">
        <f>IFERROR(__xludf.DUMMYFUNCTION("""COMPUTED_VALUE"""),5990.0)</f>
        <v>5990</v>
      </c>
      <c r="D1622" s="1">
        <f>IFERROR(__xludf.DUMMYFUNCTION("""COMPUTED_VALUE"""),5470.0)</f>
        <v>5470</v>
      </c>
      <c r="E1622" s="1">
        <f>IFERROR(__xludf.DUMMYFUNCTION("""COMPUTED_VALUE"""),5770.0)</f>
        <v>5770</v>
      </c>
      <c r="F1622" s="1">
        <f>IFERROR(__xludf.DUMMYFUNCTION("""COMPUTED_VALUE"""),1.7051503E7)</f>
        <v>17051503</v>
      </c>
    </row>
    <row r="1623">
      <c r="A1623" s="2">
        <f>IFERROR(__xludf.DUMMYFUNCTION("""COMPUTED_VALUE"""),44403.64583333333)</f>
        <v>44403.64583</v>
      </c>
      <c r="B1623" s="1">
        <f>IFERROR(__xludf.DUMMYFUNCTION("""COMPUTED_VALUE"""),5910.0)</f>
        <v>5910</v>
      </c>
      <c r="C1623" s="1">
        <f>IFERROR(__xludf.DUMMYFUNCTION("""COMPUTED_VALUE"""),5970.0)</f>
        <v>5970</v>
      </c>
      <c r="D1623" s="1">
        <f>IFERROR(__xludf.DUMMYFUNCTION("""COMPUTED_VALUE"""),5560.0)</f>
        <v>5560</v>
      </c>
      <c r="E1623" s="1">
        <f>IFERROR(__xludf.DUMMYFUNCTION("""COMPUTED_VALUE"""),5590.0)</f>
        <v>5590</v>
      </c>
      <c r="F1623" s="1">
        <f>IFERROR(__xludf.DUMMYFUNCTION("""COMPUTED_VALUE"""),4994633.0)</f>
        <v>4994633</v>
      </c>
    </row>
    <row r="1624">
      <c r="A1624" s="2">
        <f>IFERROR(__xludf.DUMMYFUNCTION("""COMPUTED_VALUE"""),44404.64583333333)</f>
        <v>44404.64583</v>
      </c>
      <c r="B1624" s="1">
        <f>IFERROR(__xludf.DUMMYFUNCTION("""COMPUTED_VALUE"""),5430.0)</f>
        <v>5430</v>
      </c>
      <c r="C1624" s="1">
        <f>IFERROR(__xludf.DUMMYFUNCTION("""COMPUTED_VALUE"""),5560.0)</f>
        <v>5560</v>
      </c>
      <c r="D1624" s="1">
        <f>IFERROR(__xludf.DUMMYFUNCTION("""COMPUTED_VALUE"""),5370.0)</f>
        <v>5370</v>
      </c>
      <c r="E1624" s="1">
        <f>IFERROR(__xludf.DUMMYFUNCTION("""COMPUTED_VALUE"""),5370.0)</f>
        <v>5370</v>
      </c>
      <c r="F1624" s="1">
        <f>IFERROR(__xludf.DUMMYFUNCTION("""COMPUTED_VALUE"""),2093289.0)</f>
        <v>2093289</v>
      </c>
    </row>
    <row r="1625">
      <c r="A1625" s="2">
        <f>IFERROR(__xludf.DUMMYFUNCTION("""COMPUTED_VALUE"""),44405.64583333333)</f>
        <v>44405.64583</v>
      </c>
      <c r="B1625" s="1">
        <f>IFERROR(__xludf.DUMMYFUNCTION("""COMPUTED_VALUE"""),5310.0)</f>
        <v>5310</v>
      </c>
      <c r="C1625" s="1">
        <f>IFERROR(__xludf.DUMMYFUNCTION("""COMPUTED_VALUE"""),5440.0)</f>
        <v>5440</v>
      </c>
      <c r="D1625" s="1">
        <f>IFERROR(__xludf.DUMMYFUNCTION("""COMPUTED_VALUE"""),5140.0)</f>
        <v>5140</v>
      </c>
      <c r="E1625" s="1">
        <f>IFERROR(__xludf.DUMMYFUNCTION("""COMPUTED_VALUE"""),5180.0)</f>
        <v>5180</v>
      </c>
      <c r="F1625" s="1">
        <f>IFERROR(__xludf.DUMMYFUNCTION("""COMPUTED_VALUE"""),1591960.0)</f>
        <v>1591960</v>
      </c>
    </row>
    <row r="1626">
      <c r="A1626" s="2">
        <f>IFERROR(__xludf.DUMMYFUNCTION("""COMPUTED_VALUE"""),44406.64583333333)</f>
        <v>44406.64583</v>
      </c>
      <c r="B1626" s="1">
        <f>IFERROR(__xludf.DUMMYFUNCTION("""COMPUTED_VALUE"""),5200.0)</f>
        <v>5200</v>
      </c>
      <c r="C1626" s="1">
        <f>IFERROR(__xludf.DUMMYFUNCTION("""COMPUTED_VALUE"""),5710.0)</f>
        <v>5710</v>
      </c>
      <c r="D1626" s="1">
        <f>IFERROR(__xludf.DUMMYFUNCTION("""COMPUTED_VALUE"""),5200.0)</f>
        <v>5200</v>
      </c>
      <c r="E1626" s="1">
        <f>IFERROR(__xludf.DUMMYFUNCTION("""COMPUTED_VALUE"""),5450.0)</f>
        <v>5450</v>
      </c>
      <c r="F1626" s="1">
        <f>IFERROR(__xludf.DUMMYFUNCTION("""COMPUTED_VALUE"""),4037324.0)</f>
        <v>4037324</v>
      </c>
    </row>
    <row r="1627">
      <c r="A1627" s="2">
        <f>IFERROR(__xludf.DUMMYFUNCTION("""COMPUTED_VALUE"""),44407.64583333333)</f>
        <v>44407.64583</v>
      </c>
      <c r="B1627" s="1">
        <f>IFERROR(__xludf.DUMMYFUNCTION("""COMPUTED_VALUE"""),5440.0)</f>
        <v>5440</v>
      </c>
      <c r="C1627" s="1">
        <f>IFERROR(__xludf.DUMMYFUNCTION("""COMPUTED_VALUE"""),5440.0)</f>
        <v>5440</v>
      </c>
      <c r="D1627" s="1">
        <f>IFERROR(__xludf.DUMMYFUNCTION("""COMPUTED_VALUE"""),5300.0)</f>
        <v>5300</v>
      </c>
      <c r="E1627" s="1">
        <f>IFERROR(__xludf.DUMMYFUNCTION("""COMPUTED_VALUE"""),5320.0)</f>
        <v>5320</v>
      </c>
      <c r="F1627" s="1">
        <f>IFERROR(__xludf.DUMMYFUNCTION("""COMPUTED_VALUE"""),678171.0)</f>
        <v>678171</v>
      </c>
    </row>
    <row r="1628">
      <c r="A1628" s="2">
        <f>IFERROR(__xludf.DUMMYFUNCTION("""COMPUTED_VALUE"""),44410.64583333333)</f>
        <v>44410.64583</v>
      </c>
      <c r="B1628" s="1">
        <f>IFERROR(__xludf.DUMMYFUNCTION("""COMPUTED_VALUE"""),5360.0)</f>
        <v>5360</v>
      </c>
      <c r="C1628" s="1">
        <f>IFERROR(__xludf.DUMMYFUNCTION("""COMPUTED_VALUE"""),5420.0)</f>
        <v>5420</v>
      </c>
      <c r="D1628" s="1">
        <f>IFERROR(__xludf.DUMMYFUNCTION("""COMPUTED_VALUE"""),5300.0)</f>
        <v>5300</v>
      </c>
      <c r="E1628" s="1">
        <f>IFERROR(__xludf.DUMMYFUNCTION("""COMPUTED_VALUE"""),5320.0)</f>
        <v>5320</v>
      </c>
      <c r="F1628" s="1">
        <f>IFERROR(__xludf.DUMMYFUNCTION("""COMPUTED_VALUE"""),661985.0)</f>
        <v>661985</v>
      </c>
    </row>
    <row r="1629">
      <c r="A1629" s="2">
        <f>IFERROR(__xludf.DUMMYFUNCTION("""COMPUTED_VALUE"""),44411.64583333333)</f>
        <v>44411.64583</v>
      </c>
      <c r="B1629" s="1">
        <f>IFERROR(__xludf.DUMMYFUNCTION("""COMPUTED_VALUE"""),5290.0)</f>
        <v>5290</v>
      </c>
      <c r="C1629" s="1">
        <f>IFERROR(__xludf.DUMMYFUNCTION("""COMPUTED_VALUE"""),5360.0)</f>
        <v>5360</v>
      </c>
      <c r="D1629" s="1">
        <f>IFERROR(__xludf.DUMMYFUNCTION("""COMPUTED_VALUE"""),5230.0)</f>
        <v>5230</v>
      </c>
      <c r="E1629" s="1">
        <f>IFERROR(__xludf.DUMMYFUNCTION("""COMPUTED_VALUE"""),5230.0)</f>
        <v>5230</v>
      </c>
      <c r="F1629" s="1">
        <f>IFERROR(__xludf.DUMMYFUNCTION("""COMPUTED_VALUE"""),531607.0)</f>
        <v>531607</v>
      </c>
    </row>
    <row r="1630">
      <c r="A1630" s="2">
        <f>IFERROR(__xludf.DUMMYFUNCTION("""COMPUTED_VALUE"""),44412.64583333333)</f>
        <v>44412.64583</v>
      </c>
      <c r="B1630" s="1">
        <f>IFERROR(__xludf.DUMMYFUNCTION("""COMPUTED_VALUE"""),5230.0)</f>
        <v>5230</v>
      </c>
      <c r="C1630" s="1">
        <f>IFERROR(__xludf.DUMMYFUNCTION("""COMPUTED_VALUE"""),5870.0)</f>
        <v>5870</v>
      </c>
      <c r="D1630" s="1">
        <f>IFERROR(__xludf.DUMMYFUNCTION("""COMPUTED_VALUE"""),5230.0)</f>
        <v>5230</v>
      </c>
      <c r="E1630" s="1">
        <f>IFERROR(__xludf.DUMMYFUNCTION("""COMPUTED_VALUE"""),5650.0)</f>
        <v>5650</v>
      </c>
      <c r="F1630" s="1">
        <f>IFERROR(__xludf.DUMMYFUNCTION("""COMPUTED_VALUE"""),1.2379821E7)</f>
        <v>12379821</v>
      </c>
    </row>
    <row r="1631">
      <c r="A1631" s="2">
        <f>IFERROR(__xludf.DUMMYFUNCTION("""COMPUTED_VALUE"""),44413.64583333333)</f>
        <v>44413.64583</v>
      </c>
      <c r="B1631" s="1">
        <f>IFERROR(__xludf.DUMMYFUNCTION("""COMPUTED_VALUE"""),5710.0)</f>
        <v>5710</v>
      </c>
      <c r="C1631" s="1">
        <f>IFERROR(__xludf.DUMMYFUNCTION("""COMPUTED_VALUE"""),5790.0)</f>
        <v>5790</v>
      </c>
      <c r="D1631" s="1">
        <f>IFERROR(__xludf.DUMMYFUNCTION("""COMPUTED_VALUE"""),5600.0)</f>
        <v>5600</v>
      </c>
      <c r="E1631" s="1">
        <f>IFERROR(__xludf.DUMMYFUNCTION("""COMPUTED_VALUE"""),5760.0)</f>
        <v>5760</v>
      </c>
      <c r="F1631" s="1">
        <f>IFERROR(__xludf.DUMMYFUNCTION("""COMPUTED_VALUE"""),3669826.0)</f>
        <v>3669826</v>
      </c>
    </row>
    <row r="1632">
      <c r="A1632" s="2">
        <f>IFERROR(__xludf.DUMMYFUNCTION("""COMPUTED_VALUE"""),44414.64583333333)</f>
        <v>44414.64583</v>
      </c>
      <c r="B1632" s="1">
        <f>IFERROR(__xludf.DUMMYFUNCTION("""COMPUTED_VALUE"""),5760.0)</f>
        <v>5760</v>
      </c>
      <c r="C1632" s="1">
        <f>IFERROR(__xludf.DUMMYFUNCTION("""COMPUTED_VALUE"""),5820.0)</f>
        <v>5820</v>
      </c>
      <c r="D1632" s="1">
        <f>IFERROR(__xludf.DUMMYFUNCTION("""COMPUTED_VALUE"""),5510.0)</f>
        <v>5510</v>
      </c>
      <c r="E1632" s="1">
        <f>IFERROR(__xludf.DUMMYFUNCTION("""COMPUTED_VALUE"""),5600.0)</f>
        <v>5600</v>
      </c>
      <c r="F1632" s="1">
        <f>IFERROR(__xludf.DUMMYFUNCTION("""COMPUTED_VALUE"""),2862790.0)</f>
        <v>2862790</v>
      </c>
    </row>
    <row r="1633">
      <c r="A1633" s="2">
        <f>IFERROR(__xludf.DUMMYFUNCTION("""COMPUTED_VALUE"""),44417.64583333333)</f>
        <v>44417.64583</v>
      </c>
      <c r="B1633" s="1">
        <f>IFERROR(__xludf.DUMMYFUNCTION("""COMPUTED_VALUE"""),5570.0)</f>
        <v>5570</v>
      </c>
      <c r="C1633" s="1">
        <f>IFERROR(__xludf.DUMMYFUNCTION("""COMPUTED_VALUE"""),5720.0)</f>
        <v>5720</v>
      </c>
      <c r="D1633" s="1">
        <f>IFERROR(__xludf.DUMMYFUNCTION("""COMPUTED_VALUE"""),5420.0)</f>
        <v>5420</v>
      </c>
      <c r="E1633" s="1">
        <f>IFERROR(__xludf.DUMMYFUNCTION("""COMPUTED_VALUE"""),5450.0)</f>
        <v>5450</v>
      </c>
      <c r="F1633" s="1">
        <f>IFERROR(__xludf.DUMMYFUNCTION("""COMPUTED_VALUE"""),1929657.0)</f>
        <v>1929657</v>
      </c>
    </row>
    <row r="1634">
      <c r="A1634" s="2">
        <f>IFERROR(__xludf.DUMMYFUNCTION("""COMPUTED_VALUE"""),44418.64583333333)</f>
        <v>44418.64583</v>
      </c>
      <c r="B1634" s="1">
        <f>IFERROR(__xludf.DUMMYFUNCTION("""COMPUTED_VALUE"""),5550.0)</f>
        <v>5550</v>
      </c>
      <c r="C1634" s="1">
        <f>IFERROR(__xludf.DUMMYFUNCTION("""COMPUTED_VALUE"""),5640.0)</f>
        <v>5640</v>
      </c>
      <c r="D1634" s="1">
        <f>IFERROR(__xludf.DUMMYFUNCTION("""COMPUTED_VALUE"""),5420.0)</f>
        <v>5420</v>
      </c>
      <c r="E1634" s="1">
        <f>IFERROR(__xludf.DUMMYFUNCTION("""COMPUTED_VALUE"""),5430.0)</f>
        <v>5430</v>
      </c>
      <c r="F1634" s="1">
        <f>IFERROR(__xludf.DUMMYFUNCTION("""COMPUTED_VALUE"""),1482497.0)</f>
        <v>1482497</v>
      </c>
    </row>
    <row r="1635">
      <c r="A1635" s="2">
        <f>IFERROR(__xludf.DUMMYFUNCTION("""COMPUTED_VALUE"""),44419.64583333333)</f>
        <v>44419.64583</v>
      </c>
      <c r="B1635" s="1">
        <f>IFERROR(__xludf.DUMMYFUNCTION("""COMPUTED_VALUE"""),5470.0)</f>
        <v>5470</v>
      </c>
      <c r="C1635" s="1">
        <f>IFERROR(__xludf.DUMMYFUNCTION("""COMPUTED_VALUE"""),5560.0)</f>
        <v>5560</v>
      </c>
      <c r="D1635" s="1">
        <f>IFERROR(__xludf.DUMMYFUNCTION("""COMPUTED_VALUE"""),5290.0)</f>
        <v>5290</v>
      </c>
      <c r="E1635" s="1">
        <f>IFERROR(__xludf.DUMMYFUNCTION("""COMPUTED_VALUE"""),5360.0)</f>
        <v>5360</v>
      </c>
      <c r="F1635" s="1">
        <f>IFERROR(__xludf.DUMMYFUNCTION("""COMPUTED_VALUE"""),1031145.0)</f>
        <v>1031145</v>
      </c>
    </row>
    <row r="1636">
      <c r="A1636" s="2">
        <f>IFERROR(__xludf.DUMMYFUNCTION("""COMPUTED_VALUE"""),44420.64583333333)</f>
        <v>44420.64583</v>
      </c>
      <c r="B1636" s="1">
        <f>IFERROR(__xludf.DUMMYFUNCTION("""COMPUTED_VALUE"""),5360.0)</f>
        <v>5360</v>
      </c>
      <c r="C1636" s="1">
        <f>IFERROR(__xludf.DUMMYFUNCTION("""COMPUTED_VALUE"""),5390.0)</f>
        <v>5390</v>
      </c>
      <c r="D1636" s="1">
        <f>IFERROR(__xludf.DUMMYFUNCTION("""COMPUTED_VALUE"""),5250.0)</f>
        <v>5250</v>
      </c>
      <c r="E1636" s="1">
        <f>IFERROR(__xludf.DUMMYFUNCTION("""COMPUTED_VALUE"""),5270.0)</f>
        <v>5270</v>
      </c>
      <c r="F1636" s="1">
        <f>IFERROR(__xludf.DUMMYFUNCTION("""COMPUTED_VALUE"""),685691.0)</f>
        <v>685691</v>
      </c>
    </row>
    <row r="1637">
      <c r="A1637" s="2">
        <f>IFERROR(__xludf.DUMMYFUNCTION("""COMPUTED_VALUE"""),44421.64583333333)</f>
        <v>44421.64583</v>
      </c>
      <c r="B1637" s="1">
        <f>IFERROR(__xludf.DUMMYFUNCTION("""COMPUTED_VALUE"""),5280.0)</f>
        <v>5280</v>
      </c>
      <c r="C1637" s="1">
        <f>IFERROR(__xludf.DUMMYFUNCTION("""COMPUTED_VALUE"""),5300.0)</f>
        <v>5300</v>
      </c>
      <c r="D1637" s="1">
        <f>IFERROR(__xludf.DUMMYFUNCTION("""COMPUTED_VALUE"""),5090.0)</f>
        <v>5090</v>
      </c>
      <c r="E1637" s="1">
        <f>IFERROR(__xludf.DUMMYFUNCTION("""COMPUTED_VALUE"""),5280.0)</f>
        <v>5280</v>
      </c>
      <c r="F1637" s="1">
        <f>IFERROR(__xludf.DUMMYFUNCTION("""COMPUTED_VALUE"""),945418.0)</f>
        <v>945418</v>
      </c>
    </row>
    <row r="1638">
      <c r="A1638" s="2">
        <f>IFERROR(__xludf.DUMMYFUNCTION("""COMPUTED_VALUE"""),44425.64583333333)</f>
        <v>44425.64583</v>
      </c>
      <c r="B1638" s="1">
        <f>IFERROR(__xludf.DUMMYFUNCTION("""COMPUTED_VALUE"""),5300.0)</f>
        <v>5300</v>
      </c>
      <c r="C1638" s="1">
        <f>IFERROR(__xludf.DUMMYFUNCTION("""COMPUTED_VALUE"""),5310.0)</f>
        <v>5310</v>
      </c>
      <c r="D1638" s="1">
        <f>IFERROR(__xludf.DUMMYFUNCTION("""COMPUTED_VALUE"""),5090.0)</f>
        <v>5090</v>
      </c>
      <c r="E1638" s="1">
        <f>IFERROR(__xludf.DUMMYFUNCTION("""COMPUTED_VALUE"""),5150.0)</f>
        <v>5150</v>
      </c>
      <c r="F1638" s="1">
        <f>IFERROR(__xludf.DUMMYFUNCTION("""COMPUTED_VALUE"""),776254.0)</f>
        <v>776254</v>
      </c>
    </row>
    <row r="1639">
      <c r="A1639" s="2">
        <f>IFERROR(__xludf.DUMMYFUNCTION("""COMPUTED_VALUE"""),44426.64583333333)</f>
        <v>44426.64583</v>
      </c>
      <c r="B1639" s="1">
        <f>IFERROR(__xludf.DUMMYFUNCTION("""COMPUTED_VALUE"""),5050.0)</f>
        <v>5050</v>
      </c>
      <c r="C1639" s="1">
        <f>IFERROR(__xludf.DUMMYFUNCTION("""COMPUTED_VALUE"""),5190.0)</f>
        <v>5190</v>
      </c>
      <c r="D1639" s="1">
        <f>IFERROR(__xludf.DUMMYFUNCTION("""COMPUTED_VALUE"""),4995.0)</f>
        <v>4995</v>
      </c>
      <c r="E1639" s="1">
        <f>IFERROR(__xludf.DUMMYFUNCTION("""COMPUTED_VALUE"""),5150.0)</f>
        <v>5150</v>
      </c>
      <c r="F1639" s="1">
        <f>IFERROR(__xludf.DUMMYFUNCTION("""COMPUTED_VALUE"""),705083.0)</f>
        <v>705083</v>
      </c>
    </row>
    <row r="1640">
      <c r="A1640" s="2">
        <f>IFERROR(__xludf.DUMMYFUNCTION("""COMPUTED_VALUE"""),44427.64583333333)</f>
        <v>44427.64583</v>
      </c>
      <c r="B1640" s="1">
        <f>IFERROR(__xludf.DUMMYFUNCTION("""COMPUTED_VALUE"""),5100.0)</f>
        <v>5100</v>
      </c>
      <c r="C1640" s="1">
        <f>IFERROR(__xludf.DUMMYFUNCTION("""COMPUTED_VALUE"""),5680.0)</f>
        <v>5680</v>
      </c>
      <c r="D1640" s="1">
        <f>IFERROR(__xludf.DUMMYFUNCTION("""COMPUTED_VALUE"""),5050.0)</f>
        <v>5050</v>
      </c>
      <c r="E1640" s="1">
        <f>IFERROR(__xludf.DUMMYFUNCTION("""COMPUTED_VALUE"""),5230.0)</f>
        <v>5230</v>
      </c>
      <c r="F1640" s="1">
        <f>IFERROR(__xludf.DUMMYFUNCTION("""COMPUTED_VALUE"""),5192129.0)</f>
        <v>5192129</v>
      </c>
    </row>
    <row r="1641">
      <c r="A1641" s="2">
        <f>IFERROR(__xludf.DUMMYFUNCTION("""COMPUTED_VALUE"""),44428.64583333333)</f>
        <v>44428.64583</v>
      </c>
      <c r="B1641" s="1">
        <f>IFERROR(__xludf.DUMMYFUNCTION("""COMPUTED_VALUE"""),5300.0)</f>
        <v>5300</v>
      </c>
      <c r="C1641" s="1">
        <f>IFERROR(__xludf.DUMMYFUNCTION("""COMPUTED_VALUE"""),5390.0)</f>
        <v>5390</v>
      </c>
      <c r="D1641" s="1">
        <f>IFERROR(__xludf.DUMMYFUNCTION("""COMPUTED_VALUE"""),5050.0)</f>
        <v>5050</v>
      </c>
      <c r="E1641" s="1">
        <f>IFERROR(__xludf.DUMMYFUNCTION("""COMPUTED_VALUE"""),5100.0)</f>
        <v>5100</v>
      </c>
      <c r="F1641" s="1">
        <f>IFERROR(__xludf.DUMMYFUNCTION("""COMPUTED_VALUE"""),1598849.0)</f>
        <v>1598849</v>
      </c>
    </row>
    <row r="1642">
      <c r="A1642" s="2">
        <f>IFERROR(__xludf.DUMMYFUNCTION("""COMPUTED_VALUE"""),44431.64583333333)</f>
        <v>44431.64583</v>
      </c>
      <c r="B1642" s="1">
        <f>IFERROR(__xludf.DUMMYFUNCTION("""COMPUTED_VALUE"""),5090.0)</f>
        <v>5090</v>
      </c>
      <c r="C1642" s="1">
        <f>IFERROR(__xludf.DUMMYFUNCTION("""COMPUTED_VALUE"""),5210.0)</f>
        <v>5210</v>
      </c>
      <c r="D1642" s="1">
        <f>IFERROR(__xludf.DUMMYFUNCTION("""COMPUTED_VALUE"""),5080.0)</f>
        <v>5080</v>
      </c>
      <c r="E1642" s="1">
        <f>IFERROR(__xludf.DUMMYFUNCTION("""COMPUTED_VALUE"""),5170.0)</f>
        <v>5170</v>
      </c>
      <c r="F1642" s="1">
        <f>IFERROR(__xludf.DUMMYFUNCTION("""COMPUTED_VALUE"""),882593.0)</f>
        <v>882593</v>
      </c>
    </row>
    <row r="1643">
      <c r="A1643" s="2">
        <f>IFERROR(__xludf.DUMMYFUNCTION("""COMPUTED_VALUE"""),44432.64583333333)</f>
        <v>44432.64583</v>
      </c>
      <c r="B1643" s="1">
        <f>IFERROR(__xludf.DUMMYFUNCTION("""COMPUTED_VALUE"""),5170.0)</f>
        <v>5170</v>
      </c>
      <c r="C1643" s="1">
        <f>IFERROR(__xludf.DUMMYFUNCTION("""COMPUTED_VALUE"""),5280.0)</f>
        <v>5280</v>
      </c>
      <c r="D1643" s="1">
        <f>IFERROR(__xludf.DUMMYFUNCTION("""COMPUTED_VALUE"""),5170.0)</f>
        <v>5170</v>
      </c>
      <c r="E1643" s="1">
        <f>IFERROR(__xludf.DUMMYFUNCTION("""COMPUTED_VALUE"""),5240.0)</f>
        <v>5240</v>
      </c>
      <c r="F1643" s="1">
        <f>IFERROR(__xludf.DUMMYFUNCTION("""COMPUTED_VALUE"""),702873.0)</f>
        <v>702873</v>
      </c>
    </row>
    <row r="1644">
      <c r="A1644" s="2">
        <f>IFERROR(__xludf.DUMMYFUNCTION("""COMPUTED_VALUE"""),44433.64583333333)</f>
        <v>44433.64583</v>
      </c>
      <c r="B1644" s="1">
        <f>IFERROR(__xludf.DUMMYFUNCTION("""COMPUTED_VALUE"""),5270.0)</f>
        <v>5270</v>
      </c>
      <c r="C1644" s="1">
        <f>IFERROR(__xludf.DUMMYFUNCTION("""COMPUTED_VALUE"""),5320.0)</f>
        <v>5320</v>
      </c>
      <c r="D1644" s="1">
        <f>IFERROR(__xludf.DUMMYFUNCTION("""COMPUTED_VALUE"""),5160.0)</f>
        <v>5160</v>
      </c>
      <c r="E1644" s="1">
        <f>IFERROR(__xludf.DUMMYFUNCTION("""COMPUTED_VALUE"""),5160.0)</f>
        <v>5160</v>
      </c>
      <c r="F1644" s="1">
        <f>IFERROR(__xludf.DUMMYFUNCTION("""COMPUTED_VALUE"""),580676.0)</f>
        <v>580676</v>
      </c>
    </row>
    <row r="1645">
      <c r="A1645" s="2">
        <f>IFERROR(__xludf.DUMMYFUNCTION("""COMPUTED_VALUE"""),44434.64583333333)</f>
        <v>44434.64583</v>
      </c>
      <c r="B1645" s="1">
        <f>IFERROR(__xludf.DUMMYFUNCTION("""COMPUTED_VALUE"""),5200.0)</f>
        <v>5200</v>
      </c>
      <c r="C1645" s="1">
        <f>IFERROR(__xludf.DUMMYFUNCTION("""COMPUTED_VALUE"""),5300.0)</f>
        <v>5300</v>
      </c>
      <c r="D1645" s="1">
        <f>IFERROR(__xludf.DUMMYFUNCTION("""COMPUTED_VALUE"""),5150.0)</f>
        <v>5150</v>
      </c>
      <c r="E1645" s="1">
        <f>IFERROR(__xludf.DUMMYFUNCTION("""COMPUTED_VALUE"""),5250.0)</f>
        <v>5250</v>
      </c>
      <c r="F1645" s="1">
        <f>IFERROR(__xludf.DUMMYFUNCTION("""COMPUTED_VALUE"""),797475.0)</f>
        <v>797475</v>
      </c>
    </row>
    <row r="1646">
      <c r="A1646" s="2">
        <f>IFERROR(__xludf.DUMMYFUNCTION("""COMPUTED_VALUE"""),44435.64583333333)</f>
        <v>44435.64583</v>
      </c>
      <c r="B1646" s="1">
        <f>IFERROR(__xludf.DUMMYFUNCTION("""COMPUTED_VALUE"""),5180.0)</f>
        <v>5180</v>
      </c>
      <c r="C1646" s="1">
        <f>IFERROR(__xludf.DUMMYFUNCTION("""COMPUTED_VALUE"""),5270.0)</f>
        <v>5270</v>
      </c>
      <c r="D1646" s="1">
        <f>IFERROR(__xludf.DUMMYFUNCTION("""COMPUTED_VALUE"""),5160.0)</f>
        <v>5160</v>
      </c>
      <c r="E1646" s="1">
        <f>IFERROR(__xludf.DUMMYFUNCTION("""COMPUTED_VALUE"""),5180.0)</f>
        <v>5180</v>
      </c>
      <c r="F1646" s="1">
        <f>IFERROR(__xludf.DUMMYFUNCTION("""COMPUTED_VALUE"""),504361.0)</f>
        <v>504361</v>
      </c>
    </row>
    <row r="1647">
      <c r="A1647" s="2">
        <f>IFERROR(__xludf.DUMMYFUNCTION("""COMPUTED_VALUE"""),44438.64583333333)</f>
        <v>44438.64583</v>
      </c>
      <c r="B1647" s="1">
        <f>IFERROR(__xludf.DUMMYFUNCTION("""COMPUTED_VALUE"""),5200.0)</f>
        <v>5200</v>
      </c>
      <c r="C1647" s="1">
        <f>IFERROR(__xludf.DUMMYFUNCTION("""COMPUTED_VALUE"""),5230.0)</f>
        <v>5230</v>
      </c>
      <c r="D1647" s="1">
        <f>IFERROR(__xludf.DUMMYFUNCTION("""COMPUTED_VALUE"""),5110.0)</f>
        <v>5110</v>
      </c>
      <c r="E1647" s="1">
        <f>IFERROR(__xludf.DUMMYFUNCTION("""COMPUTED_VALUE"""),5150.0)</f>
        <v>5150</v>
      </c>
      <c r="F1647" s="1">
        <f>IFERROR(__xludf.DUMMYFUNCTION("""COMPUTED_VALUE"""),468916.0)</f>
        <v>468916</v>
      </c>
    </row>
    <row r="1648">
      <c r="A1648" s="2">
        <f>IFERROR(__xludf.DUMMYFUNCTION("""COMPUTED_VALUE"""),44439.64583333333)</f>
        <v>44439.64583</v>
      </c>
      <c r="B1648" s="1">
        <f>IFERROR(__xludf.DUMMYFUNCTION("""COMPUTED_VALUE"""),5150.0)</f>
        <v>5150</v>
      </c>
      <c r="C1648" s="1">
        <f>IFERROR(__xludf.DUMMYFUNCTION("""COMPUTED_VALUE"""),5170.0)</f>
        <v>5170</v>
      </c>
      <c r="D1648" s="1">
        <f>IFERROR(__xludf.DUMMYFUNCTION("""COMPUTED_VALUE"""),5090.0)</f>
        <v>5090</v>
      </c>
      <c r="E1648" s="1">
        <f>IFERROR(__xludf.DUMMYFUNCTION("""COMPUTED_VALUE"""),5130.0)</f>
        <v>5130</v>
      </c>
      <c r="F1648" s="1">
        <f>IFERROR(__xludf.DUMMYFUNCTION("""COMPUTED_VALUE"""),411514.0)</f>
        <v>411514</v>
      </c>
    </row>
    <row r="1649">
      <c r="A1649" s="2">
        <f>IFERROR(__xludf.DUMMYFUNCTION("""COMPUTED_VALUE"""),44440.64583333333)</f>
        <v>44440.64583</v>
      </c>
      <c r="B1649" s="1">
        <f>IFERROR(__xludf.DUMMYFUNCTION("""COMPUTED_VALUE"""),5240.0)</f>
        <v>5240</v>
      </c>
      <c r="C1649" s="1">
        <f>IFERROR(__xludf.DUMMYFUNCTION("""COMPUTED_VALUE"""),5370.0)</f>
        <v>5370</v>
      </c>
      <c r="D1649" s="1">
        <f>IFERROR(__xludf.DUMMYFUNCTION("""COMPUTED_VALUE"""),5210.0)</f>
        <v>5210</v>
      </c>
      <c r="E1649" s="1">
        <f>IFERROR(__xludf.DUMMYFUNCTION("""COMPUTED_VALUE"""),5310.0)</f>
        <v>5310</v>
      </c>
      <c r="F1649" s="1">
        <f>IFERROR(__xludf.DUMMYFUNCTION("""COMPUTED_VALUE"""),1853310.0)</f>
        <v>1853310</v>
      </c>
    </row>
    <row r="1650">
      <c r="A1650" s="2">
        <f>IFERROR(__xludf.DUMMYFUNCTION("""COMPUTED_VALUE"""),44441.64583333333)</f>
        <v>44441.64583</v>
      </c>
      <c r="B1650" s="1">
        <f>IFERROR(__xludf.DUMMYFUNCTION("""COMPUTED_VALUE"""),5310.0)</f>
        <v>5310</v>
      </c>
      <c r="C1650" s="1">
        <f>IFERROR(__xludf.DUMMYFUNCTION("""COMPUTED_VALUE"""),5360.0)</f>
        <v>5360</v>
      </c>
      <c r="D1650" s="1">
        <f>IFERROR(__xludf.DUMMYFUNCTION("""COMPUTED_VALUE"""),5250.0)</f>
        <v>5250</v>
      </c>
      <c r="E1650" s="1">
        <f>IFERROR(__xludf.DUMMYFUNCTION("""COMPUTED_VALUE"""),5290.0)</f>
        <v>5290</v>
      </c>
      <c r="F1650" s="1">
        <f>IFERROR(__xludf.DUMMYFUNCTION("""COMPUTED_VALUE"""),676740.0)</f>
        <v>676740</v>
      </c>
    </row>
    <row r="1651">
      <c r="A1651" s="2">
        <f>IFERROR(__xludf.DUMMYFUNCTION("""COMPUTED_VALUE"""),44442.64583333333)</f>
        <v>44442.64583</v>
      </c>
      <c r="B1651" s="1">
        <f>IFERROR(__xludf.DUMMYFUNCTION("""COMPUTED_VALUE"""),5290.0)</f>
        <v>5290</v>
      </c>
      <c r="C1651" s="1">
        <f>IFERROR(__xludf.DUMMYFUNCTION("""COMPUTED_VALUE"""),5370.0)</f>
        <v>5370</v>
      </c>
      <c r="D1651" s="1">
        <f>IFERROR(__xludf.DUMMYFUNCTION("""COMPUTED_VALUE"""),5280.0)</f>
        <v>5280</v>
      </c>
      <c r="E1651" s="1">
        <f>IFERROR(__xludf.DUMMYFUNCTION("""COMPUTED_VALUE"""),5340.0)</f>
        <v>5340</v>
      </c>
      <c r="F1651" s="1">
        <f>IFERROR(__xludf.DUMMYFUNCTION("""COMPUTED_VALUE"""),697113.0)</f>
        <v>697113</v>
      </c>
    </row>
    <row r="1652">
      <c r="A1652" s="2">
        <f>IFERROR(__xludf.DUMMYFUNCTION("""COMPUTED_VALUE"""),44445.64583333333)</f>
        <v>44445.64583</v>
      </c>
      <c r="B1652" s="1">
        <f>IFERROR(__xludf.DUMMYFUNCTION("""COMPUTED_VALUE"""),5350.0)</f>
        <v>5350</v>
      </c>
      <c r="C1652" s="1">
        <f>IFERROR(__xludf.DUMMYFUNCTION("""COMPUTED_VALUE"""),5390.0)</f>
        <v>5390</v>
      </c>
      <c r="D1652" s="1">
        <f>IFERROR(__xludf.DUMMYFUNCTION("""COMPUTED_VALUE"""),5290.0)</f>
        <v>5290</v>
      </c>
      <c r="E1652" s="1">
        <f>IFERROR(__xludf.DUMMYFUNCTION("""COMPUTED_VALUE"""),5320.0)</f>
        <v>5320</v>
      </c>
      <c r="F1652" s="1">
        <f>IFERROR(__xludf.DUMMYFUNCTION("""COMPUTED_VALUE"""),583947.0)</f>
        <v>583947</v>
      </c>
    </row>
    <row r="1653">
      <c r="A1653" s="2">
        <f>IFERROR(__xludf.DUMMYFUNCTION("""COMPUTED_VALUE"""),44446.64583333333)</f>
        <v>44446.64583</v>
      </c>
      <c r="B1653" s="1">
        <f>IFERROR(__xludf.DUMMYFUNCTION("""COMPUTED_VALUE"""),5270.0)</f>
        <v>5270</v>
      </c>
      <c r="C1653" s="1">
        <f>IFERROR(__xludf.DUMMYFUNCTION("""COMPUTED_VALUE"""),5400.0)</f>
        <v>5400</v>
      </c>
      <c r="D1653" s="1">
        <f>IFERROR(__xludf.DUMMYFUNCTION("""COMPUTED_VALUE"""),5270.0)</f>
        <v>5270</v>
      </c>
      <c r="E1653" s="1">
        <f>IFERROR(__xludf.DUMMYFUNCTION("""COMPUTED_VALUE"""),5280.0)</f>
        <v>5280</v>
      </c>
      <c r="F1653" s="1">
        <f>IFERROR(__xludf.DUMMYFUNCTION("""COMPUTED_VALUE"""),624235.0)</f>
        <v>624235</v>
      </c>
    </row>
    <row r="1654">
      <c r="A1654" s="2">
        <f>IFERROR(__xludf.DUMMYFUNCTION("""COMPUTED_VALUE"""),44447.64583333333)</f>
        <v>44447.64583</v>
      </c>
      <c r="B1654" s="1">
        <f>IFERROR(__xludf.DUMMYFUNCTION("""COMPUTED_VALUE"""),5230.0)</f>
        <v>5230</v>
      </c>
      <c r="C1654" s="1">
        <f>IFERROR(__xludf.DUMMYFUNCTION("""COMPUTED_VALUE"""),5260.0)</f>
        <v>5260</v>
      </c>
      <c r="D1654" s="1">
        <f>IFERROR(__xludf.DUMMYFUNCTION("""COMPUTED_VALUE"""),5110.0)</f>
        <v>5110</v>
      </c>
      <c r="E1654" s="1">
        <f>IFERROR(__xludf.DUMMYFUNCTION("""COMPUTED_VALUE"""),5110.0)</f>
        <v>5110</v>
      </c>
      <c r="F1654" s="1">
        <f>IFERROR(__xludf.DUMMYFUNCTION("""COMPUTED_VALUE"""),762885.0)</f>
        <v>762885</v>
      </c>
    </row>
    <row r="1655">
      <c r="A1655" s="2">
        <f>IFERROR(__xludf.DUMMYFUNCTION("""COMPUTED_VALUE"""),44448.64583333333)</f>
        <v>44448.64583</v>
      </c>
      <c r="B1655" s="1">
        <f>IFERROR(__xludf.DUMMYFUNCTION("""COMPUTED_VALUE"""),5040.0)</f>
        <v>5040</v>
      </c>
      <c r="C1655" s="1">
        <f>IFERROR(__xludf.DUMMYFUNCTION("""COMPUTED_VALUE"""),5150.0)</f>
        <v>5150</v>
      </c>
      <c r="D1655" s="1">
        <f>IFERROR(__xludf.DUMMYFUNCTION("""COMPUTED_VALUE"""),5040.0)</f>
        <v>5040</v>
      </c>
      <c r="E1655" s="1">
        <f>IFERROR(__xludf.DUMMYFUNCTION("""COMPUTED_VALUE"""),5130.0)</f>
        <v>5130</v>
      </c>
      <c r="F1655" s="1">
        <f>IFERROR(__xludf.DUMMYFUNCTION("""COMPUTED_VALUE"""),509256.0)</f>
        <v>509256</v>
      </c>
    </row>
    <row r="1656">
      <c r="A1656" s="2">
        <f>IFERROR(__xludf.DUMMYFUNCTION("""COMPUTED_VALUE"""),44449.64583333333)</f>
        <v>44449.64583</v>
      </c>
      <c r="B1656" s="1">
        <f>IFERROR(__xludf.DUMMYFUNCTION("""COMPUTED_VALUE"""),5090.0)</f>
        <v>5090</v>
      </c>
      <c r="C1656" s="1">
        <f>IFERROR(__xludf.DUMMYFUNCTION("""COMPUTED_VALUE"""),5150.0)</f>
        <v>5150</v>
      </c>
      <c r="D1656" s="1">
        <f>IFERROR(__xludf.DUMMYFUNCTION("""COMPUTED_VALUE"""),5040.0)</f>
        <v>5040</v>
      </c>
      <c r="E1656" s="1">
        <f>IFERROR(__xludf.DUMMYFUNCTION("""COMPUTED_VALUE"""),5120.0)</f>
        <v>5120</v>
      </c>
      <c r="F1656" s="1">
        <f>IFERROR(__xludf.DUMMYFUNCTION("""COMPUTED_VALUE"""),275524.0)</f>
        <v>275524</v>
      </c>
    </row>
    <row r="1657">
      <c r="A1657" s="2">
        <f>IFERROR(__xludf.DUMMYFUNCTION("""COMPUTED_VALUE"""),44452.64583333333)</f>
        <v>44452.64583</v>
      </c>
      <c r="B1657" s="1">
        <f>IFERROR(__xludf.DUMMYFUNCTION("""COMPUTED_VALUE"""),5120.0)</f>
        <v>5120</v>
      </c>
      <c r="C1657" s="1">
        <f>IFERROR(__xludf.DUMMYFUNCTION("""COMPUTED_VALUE"""),5170.0)</f>
        <v>5170</v>
      </c>
      <c r="D1657" s="1">
        <f>IFERROR(__xludf.DUMMYFUNCTION("""COMPUTED_VALUE"""),5060.0)</f>
        <v>5060</v>
      </c>
      <c r="E1657" s="1">
        <f>IFERROR(__xludf.DUMMYFUNCTION("""COMPUTED_VALUE"""),5100.0)</f>
        <v>5100</v>
      </c>
      <c r="F1657" s="1">
        <f>IFERROR(__xludf.DUMMYFUNCTION("""COMPUTED_VALUE"""),442220.0)</f>
        <v>442220</v>
      </c>
    </row>
    <row r="1658">
      <c r="A1658" s="2">
        <f>IFERROR(__xludf.DUMMYFUNCTION("""COMPUTED_VALUE"""),44453.64583333333)</f>
        <v>44453.64583</v>
      </c>
      <c r="B1658" s="1">
        <f>IFERROR(__xludf.DUMMYFUNCTION("""COMPUTED_VALUE"""),5120.0)</f>
        <v>5120</v>
      </c>
      <c r="C1658" s="1">
        <f>IFERROR(__xludf.DUMMYFUNCTION("""COMPUTED_VALUE"""),5170.0)</f>
        <v>5170</v>
      </c>
      <c r="D1658" s="1">
        <f>IFERROR(__xludf.DUMMYFUNCTION("""COMPUTED_VALUE"""),5080.0)</f>
        <v>5080</v>
      </c>
      <c r="E1658" s="1">
        <f>IFERROR(__xludf.DUMMYFUNCTION("""COMPUTED_VALUE"""),5150.0)</f>
        <v>5150</v>
      </c>
      <c r="F1658" s="1">
        <f>IFERROR(__xludf.DUMMYFUNCTION("""COMPUTED_VALUE"""),383665.0)</f>
        <v>383665</v>
      </c>
    </row>
    <row r="1659">
      <c r="A1659" s="2">
        <f>IFERROR(__xludf.DUMMYFUNCTION("""COMPUTED_VALUE"""),44454.64583333333)</f>
        <v>44454.64583</v>
      </c>
      <c r="B1659" s="1">
        <f>IFERROR(__xludf.DUMMYFUNCTION("""COMPUTED_VALUE"""),5280.0)</f>
        <v>5280</v>
      </c>
      <c r="C1659" s="1">
        <f>IFERROR(__xludf.DUMMYFUNCTION("""COMPUTED_VALUE"""),5360.0)</f>
        <v>5360</v>
      </c>
      <c r="D1659" s="1">
        <f>IFERROR(__xludf.DUMMYFUNCTION("""COMPUTED_VALUE"""),5140.0)</f>
        <v>5140</v>
      </c>
      <c r="E1659" s="1">
        <f>IFERROR(__xludf.DUMMYFUNCTION("""COMPUTED_VALUE"""),5160.0)</f>
        <v>5160</v>
      </c>
      <c r="F1659" s="1">
        <f>IFERROR(__xludf.DUMMYFUNCTION("""COMPUTED_VALUE"""),1143955.0)</f>
        <v>1143955</v>
      </c>
    </row>
    <row r="1660">
      <c r="A1660" s="2">
        <f>IFERROR(__xludf.DUMMYFUNCTION("""COMPUTED_VALUE"""),44455.64583333333)</f>
        <v>44455.64583</v>
      </c>
      <c r="B1660" s="1">
        <f>IFERROR(__xludf.DUMMYFUNCTION("""COMPUTED_VALUE"""),5210.0)</f>
        <v>5210</v>
      </c>
      <c r="C1660" s="1">
        <f>IFERROR(__xludf.DUMMYFUNCTION("""COMPUTED_VALUE"""),5210.0)</f>
        <v>5210</v>
      </c>
      <c r="D1660" s="1">
        <f>IFERROR(__xludf.DUMMYFUNCTION("""COMPUTED_VALUE"""),5110.0)</f>
        <v>5110</v>
      </c>
      <c r="E1660" s="1">
        <f>IFERROR(__xludf.DUMMYFUNCTION("""COMPUTED_VALUE"""),5170.0)</f>
        <v>5170</v>
      </c>
      <c r="F1660" s="1">
        <f>IFERROR(__xludf.DUMMYFUNCTION("""COMPUTED_VALUE"""),430523.0)</f>
        <v>430523</v>
      </c>
    </row>
    <row r="1661">
      <c r="A1661" s="2">
        <f>IFERROR(__xludf.DUMMYFUNCTION("""COMPUTED_VALUE"""),44456.64583333333)</f>
        <v>44456.64583</v>
      </c>
      <c r="B1661" s="1">
        <f>IFERROR(__xludf.DUMMYFUNCTION("""COMPUTED_VALUE"""),5150.0)</f>
        <v>5150</v>
      </c>
      <c r="C1661" s="1">
        <f>IFERROR(__xludf.DUMMYFUNCTION("""COMPUTED_VALUE"""),5180.0)</f>
        <v>5180</v>
      </c>
      <c r="D1661" s="1">
        <f>IFERROR(__xludf.DUMMYFUNCTION("""COMPUTED_VALUE"""),5100.0)</f>
        <v>5100</v>
      </c>
      <c r="E1661" s="1">
        <f>IFERROR(__xludf.DUMMYFUNCTION("""COMPUTED_VALUE"""),5100.0)</f>
        <v>5100</v>
      </c>
      <c r="F1661" s="1">
        <f>IFERROR(__xludf.DUMMYFUNCTION("""COMPUTED_VALUE"""),349520.0)</f>
        <v>349520</v>
      </c>
    </row>
    <row r="1662">
      <c r="A1662" s="2">
        <f>IFERROR(__xludf.DUMMYFUNCTION("""COMPUTED_VALUE"""),44462.64583333333)</f>
        <v>44462.64583</v>
      </c>
      <c r="B1662" s="1">
        <f>IFERROR(__xludf.DUMMYFUNCTION("""COMPUTED_VALUE"""),5040.0)</f>
        <v>5040</v>
      </c>
      <c r="C1662" s="1">
        <f>IFERROR(__xludf.DUMMYFUNCTION("""COMPUTED_VALUE"""),5100.0)</f>
        <v>5100</v>
      </c>
      <c r="D1662" s="1">
        <f>IFERROR(__xludf.DUMMYFUNCTION("""COMPUTED_VALUE"""),4940.0)</f>
        <v>4940</v>
      </c>
      <c r="E1662" s="1">
        <f>IFERROR(__xludf.DUMMYFUNCTION("""COMPUTED_VALUE"""),4940.0)</f>
        <v>4940</v>
      </c>
      <c r="F1662" s="1">
        <f>IFERROR(__xludf.DUMMYFUNCTION("""COMPUTED_VALUE"""),708667.0)</f>
        <v>708667</v>
      </c>
    </row>
    <row r="1663">
      <c r="A1663" s="2">
        <f>IFERROR(__xludf.DUMMYFUNCTION("""COMPUTED_VALUE"""),44463.64583333333)</f>
        <v>44463.64583</v>
      </c>
      <c r="B1663" s="1">
        <f>IFERROR(__xludf.DUMMYFUNCTION("""COMPUTED_VALUE"""),4940.0)</f>
        <v>4940</v>
      </c>
      <c r="C1663" s="1">
        <f>IFERROR(__xludf.DUMMYFUNCTION("""COMPUTED_VALUE"""),5020.0)</f>
        <v>5020</v>
      </c>
      <c r="D1663" s="1">
        <f>IFERROR(__xludf.DUMMYFUNCTION("""COMPUTED_VALUE"""),4805.0)</f>
        <v>4805</v>
      </c>
      <c r="E1663" s="1">
        <f>IFERROR(__xludf.DUMMYFUNCTION("""COMPUTED_VALUE"""),4805.0)</f>
        <v>4805</v>
      </c>
      <c r="F1663" s="1">
        <f>IFERROR(__xludf.DUMMYFUNCTION("""COMPUTED_VALUE"""),696845.0)</f>
        <v>696845</v>
      </c>
    </row>
    <row r="1664">
      <c r="A1664" s="2">
        <f>IFERROR(__xludf.DUMMYFUNCTION("""COMPUTED_VALUE"""),44466.64583333333)</f>
        <v>44466.64583</v>
      </c>
      <c r="B1664" s="1">
        <f>IFERROR(__xludf.DUMMYFUNCTION("""COMPUTED_VALUE"""),4750.0)</f>
        <v>4750</v>
      </c>
      <c r="C1664" s="1">
        <f>IFERROR(__xludf.DUMMYFUNCTION("""COMPUTED_VALUE"""),4900.0)</f>
        <v>4900</v>
      </c>
      <c r="D1664" s="1">
        <f>IFERROR(__xludf.DUMMYFUNCTION("""COMPUTED_VALUE"""),4650.0)</f>
        <v>4650</v>
      </c>
      <c r="E1664" s="1">
        <f>IFERROR(__xludf.DUMMYFUNCTION("""COMPUTED_VALUE"""),4805.0)</f>
        <v>4805</v>
      </c>
      <c r="F1664" s="1">
        <f>IFERROR(__xludf.DUMMYFUNCTION("""COMPUTED_VALUE"""),842567.0)</f>
        <v>842567</v>
      </c>
    </row>
    <row r="1665">
      <c r="A1665" s="2">
        <f>IFERROR(__xludf.DUMMYFUNCTION("""COMPUTED_VALUE"""),44467.64583333333)</f>
        <v>44467.64583</v>
      </c>
      <c r="B1665" s="1">
        <f>IFERROR(__xludf.DUMMYFUNCTION("""COMPUTED_VALUE"""),4900.0)</f>
        <v>4900</v>
      </c>
      <c r="C1665" s="1">
        <f>IFERROR(__xludf.DUMMYFUNCTION("""COMPUTED_VALUE"""),4940.0)</f>
        <v>4940</v>
      </c>
      <c r="D1665" s="1">
        <f>IFERROR(__xludf.DUMMYFUNCTION("""COMPUTED_VALUE"""),4805.0)</f>
        <v>4805</v>
      </c>
      <c r="E1665" s="1">
        <f>IFERROR(__xludf.DUMMYFUNCTION("""COMPUTED_VALUE"""),4815.0)</f>
        <v>4815</v>
      </c>
      <c r="F1665" s="1">
        <f>IFERROR(__xludf.DUMMYFUNCTION("""COMPUTED_VALUE"""),615508.0)</f>
        <v>615508</v>
      </c>
    </row>
    <row r="1666">
      <c r="A1666" s="2">
        <f>IFERROR(__xludf.DUMMYFUNCTION("""COMPUTED_VALUE"""),44468.64583333333)</f>
        <v>44468.64583</v>
      </c>
      <c r="B1666" s="1">
        <f>IFERROR(__xludf.DUMMYFUNCTION("""COMPUTED_VALUE"""),4670.0)</f>
        <v>4670</v>
      </c>
      <c r="C1666" s="1">
        <f>IFERROR(__xludf.DUMMYFUNCTION("""COMPUTED_VALUE"""),5070.0)</f>
        <v>5070</v>
      </c>
      <c r="D1666" s="1">
        <f>IFERROR(__xludf.DUMMYFUNCTION("""COMPUTED_VALUE"""),4630.0)</f>
        <v>4630</v>
      </c>
      <c r="E1666" s="1">
        <f>IFERROR(__xludf.DUMMYFUNCTION("""COMPUTED_VALUE"""),4860.0)</f>
        <v>4860</v>
      </c>
      <c r="F1666" s="1">
        <f>IFERROR(__xludf.DUMMYFUNCTION("""COMPUTED_VALUE"""),2727572.0)</f>
        <v>2727572</v>
      </c>
    </row>
    <row r="1667">
      <c r="A1667" s="2">
        <f>IFERROR(__xludf.DUMMYFUNCTION("""COMPUTED_VALUE"""),44469.64583333333)</f>
        <v>44469.64583</v>
      </c>
      <c r="B1667" s="1">
        <f>IFERROR(__xludf.DUMMYFUNCTION("""COMPUTED_VALUE"""),4830.0)</f>
        <v>4830</v>
      </c>
      <c r="C1667" s="1">
        <f>IFERROR(__xludf.DUMMYFUNCTION("""COMPUTED_VALUE"""),4905.0)</f>
        <v>4905</v>
      </c>
      <c r="D1667" s="1">
        <f>IFERROR(__xludf.DUMMYFUNCTION("""COMPUTED_VALUE"""),4800.0)</f>
        <v>4800</v>
      </c>
      <c r="E1667" s="1">
        <f>IFERROR(__xludf.DUMMYFUNCTION("""COMPUTED_VALUE"""),4870.0)</f>
        <v>4870</v>
      </c>
      <c r="F1667" s="1">
        <f>IFERROR(__xludf.DUMMYFUNCTION("""COMPUTED_VALUE"""),501474.0)</f>
        <v>501474</v>
      </c>
    </row>
    <row r="1668">
      <c r="A1668" s="2">
        <f>IFERROR(__xludf.DUMMYFUNCTION("""COMPUTED_VALUE"""),44470.64583333333)</f>
        <v>44470.64583</v>
      </c>
      <c r="B1668" s="1">
        <f>IFERROR(__xludf.DUMMYFUNCTION("""COMPUTED_VALUE"""),4800.0)</f>
        <v>4800</v>
      </c>
      <c r="C1668" s="1">
        <f>IFERROR(__xludf.DUMMYFUNCTION("""COMPUTED_VALUE"""),4860.0)</f>
        <v>4860</v>
      </c>
      <c r="D1668" s="1">
        <f>IFERROR(__xludf.DUMMYFUNCTION("""COMPUTED_VALUE"""),4695.0)</f>
        <v>4695</v>
      </c>
      <c r="E1668" s="1">
        <f>IFERROR(__xludf.DUMMYFUNCTION("""COMPUTED_VALUE"""),4720.0)</f>
        <v>4720</v>
      </c>
      <c r="F1668" s="1">
        <f>IFERROR(__xludf.DUMMYFUNCTION("""COMPUTED_VALUE"""),503460.0)</f>
        <v>503460</v>
      </c>
    </row>
    <row r="1669">
      <c r="A1669" s="2">
        <f>IFERROR(__xludf.DUMMYFUNCTION("""COMPUTED_VALUE"""),44474.64583333333)</f>
        <v>44474.64583</v>
      </c>
      <c r="B1669" s="1">
        <f>IFERROR(__xludf.DUMMYFUNCTION("""COMPUTED_VALUE"""),4610.0)</f>
        <v>4610</v>
      </c>
      <c r="C1669" s="1">
        <f>IFERROR(__xludf.DUMMYFUNCTION("""COMPUTED_VALUE"""),4685.0)</f>
        <v>4685</v>
      </c>
      <c r="D1669" s="1">
        <f>IFERROR(__xludf.DUMMYFUNCTION("""COMPUTED_VALUE"""),4260.0)</f>
        <v>4260</v>
      </c>
      <c r="E1669" s="1">
        <f>IFERROR(__xludf.DUMMYFUNCTION("""COMPUTED_VALUE"""),4330.0)</f>
        <v>4330</v>
      </c>
      <c r="F1669" s="1">
        <f>IFERROR(__xludf.DUMMYFUNCTION("""COMPUTED_VALUE"""),931127.0)</f>
        <v>931127</v>
      </c>
    </row>
    <row r="1670">
      <c r="A1670" s="2">
        <f>IFERROR(__xludf.DUMMYFUNCTION("""COMPUTED_VALUE"""),44475.64583333333)</f>
        <v>44475.64583</v>
      </c>
      <c r="B1670" s="1">
        <f>IFERROR(__xludf.DUMMYFUNCTION("""COMPUTED_VALUE"""),4325.0)</f>
        <v>4325</v>
      </c>
      <c r="C1670" s="1">
        <f>IFERROR(__xludf.DUMMYFUNCTION("""COMPUTED_VALUE"""),4440.0)</f>
        <v>4440</v>
      </c>
      <c r="D1670" s="1">
        <f>IFERROR(__xludf.DUMMYFUNCTION("""COMPUTED_VALUE"""),4050.0)</f>
        <v>4050</v>
      </c>
      <c r="E1670" s="1">
        <f>IFERROR(__xludf.DUMMYFUNCTION("""COMPUTED_VALUE"""),4055.0)</f>
        <v>4055</v>
      </c>
      <c r="F1670" s="1">
        <f>IFERROR(__xludf.DUMMYFUNCTION("""COMPUTED_VALUE"""),1029376.0)</f>
        <v>1029376</v>
      </c>
    </row>
    <row r="1671">
      <c r="A1671" s="2">
        <f>IFERROR(__xludf.DUMMYFUNCTION("""COMPUTED_VALUE"""),44476.64583333333)</f>
        <v>44476.64583</v>
      </c>
      <c r="B1671" s="1">
        <f>IFERROR(__xludf.DUMMYFUNCTION("""COMPUTED_VALUE"""),4020.0)</f>
        <v>4020</v>
      </c>
      <c r="C1671" s="1">
        <f>IFERROR(__xludf.DUMMYFUNCTION("""COMPUTED_VALUE"""),4270.0)</f>
        <v>4270</v>
      </c>
      <c r="D1671" s="1">
        <f>IFERROR(__xludf.DUMMYFUNCTION("""COMPUTED_VALUE"""),4020.0)</f>
        <v>4020</v>
      </c>
      <c r="E1671" s="1">
        <f>IFERROR(__xludf.DUMMYFUNCTION("""COMPUTED_VALUE"""),4245.0)</f>
        <v>4245</v>
      </c>
      <c r="F1671" s="1">
        <f>IFERROR(__xludf.DUMMYFUNCTION("""COMPUTED_VALUE"""),579211.0)</f>
        <v>579211</v>
      </c>
    </row>
    <row r="1672">
      <c r="A1672" s="2">
        <f>IFERROR(__xludf.DUMMYFUNCTION("""COMPUTED_VALUE"""),44477.64583333333)</f>
        <v>44477.64583</v>
      </c>
      <c r="B1672" s="1">
        <f>IFERROR(__xludf.DUMMYFUNCTION("""COMPUTED_VALUE"""),4245.0)</f>
        <v>4245</v>
      </c>
      <c r="C1672" s="1">
        <f>IFERROR(__xludf.DUMMYFUNCTION("""COMPUTED_VALUE"""),4285.0)</f>
        <v>4285</v>
      </c>
      <c r="D1672" s="1">
        <f>IFERROR(__xludf.DUMMYFUNCTION("""COMPUTED_VALUE"""),4150.0)</f>
        <v>4150</v>
      </c>
      <c r="E1672" s="1">
        <f>IFERROR(__xludf.DUMMYFUNCTION("""COMPUTED_VALUE"""),4245.0)</f>
        <v>4245</v>
      </c>
      <c r="F1672" s="1">
        <f>IFERROR(__xludf.DUMMYFUNCTION("""COMPUTED_VALUE"""),278648.0)</f>
        <v>278648</v>
      </c>
    </row>
    <row r="1673">
      <c r="A1673" s="2">
        <f>IFERROR(__xludf.DUMMYFUNCTION("""COMPUTED_VALUE"""),44481.64583333333)</f>
        <v>44481.64583</v>
      </c>
      <c r="B1673" s="1">
        <f>IFERROR(__xludf.DUMMYFUNCTION("""COMPUTED_VALUE"""),4150.0)</f>
        <v>4150</v>
      </c>
      <c r="C1673" s="1">
        <f>IFERROR(__xludf.DUMMYFUNCTION("""COMPUTED_VALUE"""),4240.0)</f>
        <v>4240</v>
      </c>
      <c r="D1673" s="1">
        <f>IFERROR(__xludf.DUMMYFUNCTION("""COMPUTED_VALUE"""),4040.0)</f>
        <v>4040</v>
      </c>
      <c r="E1673" s="1">
        <f>IFERROR(__xludf.DUMMYFUNCTION("""COMPUTED_VALUE"""),4080.0)</f>
        <v>4080</v>
      </c>
      <c r="F1673" s="1">
        <f>IFERROR(__xludf.DUMMYFUNCTION("""COMPUTED_VALUE"""),383817.0)</f>
        <v>383817</v>
      </c>
    </row>
    <row r="1674">
      <c r="A1674" s="2">
        <f>IFERROR(__xludf.DUMMYFUNCTION("""COMPUTED_VALUE"""),44482.64583333333)</f>
        <v>44482.64583</v>
      </c>
      <c r="B1674" s="1">
        <f>IFERROR(__xludf.DUMMYFUNCTION("""COMPUTED_VALUE"""),4040.0)</f>
        <v>4040</v>
      </c>
      <c r="C1674" s="1">
        <f>IFERROR(__xludf.DUMMYFUNCTION("""COMPUTED_VALUE"""),4205.0)</f>
        <v>4205</v>
      </c>
      <c r="D1674" s="1">
        <f>IFERROR(__xludf.DUMMYFUNCTION("""COMPUTED_VALUE"""),4040.0)</f>
        <v>4040</v>
      </c>
      <c r="E1674" s="1">
        <f>IFERROR(__xludf.DUMMYFUNCTION("""COMPUTED_VALUE"""),4165.0)</f>
        <v>4165</v>
      </c>
      <c r="F1674" s="1">
        <f>IFERROR(__xludf.DUMMYFUNCTION("""COMPUTED_VALUE"""),335521.0)</f>
        <v>335521</v>
      </c>
    </row>
    <row r="1675">
      <c r="A1675" s="2">
        <f>IFERROR(__xludf.DUMMYFUNCTION("""COMPUTED_VALUE"""),44483.64583333333)</f>
        <v>44483.64583</v>
      </c>
      <c r="B1675" s="1">
        <f>IFERROR(__xludf.DUMMYFUNCTION("""COMPUTED_VALUE"""),4165.0)</f>
        <v>4165</v>
      </c>
      <c r="C1675" s="1">
        <f>IFERROR(__xludf.DUMMYFUNCTION("""COMPUTED_VALUE"""),4320.0)</f>
        <v>4320</v>
      </c>
      <c r="D1675" s="1">
        <f>IFERROR(__xludf.DUMMYFUNCTION("""COMPUTED_VALUE"""),4165.0)</f>
        <v>4165</v>
      </c>
      <c r="E1675" s="1">
        <f>IFERROR(__xludf.DUMMYFUNCTION("""COMPUTED_VALUE"""),4310.0)</f>
        <v>4310</v>
      </c>
      <c r="F1675" s="1">
        <f>IFERROR(__xludf.DUMMYFUNCTION("""COMPUTED_VALUE"""),350592.0)</f>
        <v>350592</v>
      </c>
    </row>
    <row r="1676">
      <c r="A1676" s="2">
        <f>IFERROR(__xludf.DUMMYFUNCTION("""COMPUTED_VALUE"""),44484.64583333333)</f>
        <v>44484.64583</v>
      </c>
      <c r="B1676" s="1">
        <f>IFERROR(__xludf.DUMMYFUNCTION("""COMPUTED_VALUE"""),4340.0)</f>
        <v>4340</v>
      </c>
      <c r="C1676" s="1">
        <f>IFERROR(__xludf.DUMMYFUNCTION("""COMPUTED_VALUE"""),4355.0)</f>
        <v>4355</v>
      </c>
      <c r="D1676" s="1">
        <f>IFERROR(__xludf.DUMMYFUNCTION("""COMPUTED_VALUE"""),4250.0)</f>
        <v>4250</v>
      </c>
      <c r="E1676" s="1">
        <f>IFERROR(__xludf.DUMMYFUNCTION("""COMPUTED_VALUE"""),4310.0)</f>
        <v>4310</v>
      </c>
      <c r="F1676" s="1">
        <f>IFERROR(__xludf.DUMMYFUNCTION("""COMPUTED_VALUE"""),300247.0)</f>
        <v>300247</v>
      </c>
    </row>
    <row r="1677">
      <c r="A1677" s="2">
        <f>IFERROR(__xludf.DUMMYFUNCTION("""COMPUTED_VALUE"""),44487.64583333333)</f>
        <v>44487.64583</v>
      </c>
      <c r="B1677" s="1">
        <f>IFERROR(__xludf.DUMMYFUNCTION("""COMPUTED_VALUE"""),4310.0)</f>
        <v>4310</v>
      </c>
      <c r="C1677" s="1">
        <f>IFERROR(__xludf.DUMMYFUNCTION("""COMPUTED_VALUE"""),4410.0)</f>
        <v>4410</v>
      </c>
      <c r="D1677" s="1">
        <f>IFERROR(__xludf.DUMMYFUNCTION("""COMPUTED_VALUE"""),4255.0)</f>
        <v>4255</v>
      </c>
      <c r="E1677" s="1">
        <f>IFERROR(__xludf.DUMMYFUNCTION("""COMPUTED_VALUE"""),4385.0)</f>
        <v>4385</v>
      </c>
      <c r="F1677" s="1">
        <f>IFERROR(__xludf.DUMMYFUNCTION("""COMPUTED_VALUE"""),370920.0)</f>
        <v>370920</v>
      </c>
    </row>
    <row r="1678">
      <c r="A1678" s="2">
        <f>IFERROR(__xludf.DUMMYFUNCTION("""COMPUTED_VALUE"""),44488.64583333333)</f>
        <v>44488.64583</v>
      </c>
      <c r="B1678" s="1">
        <f>IFERROR(__xludf.DUMMYFUNCTION("""COMPUTED_VALUE"""),4315.0)</f>
        <v>4315</v>
      </c>
      <c r="C1678" s="1">
        <f>IFERROR(__xludf.DUMMYFUNCTION("""COMPUTED_VALUE"""),4410.0)</f>
        <v>4410</v>
      </c>
      <c r="D1678" s="1">
        <f>IFERROR(__xludf.DUMMYFUNCTION("""COMPUTED_VALUE"""),4315.0)</f>
        <v>4315</v>
      </c>
      <c r="E1678" s="1">
        <f>IFERROR(__xludf.DUMMYFUNCTION("""COMPUTED_VALUE"""),4380.0)</f>
        <v>4380</v>
      </c>
      <c r="F1678" s="1">
        <f>IFERROR(__xludf.DUMMYFUNCTION("""COMPUTED_VALUE"""),247235.0)</f>
        <v>247235</v>
      </c>
    </row>
    <row r="1679">
      <c r="A1679" s="2">
        <f>IFERROR(__xludf.DUMMYFUNCTION("""COMPUTED_VALUE"""),44489.64583333333)</f>
        <v>44489.64583</v>
      </c>
      <c r="B1679" s="1">
        <f>IFERROR(__xludf.DUMMYFUNCTION("""COMPUTED_VALUE"""),4420.0)</f>
        <v>4420</v>
      </c>
      <c r="C1679" s="1">
        <f>IFERROR(__xludf.DUMMYFUNCTION("""COMPUTED_VALUE"""),4545.0)</f>
        <v>4545</v>
      </c>
      <c r="D1679" s="1">
        <f>IFERROR(__xludf.DUMMYFUNCTION("""COMPUTED_VALUE"""),4380.0)</f>
        <v>4380</v>
      </c>
      <c r="E1679" s="1">
        <f>IFERROR(__xludf.DUMMYFUNCTION("""COMPUTED_VALUE"""),4485.0)</f>
        <v>4485</v>
      </c>
      <c r="F1679" s="1">
        <f>IFERROR(__xludf.DUMMYFUNCTION("""COMPUTED_VALUE"""),742233.0)</f>
        <v>742233</v>
      </c>
    </row>
    <row r="1680">
      <c r="A1680" s="2">
        <f>IFERROR(__xludf.DUMMYFUNCTION("""COMPUTED_VALUE"""),44490.64583333333)</f>
        <v>44490.64583</v>
      </c>
      <c r="B1680" s="1">
        <f>IFERROR(__xludf.DUMMYFUNCTION("""COMPUTED_VALUE"""),4455.0)</f>
        <v>4455</v>
      </c>
      <c r="C1680" s="1">
        <f>IFERROR(__xludf.DUMMYFUNCTION("""COMPUTED_VALUE"""),4490.0)</f>
        <v>4490</v>
      </c>
      <c r="D1680" s="1">
        <f>IFERROR(__xludf.DUMMYFUNCTION("""COMPUTED_VALUE"""),4400.0)</f>
        <v>4400</v>
      </c>
      <c r="E1680" s="1">
        <f>IFERROR(__xludf.DUMMYFUNCTION("""COMPUTED_VALUE"""),4400.0)</f>
        <v>4400</v>
      </c>
      <c r="F1680" s="1">
        <f>IFERROR(__xludf.DUMMYFUNCTION("""COMPUTED_VALUE"""),309197.0)</f>
        <v>309197</v>
      </c>
    </row>
    <row r="1681">
      <c r="A1681" s="2">
        <f>IFERROR(__xludf.DUMMYFUNCTION("""COMPUTED_VALUE"""),44491.64583333333)</f>
        <v>44491.64583</v>
      </c>
      <c r="B1681" s="1">
        <f>IFERROR(__xludf.DUMMYFUNCTION("""COMPUTED_VALUE"""),4370.0)</f>
        <v>4370</v>
      </c>
      <c r="C1681" s="1">
        <f>IFERROR(__xludf.DUMMYFUNCTION("""COMPUTED_VALUE"""),4825.0)</f>
        <v>4825</v>
      </c>
      <c r="D1681" s="1">
        <f>IFERROR(__xludf.DUMMYFUNCTION("""COMPUTED_VALUE"""),4370.0)</f>
        <v>4370</v>
      </c>
      <c r="E1681" s="1">
        <f>IFERROR(__xludf.DUMMYFUNCTION("""COMPUTED_VALUE"""),4585.0)</f>
        <v>4585</v>
      </c>
      <c r="F1681" s="1">
        <f>IFERROR(__xludf.DUMMYFUNCTION("""COMPUTED_VALUE"""),2141395.0)</f>
        <v>2141395</v>
      </c>
    </row>
    <row r="1682">
      <c r="A1682" s="2">
        <f>IFERROR(__xludf.DUMMYFUNCTION("""COMPUTED_VALUE"""),44494.64583333333)</f>
        <v>44494.64583</v>
      </c>
      <c r="B1682" s="1">
        <f>IFERROR(__xludf.DUMMYFUNCTION("""COMPUTED_VALUE"""),4600.0)</f>
        <v>4600</v>
      </c>
      <c r="C1682" s="1">
        <f>IFERROR(__xludf.DUMMYFUNCTION("""COMPUTED_VALUE"""),4990.0)</f>
        <v>4990</v>
      </c>
      <c r="D1682" s="1">
        <f>IFERROR(__xludf.DUMMYFUNCTION("""COMPUTED_VALUE"""),4600.0)</f>
        <v>4600</v>
      </c>
      <c r="E1682" s="1">
        <f>IFERROR(__xludf.DUMMYFUNCTION("""COMPUTED_VALUE"""),4770.0)</f>
        <v>4770</v>
      </c>
      <c r="F1682" s="1">
        <f>IFERROR(__xludf.DUMMYFUNCTION("""COMPUTED_VALUE"""),4123743.0)</f>
        <v>4123743</v>
      </c>
    </row>
    <row r="1683">
      <c r="A1683" s="2">
        <f>IFERROR(__xludf.DUMMYFUNCTION("""COMPUTED_VALUE"""),44495.64583333333)</f>
        <v>44495.64583</v>
      </c>
      <c r="B1683" s="1">
        <f>IFERROR(__xludf.DUMMYFUNCTION("""COMPUTED_VALUE"""),4745.0)</f>
        <v>4745</v>
      </c>
      <c r="C1683" s="1">
        <f>IFERROR(__xludf.DUMMYFUNCTION("""COMPUTED_VALUE"""),4785.0)</f>
        <v>4785</v>
      </c>
      <c r="D1683" s="1">
        <f>IFERROR(__xludf.DUMMYFUNCTION("""COMPUTED_VALUE"""),4650.0)</f>
        <v>4650</v>
      </c>
      <c r="E1683" s="1">
        <f>IFERROR(__xludf.DUMMYFUNCTION("""COMPUTED_VALUE"""),4710.0)</f>
        <v>4710</v>
      </c>
      <c r="F1683" s="1">
        <f>IFERROR(__xludf.DUMMYFUNCTION("""COMPUTED_VALUE"""),482940.0)</f>
        <v>482940</v>
      </c>
    </row>
    <row r="1684">
      <c r="A1684" s="2">
        <f>IFERROR(__xludf.DUMMYFUNCTION("""COMPUTED_VALUE"""),44496.64583333333)</f>
        <v>44496.64583</v>
      </c>
      <c r="B1684" s="1">
        <f>IFERROR(__xludf.DUMMYFUNCTION("""COMPUTED_VALUE"""),4710.0)</f>
        <v>4710</v>
      </c>
      <c r="C1684" s="1">
        <f>IFERROR(__xludf.DUMMYFUNCTION("""COMPUTED_VALUE"""),4770.0)</f>
        <v>4770</v>
      </c>
      <c r="D1684" s="1">
        <f>IFERROR(__xludf.DUMMYFUNCTION("""COMPUTED_VALUE"""),4625.0)</f>
        <v>4625</v>
      </c>
      <c r="E1684" s="1">
        <f>IFERROR(__xludf.DUMMYFUNCTION("""COMPUTED_VALUE"""),4630.0)</f>
        <v>4630</v>
      </c>
      <c r="F1684" s="1">
        <f>IFERROR(__xludf.DUMMYFUNCTION("""COMPUTED_VALUE"""),588451.0)</f>
        <v>588451</v>
      </c>
    </row>
    <row r="1685">
      <c r="A1685" s="2">
        <f>IFERROR(__xludf.DUMMYFUNCTION("""COMPUTED_VALUE"""),44497.64583333333)</f>
        <v>44497.64583</v>
      </c>
      <c r="B1685" s="1">
        <f>IFERROR(__xludf.DUMMYFUNCTION("""COMPUTED_VALUE"""),4645.0)</f>
        <v>4645</v>
      </c>
      <c r="C1685" s="1">
        <f>IFERROR(__xludf.DUMMYFUNCTION("""COMPUTED_VALUE"""),4725.0)</f>
        <v>4725</v>
      </c>
      <c r="D1685" s="1">
        <f>IFERROR(__xludf.DUMMYFUNCTION("""COMPUTED_VALUE"""),4565.0)</f>
        <v>4565</v>
      </c>
      <c r="E1685" s="1">
        <f>IFERROR(__xludf.DUMMYFUNCTION("""COMPUTED_VALUE"""),4580.0)</f>
        <v>4580</v>
      </c>
      <c r="F1685" s="1">
        <f>IFERROR(__xludf.DUMMYFUNCTION("""COMPUTED_VALUE"""),355417.0)</f>
        <v>355417</v>
      </c>
    </row>
    <row r="1686">
      <c r="A1686" s="2">
        <f>IFERROR(__xludf.DUMMYFUNCTION("""COMPUTED_VALUE"""),44498.64583333333)</f>
        <v>44498.64583</v>
      </c>
      <c r="B1686" s="1">
        <f>IFERROR(__xludf.DUMMYFUNCTION("""COMPUTED_VALUE"""),4580.0)</f>
        <v>4580</v>
      </c>
      <c r="C1686" s="1">
        <f>IFERROR(__xludf.DUMMYFUNCTION("""COMPUTED_VALUE"""),4640.0)</f>
        <v>4640</v>
      </c>
      <c r="D1686" s="1">
        <f>IFERROR(__xludf.DUMMYFUNCTION("""COMPUTED_VALUE"""),4505.0)</f>
        <v>4505</v>
      </c>
      <c r="E1686" s="1">
        <f>IFERROR(__xludf.DUMMYFUNCTION("""COMPUTED_VALUE"""),4525.0)</f>
        <v>4525</v>
      </c>
      <c r="F1686" s="1">
        <f>IFERROR(__xludf.DUMMYFUNCTION("""COMPUTED_VALUE"""),252958.0)</f>
        <v>252958</v>
      </c>
    </row>
    <row r="1687">
      <c r="A1687" s="2">
        <f>IFERROR(__xludf.DUMMYFUNCTION("""COMPUTED_VALUE"""),44501.64583333333)</f>
        <v>44501.64583</v>
      </c>
      <c r="B1687" s="1">
        <f>IFERROR(__xludf.DUMMYFUNCTION("""COMPUTED_VALUE"""),4525.0)</f>
        <v>4525</v>
      </c>
      <c r="C1687" s="1">
        <f>IFERROR(__xludf.DUMMYFUNCTION("""COMPUTED_VALUE"""),4930.0)</f>
        <v>4930</v>
      </c>
      <c r="D1687" s="1">
        <f>IFERROR(__xludf.DUMMYFUNCTION("""COMPUTED_VALUE"""),4525.0)</f>
        <v>4525</v>
      </c>
      <c r="E1687" s="1">
        <f>IFERROR(__xludf.DUMMYFUNCTION("""COMPUTED_VALUE"""),4690.0)</f>
        <v>4690</v>
      </c>
      <c r="F1687" s="1">
        <f>IFERROR(__xludf.DUMMYFUNCTION("""COMPUTED_VALUE"""),1440388.0)</f>
        <v>1440388</v>
      </c>
    </row>
    <row r="1688">
      <c r="A1688" s="2">
        <f>IFERROR(__xludf.DUMMYFUNCTION("""COMPUTED_VALUE"""),44502.64583333333)</f>
        <v>44502.64583</v>
      </c>
      <c r="B1688" s="1">
        <f>IFERROR(__xludf.DUMMYFUNCTION("""COMPUTED_VALUE"""),4745.0)</f>
        <v>4745</v>
      </c>
      <c r="C1688" s="1">
        <f>IFERROR(__xludf.DUMMYFUNCTION("""COMPUTED_VALUE"""),4830.0)</f>
        <v>4830</v>
      </c>
      <c r="D1688" s="1">
        <f>IFERROR(__xludf.DUMMYFUNCTION("""COMPUTED_VALUE"""),4670.0)</f>
        <v>4670</v>
      </c>
      <c r="E1688" s="1">
        <f>IFERROR(__xludf.DUMMYFUNCTION("""COMPUTED_VALUE"""),4790.0)</f>
        <v>4790</v>
      </c>
      <c r="F1688" s="1">
        <f>IFERROR(__xludf.DUMMYFUNCTION("""COMPUTED_VALUE"""),1018698.0)</f>
        <v>1018698</v>
      </c>
    </row>
    <row r="1689">
      <c r="A1689" s="2">
        <f>IFERROR(__xludf.DUMMYFUNCTION("""COMPUTED_VALUE"""),44503.64583333333)</f>
        <v>44503.64583</v>
      </c>
      <c r="B1689" s="1">
        <f>IFERROR(__xludf.DUMMYFUNCTION("""COMPUTED_VALUE"""),4765.0)</f>
        <v>4765</v>
      </c>
      <c r="C1689" s="1">
        <f>IFERROR(__xludf.DUMMYFUNCTION("""COMPUTED_VALUE"""),4765.0)</f>
        <v>4765</v>
      </c>
      <c r="D1689" s="1">
        <f>IFERROR(__xludf.DUMMYFUNCTION("""COMPUTED_VALUE"""),4500.0)</f>
        <v>4500</v>
      </c>
      <c r="E1689" s="1">
        <f>IFERROR(__xludf.DUMMYFUNCTION("""COMPUTED_VALUE"""),4500.0)</f>
        <v>4500</v>
      </c>
      <c r="F1689" s="1">
        <f>IFERROR(__xludf.DUMMYFUNCTION("""COMPUTED_VALUE"""),1214433.0)</f>
        <v>1214433</v>
      </c>
    </row>
    <row r="1690">
      <c r="A1690" s="2">
        <f>IFERROR(__xludf.DUMMYFUNCTION("""COMPUTED_VALUE"""),44504.64583333333)</f>
        <v>44504.64583</v>
      </c>
      <c r="B1690" s="1">
        <f>IFERROR(__xludf.DUMMYFUNCTION("""COMPUTED_VALUE"""),4505.0)</f>
        <v>4505</v>
      </c>
      <c r="C1690" s="1">
        <f>IFERROR(__xludf.DUMMYFUNCTION("""COMPUTED_VALUE"""),4540.0)</f>
        <v>4540</v>
      </c>
      <c r="D1690" s="1">
        <f>IFERROR(__xludf.DUMMYFUNCTION("""COMPUTED_VALUE"""),4340.0)</f>
        <v>4340</v>
      </c>
      <c r="E1690" s="1">
        <f>IFERROR(__xludf.DUMMYFUNCTION("""COMPUTED_VALUE"""),4380.0)</f>
        <v>4380</v>
      </c>
      <c r="F1690" s="1">
        <f>IFERROR(__xludf.DUMMYFUNCTION("""COMPUTED_VALUE"""),528329.0)</f>
        <v>528329</v>
      </c>
    </row>
    <row r="1691">
      <c r="A1691" s="2">
        <f>IFERROR(__xludf.DUMMYFUNCTION("""COMPUTED_VALUE"""),44505.64583333333)</f>
        <v>44505.64583</v>
      </c>
      <c r="B1691" s="1">
        <f>IFERROR(__xludf.DUMMYFUNCTION("""COMPUTED_VALUE"""),4395.0)</f>
        <v>4395</v>
      </c>
      <c r="C1691" s="1">
        <f>IFERROR(__xludf.DUMMYFUNCTION("""COMPUTED_VALUE"""),4440.0)</f>
        <v>4440</v>
      </c>
      <c r="D1691" s="1">
        <f>IFERROR(__xludf.DUMMYFUNCTION("""COMPUTED_VALUE"""),4330.0)</f>
        <v>4330</v>
      </c>
      <c r="E1691" s="1">
        <f>IFERROR(__xludf.DUMMYFUNCTION("""COMPUTED_VALUE"""),4400.0)</f>
        <v>4400</v>
      </c>
      <c r="F1691" s="1">
        <f>IFERROR(__xludf.DUMMYFUNCTION("""COMPUTED_VALUE"""),232617.0)</f>
        <v>232617</v>
      </c>
    </row>
    <row r="1692">
      <c r="A1692" s="2">
        <f>IFERROR(__xludf.DUMMYFUNCTION("""COMPUTED_VALUE"""),44508.64583333333)</f>
        <v>44508.64583</v>
      </c>
      <c r="B1692" s="1">
        <f>IFERROR(__xludf.DUMMYFUNCTION("""COMPUTED_VALUE"""),4355.0)</f>
        <v>4355</v>
      </c>
      <c r="C1692" s="1">
        <f>IFERROR(__xludf.DUMMYFUNCTION("""COMPUTED_VALUE"""),4410.0)</f>
        <v>4410</v>
      </c>
      <c r="D1692" s="1">
        <f>IFERROR(__xludf.DUMMYFUNCTION("""COMPUTED_VALUE"""),4300.0)</f>
        <v>4300</v>
      </c>
      <c r="E1692" s="1">
        <f>IFERROR(__xludf.DUMMYFUNCTION("""COMPUTED_VALUE"""),4360.0)</f>
        <v>4360</v>
      </c>
      <c r="F1692" s="1">
        <f>IFERROR(__xludf.DUMMYFUNCTION("""COMPUTED_VALUE"""),315024.0)</f>
        <v>315024</v>
      </c>
    </row>
    <row r="1693">
      <c r="A1693" s="2">
        <f>IFERROR(__xludf.DUMMYFUNCTION("""COMPUTED_VALUE"""),44509.64583333333)</f>
        <v>44509.64583</v>
      </c>
      <c r="B1693" s="1">
        <f>IFERROR(__xludf.DUMMYFUNCTION("""COMPUTED_VALUE"""),4325.0)</f>
        <v>4325</v>
      </c>
      <c r="C1693" s="1">
        <f>IFERROR(__xludf.DUMMYFUNCTION("""COMPUTED_VALUE"""),4500.0)</f>
        <v>4500</v>
      </c>
      <c r="D1693" s="1">
        <f>IFERROR(__xludf.DUMMYFUNCTION("""COMPUTED_VALUE"""),4310.0)</f>
        <v>4310</v>
      </c>
      <c r="E1693" s="1">
        <f>IFERROR(__xludf.DUMMYFUNCTION("""COMPUTED_VALUE"""),4460.0)</f>
        <v>4460</v>
      </c>
      <c r="F1693" s="1">
        <f>IFERROR(__xludf.DUMMYFUNCTION("""COMPUTED_VALUE"""),505152.0)</f>
        <v>505152</v>
      </c>
    </row>
    <row r="1694">
      <c r="A1694" s="2">
        <f>IFERROR(__xludf.DUMMYFUNCTION("""COMPUTED_VALUE"""),44510.64583333333)</f>
        <v>44510.64583</v>
      </c>
      <c r="B1694" s="1">
        <f>IFERROR(__xludf.DUMMYFUNCTION("""COMPUTED_VALUE"""),4470.0)</f>
        <v>4470</v>
      </c>
      <c r="C1694" s="1">
        <f>IFERROR(__xludf.DUMMYFUNCTION("""COMPUTED_VALUE"""),4625.0)</f>
        <v>4625</v>
      </c>
      <c r="D1694" s="1">
        <f>IFERROR(__xludf.DUMMYFUNCTION("""COMPUTED_VALUE"""),4450.0)</f>
        <v>4450</v>
      </c>
      <c r="E1694" s="1">
        <f>IFERROR(__xludf.DUMMYFUNCTION("""COMPUTED_VALUE"""),4470.0)</f>
        <v>4470</v>
      </c>
      <c r="F1694" s="1">
        <f>IFERROR(__xludf.DUMMYFUNCTION("""COMPUTED_VALUE"""),977026.0)</f>
        <v>977026</v>
      </c>
    </row>
    <row r="1695">
      <c r="A1695" s="2">
        <f>IFERROR(__xludf.DUMMYFUNCTION("""COMPUTED_VALUE"""),44511.64583333333)</f>
        <v>44511.64583</v>
      </c>
      <c r="B1695" s="1">
        <f>IFERROR(__xludf.DUMMYFUNCTION("""COMPUTED_VALUE"""),4430.0)</f>
        <v>4430</v>
      </c>
      <c r="C1695" s="1">
        <f>IFERROR(__xludf.DUMMYFUNCTION("""COMPUTED_VALUE"""),4480.0)</f>
        <v>4480</v>
      </c>
      <c r="D1695" s="1">
        <f>IFERROR(__xludf.DUMMYFUNCTION("""COMPUTED_VALUE"""),4315.0)</f>
        <v>4315</v>
      </c>
      <c r="E1695" s="1">
        <f>IFERROR(__xludf.DUMMYFUNCTION("""COMPUTED_VALUE"""),4390.0)</f>
        <v>4390</v>
      </c>
      <c r="F1695" s="1">
        <f>IFERROR(__xludf.DUMMYFUNCTION("""COMPUTED_VALUE"""),332400.0)</f>
        <v>332400</v>
      </c>
    </row>
    <row r="1696">
      <c r="A1696" s="2">
        <f>IFERROR(__xludf.DUMMYFUNCTION("""COMPUTED_VALUE"""),44512.64583333333)</f>
        <v>44512.64583</v>
      </c>
      <c r="B1696" s="1">
        <f>IFERROR(__xludf.DUMMYFUNCTION("""COMPUTED_VALUE"""),4490.0)</f>
        <v>4490</v>
      </c>
      <c r="C1696" s="1">
        <f>IFERROR(__xludf.DUMMYFUNCTION("""COMPUTED_VALUE"""),4490.0)</f>
        <v>4490</v>
      </c>
      <c r="D1696" s="1">
        <f>IFERROR(__xludf.DUMMYFUNCTION("""COMPUTED_VALUE"""),4405.0)</f>
        <v>4405</v>
      </c>
      <c r="E1696" s="1">
        <f>IFERROR(__xludf.DUMMYFUNCTION("""COMPUTED_VALUE"""),4460.0)</f>
        <v>4460</v>
      </c>
      <c r="F1696" s="1">
        <f>IFERROR(__xludf.DUMMYFUNCTION("""COMPUTED_VALUE"""),254110.0)</f>
        <v>254110</v>
      </c>
    </row>
    <row r="1697">
      <c r="A1697" s="2">
        <f>IFERROR(__xludf.DUMMYFUNCTION("""COMPUTED_VALUE"""),44515.64583333333)</f>
        <v>44515.64583</v>
      </c>
      <c r="B1697" s="1">
        <f>IFERROR(__xludf.DUMMYFUNCTION("""COMPUTED_VALUE"""),4465.0)</f>
        <v>4465</v>
      </c>
      <c r="C1697" s="1">
        <f>IFERROR(__xludf.DUMMYFUNCTION("""COMPUTED_VALUE"""),4545.0)</f>
        <v>4545</v>
      </c>
      <c r="D1697" s="1">
        <f>IFERROR(__xludf.DUMMYFUNCTION("""COMPUTED_VALUE"""),4435.0)</f>
        <v>4435</v>
      </c>
      <c r="E1697" s="1">
        <f>IFERROR(__xludf.DUMMYFUNCTION("""COMPUTED_VALUE"""),4525.0)</f>
        <v>4525</v>
      </c>
      <c r="F1697" s="1">
        <f>IFERROR(__xludf.DUMMYFUNCTION("""COMPUTED_VALUE"""),451914.0)</f>
        <v>451914</v>
      </c>
    </row>
    <row r="1698">
      <c r="A1698" s="2">
        <f>IFERROR(__xludf.DUMMYFUNCTION("""COMPUTED_VALUE"""),44516.64583333333)</f>
        <v>44516.64583</v>
      </c>
      <c r="B1698" s="1">
        <f>IFERROR(__xludf.DUMMYFUNCTION("""COMPUTED_VALUE"""),4540.0)</f>
        <v>4540</v>
      </c>
      <c r="C1698" s="1">
        <f>IFERROR(__xludf.DUMMYFUNCTION("""COMPUTED_VALUE"""),4565.0)</f>
        <v>4565</v>
      </c>
      <c r="D1698" s="1">
        <f>IFERROR(__xludf.DUMMYFUNCTION("""COMPUTED_VALUE"""),4500.0)</f>
        <v>4500</v>
      </c>
      <c r="E1698" s="1">
        <f>IFERROR(__xludf.DUMMYFUNCTION("""COMPUTED_VALUE"""),4540.0)</f>
        <v>4540</v>
      </c>
      <c r="F1698" s="1">
        <f>IFERROR(__xludf.DUMMYFUNCTION("""COMPUTED_VALUE"""),263019.0)</f>
        <v>263019</v>
      </c>
    </row>
    <row r="1699">
      <c r="A1699" s="2">
        <f>IFERROR(__xludf.DUMMYFUNCTION("""COMPUTED_VALUE"""),44517.64583333333)</f>
        <v>44517.64583</v>
      </c>
      <c r="B1699" s="1">
        <f>IFERROR(__xludf.DUMMYFUNCTION("""COMPUTED_VALUE"""),4540.0)</f>
        <v>4540</v>
      </c>
      <c r="C1699" s="1">
        <f>IFERROR(__xludf.DUMMYFUNCTION("""COMPUTED_VALUE"""),4545.0)</f>
        <v>4545</v>
      </c>
      <c r="D1699" s="1">
        <f>IFERROR(__xludf.DUMMYFUNCTION("""COMPUTED_VALUE"""),4400.0)</f>
        <v>4400</v>
      </c>
      <c r="E1699" s="1">
        <f>IFERROR(__xludf.DUMMYFUNCTION("""COMPUTED_VALUE"""),4425.0)</f>
        <v>4425</v>
      </c>
      <c r="F1699" s="1">
        <f>IFERROR(__xludf.DUMMYFUNCTION("""COMPUTED_VALUE"""),428017.0)</f>
        <v>428017</v>
      </c>
    </row>
    <row r="1700">
      <c r="A1700" s="2">
        <f>IFERROR(__xludf.DUMMYFUNCTION("""COMPUTED_VALUE"""),44518.64583333333)</f>
        <v>44518.64583</v>
      </c>
      <c r="B1700" s="1">
        <f>IFERROR(__xludf.DUMMYFUNCTION("""COMPUTED_VALUE"""),4435.0)</f>
        <v>4435</v>
      </c>
      <c r="C1700" s="1">
        <f>IFERROR(__xludf.DUMMYFUNCTION("""COMPUTED_VALUE"""),4725.0)</f>
        <v>4725</v>
      </c>
      <c r="D1700" s="1">
        <f>IFERROR(__xludf.DUMMYFUNCTION("""COMPUTED_VALUE"""),4370.0)</f>
        <v>4370</v>
      </c>
      <c r="E1700" s="1">
        <f>IFERROR(__xludf.DUMMYFUNCTION("""COMPUTED_VALUE"""),4620.0)</f>
        <v>4620</v>
      </c>
      <c r="F1700" s="1">
        <f>IFERROR(__xludf.DUMMYFUNCTION("""COMPUTED_VALUE"""),1953072.0)</f>
        <v>1953072</v>
      </c>
    </row>
    <row r="1701">
      <c r="A1701" s="2">
        <f>IFERROR(__xludf.DUMMYFUNCTION("""COMPUTED_VALUE"""),44519.64583333333)</f>
        <v>44519.64583</v>
      </c>
      <c r="B1701" s="1">
        <f>IFERROR(__xludf.DUMMYFUNCTION("""COMPUTED_VALUE"""),4625.0)</f>
        <v>4625</v>
      </c>
      <c r="C1701" s="1">
        <f>IFERROR(__xludf.DUMMYFUNCTION("""COMPUTED_VALUE"""),4645.0)</f>
        <v>4645</v>
      </c>
      <c r="D1701" s="1">
        <f>IFERROR(__xludf.DUMMYFUNCTION("""COMPUTED_VALUE"""),4515.0)</f>
        <v>4515</v>
      </c>
      <c r="E1701" s="1">
        <f>IFERROR(__xludf.DUMMYFUNCTION("""COMPUTED_VALUE"""),4600.0)</f>
        <v>4600</v>
      </c>
      <c r="F1701" s="1">
        <f>IFERROR(__xludf.DUMMYFUNCTION("""COMPUTED_VALUE"""),517974.0)</f>
        <v>517974</v>
      </c>
    </row>
    <row r="1702">
      <c r="A1702" s="2">
        <f>IFERROR(__xludf.DUMMYFUNCTION("""COMPUTED_VALUE"""),44522.64583333333)</f>
        <v>44522.64583</v>
      </c>
      <c r="B1702" s="1">
        <f>IFERROR(__xludf.DUMMYFUNCTION("""COMPUTED_VALUE"""),4600.0)</f>
        <v>4600</v>
      </c>
      <c r="C1702" s="1">
        <f>IFERROR(__xludf.DUMMYFUNCTION("""COMPUTED_VALUE"""),4600.0)</f>
        <v>4600</v>
      </c>
      <c r="D1702" s="1">
        <f>IFERROR(__xludf.DUMMYFUNCTION("""COMPUTED_VALUE"""),4415.0)</f>
        <v>4415</v>
      </c>
      <c r="E1702" s="1">
        <f>IFERROR(__xludf.DUMMYFUNCTION("""COMPUTED_VALUE"""),4430.0)</f>
        <v>4430</v>
      </c>
      <c r="F1702" s="1">
        <f>IFERROR(__xludf.DUMMYFUNCTION("""COMPUTED_VALUE"""),659406.0)</f>
        <v>659406</v>
      </c>
    </row>
    <row r="1703">
      <c r="A1703" s="2">
        <f>IFERROR(__xludf.DUMMYFUNCTION("""COMPUTED_VALUE"""),44523.64583333333)</f>
        <v>44523.64583</v>
      </c>
      <c r="B1703" s="1">
        <f>IFERROR(__xludf.DUMMYFUNCTION("""COMPUTED_VALUE"""),4360.0)</f>
        <v>4360</v>
      </c>
      <c r="C1703" s="1">
        <f>IFERROR(__xludf.DUMMYFUNCTION("""COMPUTED_VALUE"""),4485.0)</f>
        <v>4485</v>
      </c>
      <c r="D1703" s="1">
        <f>IFERROR(__xludf.DUMMYFUNCTION("""COMPUTED_VALUE"""),4345.0)</f>
        <v>4345</v>
      </c>
      <c r="E1703" s="1">
        <f>IFERROR(__xludf.DUMMYFUNCTION("""COMPUTED_VALUE"""),4385.0)</f>
        <v>4385</v>
      </c>
      <c r="F1703" s="1">
        <f>IFERROR(__xludf.DUMMYFUNCTION("""COMPUTED_VALUE"""),280461.0)</f>
        <v>280461</v>
      </c>
    </row>
    <row r="1704">
      <c r="A1704" s="2">
        <f>IFERROR(__xludf.DUMMYFUNCTION("""COMPUTED_VALUE"""),44524.64583333333)</f>
        <v>44524.64583</v>
      </c>
      <c r="B1704" s="1">
        <f>IFERROR(__xludf.DUMMYFUNCTION("""COMPUTED_VALUE"""),4340.0)</f>
        <v>4340</v>
      </c>
      <c r="C1704" s="1">
        <f>IFERROR(__xludf.DUMMYFUNCTION("""COMPUTED_VALUE"""),4420.0)</f>
        <v>4420</v>
      </c>
      <c r="D1704" s="1">
        <f>IFERROR(__xludf.DUMMYFUNCTION("""COMPUTED_VALUE"""),4305.0)</f>
        <v>4305</v>
      </c>
      <c r="E1704" s="1">
        <f>IFERROR(__xludf.DUMMYFUNCTION("""COMPUTED_VALUE"""),4400.0)</f>
        <v>4400</v>
      </c>
      <c r="F1704" s="1">
        <f>IFERROR(__xludf.DUMMYFUNCTION("""COMPUTED_VALUE"""),202925.0)</f>
        <v>202925</v>
      </c>
    </row>
    <row r="1705">
      <c r="A1705" s="2">
        <f>IFERROR(__xludf.DUMMYFUNCTION("""COMPUTED_VALUE"""),44525.64583333333)</f>
        <v>44525.64583</v>
      </c>
      <c r="B1705" s="1">
        <f>IFERROR(__xludf.DUMMYFUNCTION("""COMPUTED_VALUE"""),4385.0)</f>
        <v>4385</v>
      </c>
      <c r="C1705" s="1">
        <f>IFERROR(__xludf.DUMMYFUNCTION("""COMPUTED_VALUE"""),4390.0)</f>
        <v>4390</v>
      </c>
      <c r="D1705" s="1">
        <f>IFERROR(__xludf.DUMMYFUNCTION("""COMPUTED_VALUE"""),4300.0)</f>
        <v>4300</v>
      </c>
      <c r="E1705" s="1">
        <f>IFERROR(__xludf.DUMMYFUNCTION("""COMPUTED_VALUE"""),4350.0)</f>
        <v>4350</v>
      </c>
      <c r="F1705" s="1">
        <f>IFERROR(__xludf.DUMMYFUNCTION("""COMPUTED_VALUE"""),197945.0)</f>
        <v>197945</v>
      </c>
    </row>
    <row r="1706">
      <c r="A1706" s="2">
        <f>IFERROR(__xludf.DUMMYFUNCTION("""COMPUTED_VALUE"""),44526.64583333333)</f>
        <v>44526.64583</v>
      </c>
      <c r="B1706" s="1">
        <f>IFERROR(__xludf.DUMMYFUNCTION("""COMPUTED_VALUE"""),4345.0)</f>
        <v>4345</v>
      </c>
      <c r="C1706" s="1">
        <f>IFERROR(__xludf.DUMMYFUNCTION("""COMPUTED_VALUE"""),4355.0)</f>
        <v>4355</v>
      </c>
      <c r="D1706" s="1">
        <f>IFERROR(__xludf.DUMMYFUNCTION("""COMPUTED_VALUE"""),4050.0)</f>
        <v>4050</v>
      </c>
      <c r="E1706" s="1">
        <f>IFERROR(__xludf.DUMMYFUNCTION("""COMPUTED_VALUE"""),4145.0)</f>
        <v>4145</v>
      </c>
      <c r="F1706" s="1">
        <f>IFERROR(__xludf.DUMMYFUNCTION("""COMPUTED_VALUE"""),628790.0)</f>
        <v>628790</v>
      </c>
    </row>
    <row r="1707">
      <c r="A1707" s="2">
        <f>IFERROR(__xludf.DUMMYFUNCTION("""COMPUTED_VALUE"""),44529.64583333333)</f>
        <v>44529.64583</v>
      </c>
      <c r="B1707" s="1">
        <f>IFERROR(__xludf.DUMMYFUNCTION("""COMPUTED_VALUE"""),3905.0)</f>
        <v>3905</v>
      </c>
      <c r="C1707" s="1">
        <f>IFERROR(__xludf.DUMMYFUNCTION("""COMPUTED_VALUE"""),4080.0)</f>
        <v>4080</v>
      </c>
      <c r="D1707" s="1">
        <f>IFERROR(__xludf.DUMMYFUNCTION("""COMPUTED_VALUE"""),3900.0)</f>
        <v>3900</v>
      </c>
      <c r="E1707" s="1">
        <f>IFERROR(__xludf.DUMMYFUNCTION("""COMPUTED_VALUE"""),3935.0)</f>
        <v>3935</v>
      </c>
      <c r="F1707" s="1">
        <f>IFERROR(__xludf.DUMMYFUNCTION("""COMPUTED_VALUE"""),642706.0)</f>
        <v>642706</v>
      </c>
    </row>
    <row r="1708">
      <c r="A1708" s="2">
        <f>IFERROR(__xludf.DUMMYFUNCTION("""COMPUTED_VALUE"""),44530.64583333333)</f>
        <v>44530.64583</v>
      </c>
      <c r="B1708" s="1">
        <f>IFERROR(__xludf.DUMMYFUNCTION("""COMPUTED_VALUE"""),3940.0)</f>
        <v>3940</v>
      </c>
      <c r="C1708" s="1">
        <f>IFERROR(__xludf.DUMMYFUNCTION("""COMPUTED_VALUE"""),4175.0)</f>
        <v>4175</v>
      </c>
      <c r="D1708" s="1">
        <f>IFERROR(__xludf.DUMMYFUNCTION("""COMPUTED_VALUE"""),3730.0)</f>
        <v>3730</v>
      </c>
      <c r="E1708" s="1">
        <f>IFERROR(__xludf.DUMMYFUNCTION("""COMPUTED_VALUE"""),3880.0)</f>
        <v>3880</v>
      </c>
      <c r="F1708" s="1">
        <f>IFERROR(__xludf.DUMMYFUNCTION("""COMPUTED_VALUE"""),1444054.0)</f>
        <v>1444054</v>
      </c>
    </row>
    <row r="1709">
      <c r="A1709" s="2">
        <f>IFERROR(__xludf.DUMMYFUNCTION("""COMPUTED_VALUE"""),44531.64583333333)</f>
        <v>44531.64583</v>
      </c>
      <c r="B1709" s="1">
        <f>IFERROR(__xludf.DUMMYFUNCTION("""COMPUTED_VALUE"""),3805.0)</f>
        <v>3805</v>
      </c>
      <c r="C1709" s="1">
        <f>IFERROR(__xludf.DUMMYFUNCTION("""COMPUTED_VALUE"""),3905.0)</f>
        <v>3905</v>
      </c>
      <c r="D1709" s="1">
        <f>IFERROR(__xludf.DUMMYFUNCTION("""COMPUTED_VALUE"""),3715.0)</f>
        <v>3715</v>
      </c>
      <c r="E1709" s="1">
        <f>IFERROR(__xludf.DUMMYFUNCTION("""COMPUTED_VALUE"""),3895.0)</f>
        <v>3895</v>
      </c>
      <c r="F1709" s="1">
        <f>IFERROR(__xludf.DUMMYFUNCTION("""COMPUTED_VALUE"""),567432.0)</f>
        <v>567432</v>
      </c>
    </row>
    <row r="1710">
      <c r="A1710" s="2">
        <f>IFERROR(__xludf.DUMMYFUNCTION("""COMPUTED_VALUE"""),44532.64583333333)</f>
        <v>44532.64583</v>
      </c>
      <c r="B1710" s="1">
        <f>IFERROR(__xludf.DUMMYFUNCTION("""COMPUTED_VALUE"""),3785.0)</f>
        <v>3785</v>
      </c>
      <c r="C1710" s="1">
        <f>IFERROR(__xludf.DUMMYFUNCTION("""COMPUTED_VALUE"""),3905.0)</f>
        <v>3905</v>
      </c>
      <c r="D1710" s="1">
        <f>IFERROR(__xludf.DUMMYFUNCTION("""COMPUTED_VALUE"""),3750.0)</f>
        <v>3750</v>
      </c>
      <c r="E1710" s="1">
        <f>IFERROR(__xludf.DUMMYFUNCTION("""COMPUTED_VALUE"""),3905.0)</f>
        <v>3905</v>
      </c>
      <c r="F1710" s="1">
        <f>IFERROR(__xludf.DUMMYFUNCTION("""COMPUTED_VALUE"""),308155.0)</f>
        <v>308155</v>
      </c>
    </row>
    <row r="1711">
      <c r="A1711" s="2">
        <f>IFERROR(__xludf.DUMMYFUNCTION("""COMPUTED_VALUE"""),44533.64583333333)</f>
        <v>44533.64583</v>
      </c>
      <c r="B1711" s="1">
        <f>IFERROR(__xludf.DUMMYFUNCTION("""COMPUTED_VALUE"""),3905.0)</f>
        <v>3905</v>
      </c>
      <c r="C1711" s="1">
        <f>IFERROR(__xludf.DUMMYFUNCTION("""COMPUTED_VALUE"""),4000.0)</f>
        <v>4000</v>
      </c>
      <c r="D1711" s="1">
        <f>IFERROR(__xludf.DUMMYFUNCTION("""COMPUTED_VALUE"""),3865.0)</f>
        <v>3865</v>
      </c>
      <c r="E1711" s="1">
        <f>IFERROR(__xludf.DUMMYFUNCTION("""COMPUTED_VALUE"""),4000.0)</f>
        <v>4000</v>
      </c>
      <c r="F1711" s="1">
        <f>IFERROR(__xludf.DUMMYFUNCTION("""COMPUTED_VALUE"""),395998.0)</f>
        <v>395998</v>
      </c>
    </row>
    <row r="1712">
      <c r="A1712" s="2">
        <f>IFERROR(__xludf.DUMMYFUNCTION("""COMPUTED_VALUE"""),44536.64583333333)</f>
        <v>44536.64583</v>
      </c>
      <c r="B1712" s="1">
        <f>IFERROR(__xludf.DUMMYFUNCTION("""COMPUTED_VALUE"""),4000.0)</f>
        <v>4000</v>
      </c>
      <c r="C1712" s="1">
        <f>IFERROR(__xludf.DUMMYFUNCTION("""COMPUTED_VALUE"""),4015.0)</f>
        <v>4015</v>
      </c>
      <c r="D1712" s="1">
        <f>IFERROR(__xludf.DUMMYFUNCTION("""COMPUTED_VALUE"""),3900.0)</f>
        <v>3900</v>
      </c>
      <c r="E1712" s="1">
        <f>IFERROR(__xludf.DUMMYFUNCTION("""COMPUTED_VALUE"""),4000.0)</f>
        <v>4000</v>
      </c>
      <c r="F1712" s="1">
        <f>IFERROR(__xludf.DUMMYFUNCTION("""COMPUTED_VALUE"""),218681.0)</f>
        <v>218681</v>
      </c>
    </row>
    <row r="1713">
      <c r="A1713" s="2">
        <f>IFERROR(__xludf.DUMMYFUNCTION("""COMPUTED_VALUE"""),44537.64583333333)</f>
        <v>44537.64583</v>
      </c>
      <c r="B1713" s="1">
        <f>IFERROR(__xludf.DUMMYFUNCTION("""COMPUTED_VALUE"""),3990.0)</f>
        <v>3990</v>
      </c>
      <c r="C1713" s="1">
        <f>IFERROR(__xludf.DUMMYFUNCTION("""COMPUTED_VALUE"""),4050.0)</f>
        <v>4050</v>
      </c>
      <c r="D1713" s="1">
        <f>IFERROR(__xludf.DUMMYFUNCTION("""COMPUTED_VALUE"""),3970.0)</f>
        <v>3970</v>
      </c>
      <c r="E1713" s="1">
        <f>IFERROR(__xludf.DUMMYFUNCTION("""COMPUTED_VALUE"""),4050.0)</f>
        <v>4050</v>
      </c>
      <c r="F1713" s="1">
        <f>IFERROR(__xludf.DUMMYFUNCTION("""COMPUTED_VALUE"""),234431.0)</f>
        <v>234431</v>
      </c>
    </row>
    <row r="1714">
      <c r="A1714" s="2">
        <f>IFERROR(__xludf.DUMMYFUNCTION("""COMPUTED_VALUE"""),44538.64583333333)</f>
        <v>44538.64583</v>
      </c>
      <c r="B1714" s="1">
        <f>IFERROR(__xludf.DUMMYFUNCTION("""COMPUTED_VALUE"""),4060.0)</f>
        <v>4060</v>
      </c>
      <c r="C1714" s="1">
        <f>IFERROR(__xludf.DUMMYFUNCTION("""COMPUTED_VALUE"""),4095.0)</f>
        <v>4095</v>
      </c>
      <c r="D1714" s="1">
        <f>IFERROR(__xludf.DUMMYFUNCTION("""COMPUTED_VALUE"""),3995.0)</f>
        <v>3995</v>
      </c>
      <c r="E1714" s="1">
        <f>IFERROR(__xludf.DUMMYFUNCTION("""COMPUTED_VALUE"""),4065.0)</f>
        <v>4065</v>
      </c>
      <c r="F1714" s="1">
        <f>IFERROR(__xludf.DUMMYFUNCTION("""COMPUTED_VALUE"""),238471.0)</f>
        <v>238471</v>
      </c>
    </row>
    <row r="1715">
      <c r="A1715" s="2">
        <f>IFERROR(__xludf.DUMMYFUNCTION("""COMPUTED_VALUE"""),44539.64583333333)</f>
        <v>44539.64583</v>
      </c>
      <c r="B1715" s="1">
        <f>IFERROR(__xludf.DUMMYFUNCTION("""COMPUTED_VALUE"""),4085.0)</f>
        <v>4085</v>
      </c>
      <c r="C1715" s="1">
        <f>IFERROR(__xludf.DUMMYFUNCTION("""COMPUTED_VALUE"""),4185.0)</f>
        <v>4185</v>
      </c>
      <c r="D1715" s="1">
        <f>IFERROR(__xludf.DUMMYFUNCTION("""COMPUTED_VALUE"""),4030.0)</f>
        <v>4030</v>
      </c>
      <c r="E1715" s="1">
        <f>IFERROR(__xludf.DUMMYFUNCTION("""COMPUTED_VALUE"""),4140.0)</f>
        <v>4140</v>
      </c>
      <c r="F1715" s="1">
        <f>IFERROR(__xludf.DUMMYFUNCTION("""COMPUTED_VALUE"""),556550.0)</f>
        <v>556550</v>
      </c>
    </row>
    <row r="1716">
      <c r="A1716" s="2">
        <f>IFERROR(__xludf.DUMMYFUNCTION("""COMPUTED_VALUE"""),44540.64583333333)</f>
        <v>44540.64583</v>
      </c>
      <c r="B1716" s="1">
        <f>IFERROR(__xludf.DUMMYFUNCTION("""COMPUTED_VALUE"""),4130.0)</f>
        <v>4130</v>
      </c>
      <c r="C1716" s="1">
        <f>IFERROR(__xludf.DUMMYFUNCTION("""COMPUTED_VALUE"""),4715.0)</f>
        <v>4715</v>
      </c>
      <c r="D1716" s="1">
        <f>IFERROR(__xludf.DUMMYFUNCTION("""COMPUTED_VALUE"""),4115.0)</f>
        <v>4115</v>
      </c>
      <c r="E1716" s="1">
        <f>IFERROR(__xludf.DUMMYFUNCTION("""COMPUTED_VALUE"""),4440.0)</f>
        <v>4440</v>
      </c>
      <c r="F1716" s="1">
        <f>IFERROR(__xludf.DUMMYFUNCTION("""COMPUTED_VALUE"""),1.0142611E7)</f>
        <v>10142611</v>
      </c>
    </row>
    <row r="1717">
      <c r="A1717" s="2">
        <f>IFERROR(__xludf.DUMMYFUNCTION("""COMPUTED_VALUE"""),44543.64583333333)</f>
        <v>44543.64583</v>
      </c>
      <c r="B1717" s="1">
        <f>IFERROR(__xludf.DUMMYFUNCTION("""COMPUTED_VALUE"""),4565.0)</f>
        <v>4565</v>
      </c>
      <c r="C1717" s="1">
        <f>IFERROR(__xludf.DUMMYFUNCTION("""COMPUTED_VALUE"""),4595.0)</f>
        <v>4595</v>
      </c>
      <c r="D1717" s="1">
        <f>IFERROR(__xludf.DUMMYFUNCTION("""COMPUTED_VALUE"""),4410.0)</f>
        <v>4410</v>
      </c>
      <c r="E1717" s="1">
        <f>IFERROR(__xludf.DUMMYFUNCTION("""COMPUTED_VALUE"""),4475.0)</f>
        <v>4475</v>
      </c>
      <c r="F1717" s="1">
        <f>IFERROR(__xludf.DUMMYFUNCTION("""COMPUTED_VALUE"""),2082464.0)</f>
        <v>2082464</v>
      </c>
    </row>
    <row r="1718">
      <c r="A1718" s="2">
        <f>IFERROR(__xludf.DUMMYFUNCTION("""COMPUTED_VALUE"""),44544.64583333333)</f>
        <v>44544.64583</v>
      </c>
      <c r="B1718" s="1">
        <f>IFERROR(__xludf.DUMMYFUNCTION("""COMPUTED_VALUE"""),4465.0)</f>
        <v>4465</v>
      </c>
      <c r="C1718" s="1">
        <f>IFERROR(__xludf.DUMMYFUNCTION("""COMPUTED_VALUE"""),4465.0)</f>
        <v>4465</v>
      </c>
      <c r="D1718" s="1">
        <f>IFERROR(__xludf.DUMMYFUNCTION("""COMPUTED_VALUE"""),4285.0)</f>
        <v>4285</v>
      </c>
      <c r="E1718" s="1">
        <f>IFERROR(__xludf.DUMMYFUNCTION("""COMPUTED_VALUE"""),4290.0)</f>
        <v>4290</v>
      </c>
      <c r="F1718" s="1">
        <f>IFERROR(__xludf.DUMMYFUNCTION("""COMPUTED_VALUE"""),653135.0)</f>
        <v>653135</v>
      </c>
    </row>
    <row r="1719">
      <c r="A1719" s="2">
        <f>IFERROR(__xludf.DUMMYFUNCTION("""COMPUTED_VALUE"""),44545.64583333333)</f>
        <v>44545.64583</v>
      </c>
      <c r="B1719" s="1">
        <f>IFERROR(__xludf.DUMMYFUNCTION("""COMPUTED_VALUE"""),4330.0)</f>
        <v>4330</v>
      </c>
      <c r="C1719" s="1">
        <f>IFERROR(__xludf.DUMMYFUNCTION("""COMPUTED_VALUE"""),4355.0)</f>
        <v>4355</v>
      </c>
      <c r="D1719" s="1">
        <f>IFERROR(__xludf.DUMMYFUNCTION("""COMPUTED_VALUE"""),4220.0)</f>
        <v>4220</v>
      </c>
      <c r="E1719" s="1">
        <f>IFERROR(__xludf.DUMMYFUNCTION("""COMPUTED_VALUE"""),4325.0)</f>
        <v>4325</v>
      </c>
      <c r="F1719" s="1">
        <f>IFERROR(__xludf.DUMMYFUNCTION("""COMPUTED_VALUE"""),431391.0)</f>
        <v>431391</v>
      </c>
    </row>
    <row r="1720">
      <c r="A1720" s="2">
        <f>IFERROR(__xludf.DUMMYFUNCTION("""COMPUTED_VALUE"""),44546.64583333333)</f>
        <v>44546.64583</v>
      </c>
      <c r="B1720" s="1">
        <f>IFERROR(__xludf.DUMMYFUNCTION("""COMPUTED_VALUE"""),4330.0)</f>
        <v>4330</v>
      </c>
      <c r="C1720" s="1">
        <f>IFERROR(__xludf.DUMMYFUNCTION("""COMPUTED_VALUE"""),4375.0)</f>
        <v>4375</v>
      </c>
      <c r="D1720" s="1">
        <f>IFERROR(__xludf.DUMMYFUNCTION("""COMPUTED_VALUE"""),4275.0)</f>
        <v>4275</v>
      </c>
      <c r="E1720" s="1">
        <f>IFERROR(__xludf.DUMMYFUNCTION("""COMPUTED_VALUE"""),4375.0)</f>
        <v>4375</v>
      </c>
      <c r="F1720" s="1">
        <f>IFERROR(__xludf.DUMMYFUNCTION("""COMPUTED_VALUE"""),399813.0)</f>
        <v>399813</v>
      </c>
    </row>
    <row r="1721">
      <c r="A1721" s="2">
        <f>IFERROR(__xludf.DUMMYFUNCTION("""COMPUTED_VALUE"""),44547.64583333333)</f>
        <v>44547.64583</v>
      </c>
      <c r="B1721" s="1">
        <f>IFERROR(__xludf.DUMMYFUNCTION("""COMPUTED_VALUE"""),4300.0)</f>
        <v>4300</v>
      </c>
      <c r="C1721" s="1">
        <f>IFERROR(__xludf.DUMMYFUNCTION("""COMPUTED_VALUE"""),4355.0)</f>
        <v>4355</v>
      </c>
      <c r="D1721" s="1">
        <f>IFERROR(__xludf.DUMMYFUNCTION("""COMPUTED_VALUE"""),4195.0)</f>
        <v>4195</v>
      </c>
      <c r="E1721" s="1">
        <f>IFERROR(__xludf.DUMMYFUNCTION("""COMPUTED_VALUE"""),4200.0)</f>
        <v>4200</v>
      </c>
      <c r="F1721" s="1">
        <f>IFERROR(__xludf.DUMMYFUNCTION("""COMPUTED_VALUE"""),487154.0)</f>
        <v>487154</v>
      </c>
    </row>
    <row r="1722">
      <c r="A1722" s="2">
        <f>IFERROR(__xludf.DUMMYFUNCTION("""COMPUTED_VALUE"""),44550.64583333333)</f>
        <v>44550.64583</v>
      </c>
      <c r="B1722" s="1">
        <f>IFERROR(__xludf.DUMMYFUNCTION("""COMPUTED_VALUE"""),4220.0)</f>
        <v>4220</v>
      </c>
      <c r="C1722" s="1">
        <f>IFERROR(__xludf.DUMMYFUNCTION("""COMPUTED_VALUE"""),4305.0)</f>
        <v>4305</v>
      </c>
      <c r="D1722" s="1">
        <f>IFERROR(__xludf.DUMMYFUNCTION("""COMPUTED_VALUE"""),4100.0)</f>
        <v>4100</v>
      </c>
      <c r="E1722" s="1">
        <f>IFERROR(__xludf.DUMMYFUNCTION("""COMPUTED_VALUE"""),4305.0)</f>
        <v>4305</v>
      </c>
      <c r="F1722" s="1">
        <f>IFERROR(__xludf.DUMMYFUNCTION("""COMPUTED_VALUE"""),418212.0)</f>
        <v>418212</v>
      </c>
    </row>
    <row r="1723">
      <c r="A1723" s="2">
        <f>IFERROR(__xludf.DUMMYFUNCTION("""COMPUTED_VALUE"""),44551.64583333333)</f>
        <v>44551.64583</v>
      </c>
      <c r="B1723" s="1">
        <f>IFERROR(__xludf.DUMMYFUNCTION("""COMPUTED_VALUE"""),4290.0)</f>
        <v>4290</v>
      </c>
      <c r="C1723" s="1">
        <f>IFERROR(__xludf.DUMMYFUNCTION("""COMPUTED_VALUE"""),4340.0)</f>
        <v>4340</v>
      </c>
      <c r="D1723" s="1">
        <f>IFERROR(__xludf.DUMMYFUNCTION("""COMPUTED_VALUE"""),4250.0)</f>
        <v>4250</v>
      </c>
      <c r="E1723" s="1">
        <f>IFERROR(__xludf.DUMMYFUNCTION("""COMPUTED_VALUE"""),4330.0)</f>
        <v>4330</v>
      </c>
      <c r="F1723" s="1">
        <f>IFERROR(__xludf.DUMMYFUNCTION("""COMPUTED_VALUE"""),676399.0)</f>
        <v>676399</v>
      </c>
    </row>
    <row r="1724">
      <c r="A1724" s="2">
        <f>IFERROR(__xludf.DUMMYFUNCTION("""COMPUTED_VALUE"""),44552.64583333333)</f>
        <v>44552.64583</v>
      </c>
      <c r="B1724" s="1">
        <f>IFERROR(__xludf.DUMMYFUNCTION("""COMPUTED_VALUE"""),4345.0)</f>
        <v>4345</v>
      </c>
      <c r="C1724" s="1">
        <f>IFERROR(__xludf.DUMMYFUNCTION("""COMPUTED_VALUE"""),4350.0)</f>
        <v>4350</v>
      </c>
      <c r="D1724" s="1">
        <f>IFERROR(__xludf.DUMMYFUNCTION("""COMPUTED_VALUE"""),4230.0)</f>
        <v>4230</v>
      </c>
      <c r="E1724" s="1">
        <f>IFERROR(__xludf.DUMMYFUNCTION("""COMPUTED_VALUE"""),4270.0)</f>
        <v>4270</v>
      </c>
      <c r="F1724" s="1">
        <f>IFERROR(__xludf.DUMMYFUNCTION("""COMPUTED_VALUE"""),329161.0)</f>
        <v>329161</v>
      </c>
    </row>
    <row r="1725">
      <c r="A1725" s="2">
        <f>IFERROR(__xludf.DUMMYFUNCTION("""COMPUTED_VALUE"""),44553.64583333333)</f>
        <v>44553.64583</v>
      </c>
      <c r="B1725" s="1">
        <f>IFERROR(__xludf.DUMMYFUNCTION("""COMPUTED_VALUE"""),4245.0)</f>
        <v>4245</v>
      </c>
      <c r="C1725" s="1">
        <f>IFERROR(__xludf.DUMMYFUNCTION("""COMPUTED_VALUE"""),4300.0)</f>
        <v>4300</v>
      </c>
      <c r="D1725" s="1">
        <f>IFERROR(__xludf.DUMMYFUNCTION("""COMPUTED_VALUE"""),4190.0)</f>
        <v>4190</v>
      </c>
      <c r="E1725" s="1">
        <f>IFERROR(__xludf.DUMMYFUNCTION("""COMPUTED_VALUE"""),4300.0)</f>
        <v>4300</v>
      </c>
      <c r="F1725" s="1">
        <f>IFERROR(__xludf.DUMMYFUNCTION("""COMPUTED_VALUE"""),242946.0)</f>
        <v>242946</v>
      </c>
    </row>
    <row r="1726">
      <c r="A1726" s="2">
        <f>IFERROR(__xludf.DUMMYFUNCTION("""COMPUTED_VALUE"""),44554.64583333333)</f>
        <v>44554.64583</v>
      </c>
      <c r="B1726" s="1">
        <f>IFERROR(__xludf.DUMMYFUNCTION("""COMPUTED_VALUE"""),4230.0)</f>
        <v>4230</v>
      </c>
      <c r="C1726" s="1">
        <f>IFERROR(__xludf.DUMMYFUNCTION("""COMPUTED_VALUE"""),4295.0)</f>
        <v>4295</v>
      </c>
      <c r="D1726" s="1">
        <f>IFERROR(__xludf.DUMMYFUNCTION("""COMPUTED_VALUE"""),4225.0)</f>
        <v>4225</v>
      </c>
      <c r="E1726" s="1">
        <f>IFERROR(__xludf.DUMMYFUNCTION("""COMPUTED_VALUE"""),4270.0)</f>
        <v>4270</v>
      </c>
      <c r="F1726" s="1">
        <f>IFERROR(__xludf.DUMMYFUNCTION("""COMPUTED_VALUE"""),230268.0)</f>
        <v>230268</v>
      </c>
    </row>
    <row r="1727">
      <c r="A1727" s="2">
        <f>IFERROR(__xludf.DUMMYFUNCTION("""COMPUTED_VALUE"""),44557.64583333333)</f>
        <v>44557.64583</v>
      </c>
      <c r="B1727" s="1">
        <f>IFERROR(__xludf.DUMMYFUNCTION("""COMPUTED_VALUE"""),4225.0)</f>
        <v>4225</v>
      </c>
      <c r="C1727" s="1">
        <f>IFERROR(__xludf.DUMMYFUNCTION("""COMPUTED_VALUE"""),4255.0)</f>
        <v>4255</v>
      </c>
      <c r="D1727" s="1">
        <f>IFERROR(__xludf.DUMMYFUNCTION("""COMPUTED_VALUE"""),4180.0)</f>
        <v>4180</v>
      </c>
      <c r="E1727" s="1">
        <f>IFERROR(__xludf.DUMMYFUNCTION("""COMPUTED_VALUE"""),4245.0)</f>
        <v>4245</v>
      </c>
      <c r="F1727" s="1">
        <f>IFERROR(__xludf.DUMMYFUNCTION("""COMPUTED_VALUE"""),257697.0)</f>
        <v>257697</v>
      </c>
    </row>
    <row r="1728">
      <c r="A1728" s="2">
        <f>IFERROR(__xludf.DUMMYFUNCTION("""COMPUTED_VALUE"""),44558.64583333333)</f>
        <v>44558.64583</v>
      </c>
      <c r="B1728" s="1">
        <f>IFERROR(__xludf.DUMMYFUNCTION("""COMPUTED_VALUE"""),4210.0)</f>
        <v>4210</v>
      </c>
      <c r="C1728" s="1">
        <f>IFERROR(__xludf.DUMMYFUNCTION("""COMPUTED_VALUE"""),4250.0)</f>
        <v>4250</v>
      </c>
      <c r="D1728" s="1">
        <f>IFERROR(__xludf.DUMMYFUNCTION("""COMPUTED_VALUE"""),4180.0)</f>
        <v>4180</v>
      </c>
      <c r="E1728" s="1">
        <f>IFERROR(__xludf.DUMMYFUNCTION("""COMPUTED_VALUE"""),4195.0)</f>
        <v>4195</v>
      </c>
      <c r="F1728" s="1">
        <f>IFERROR(__xludf.DUMMYFUNCTION("""COMPUTED_VALUE"""),180894.0)</f>
        <v>180894</v>
      </c>
    </row>
    <row r="1729">
      <c r="A1729" s="2">
        <f>IFERROR(__xludf.DUMMYFUNCTION("""COMPUTED_VALUE"""),44559.64583333333)</f>
        <v>44559.64583</v>
      </c>
      <c r="B1729" s="1">
        <f>IFERROR(__xludf.DUMMYFUNCTION("""COMPUTED_VALUE"""),4180.0)</f>
        <v>4180</v>
      </c>
      <c r="C1729" s="1">
        <f>IFERROR(__xludf.DUMMYFUNCTION("""COMPUTED_VALUE"""),4450.0)</f>
        <v>4450</v>
      </c>
      <c r="D1729" s="1">
        <f>IFERROR(__xludf.DUMMYFUNCTION("""COMPUTED_VALUE"""),4170.0)</f>
        <v>4170</v>
      </c>
      <c r="E1729" s="1">
        <f>IFERROR(__xludf.DUMMYFUNCTION("""COMPUTED_VALUE"""),4280.0)</f>
        <v>4280</v>
      </c>
      <c r="F1729" s="1">
        <f>IFERROR(__xludf.DUMMYFUNCTION("""COMPUTED_VALUE"""),1266447.0)</f>
        <v>1266447</v>
      </c>
    </row>
    <row r="1730">
      <c r="A1730" s="2">
        <f>IFERROR(__xludf.DUMMYFUNCTION("""COMPUTED_VALUE"""),44560.64583333333)</f>
        <v>44560.64583</v>
      </c>
      <c r="B1730" s="1">
        <f>IFERROR(__xludf.DUMMYFUNCTION("""COMPUTED_VALUE"""),4255.0)</f>
        <v>4255</v>
      </c>
      <c r="C1730" s="1">
        <f>IFERROR(__xludf.DUMMYFUNCTION("""COMPUTED_VALUE"""),4295.0)</f>
        <v>4295</v>
      </c>
      <c r="D1730" s="1">
        <f>IFERROR(__xludf.DUMMYFUNCTION("""COMPUTED_VALUE"""),4000.0)</f>
        <v>4000</v>
      </c>
      <c r="E1730" s="1">
        <f>IFERROR(__xludf.DUMMYFUNCTION("""COMPUTED_VALUE"""),4285.0)</f>
        <v>4285</v>
      </c>
      <c r="F1730" s="1">
        <f>IFERROR(__xludf.DUMMYFUNCTION("""COMPUTED_VALUE"""),340848.0)</f>
        <v>340848</v>
      </c>
    </row>
    <row r="1731">
      <c r="A1731" s="2">
        <f>IFERROR(__xludf.DUMMYFUNCTION("""COMPUTED_VALUE"""),44564.64583333333)</f>
        <v>44564.64583</v>
      </c>
      <c r="B1731" s="1">
        <f>IFERROR(__xludf.DUMMYFUNCTION("""COMPUTED_VALUE"""),4300.0)</f>
        <v>4300</v>
      </c>
      <c r="C1731" s="1">
        <f>IFERROR(__xludf.DUMMYFUNCTION("""COMPUTED_VALUE"""),4340.0)</f>
        <v>4340</v>
      </c>
      <c r="D1731" s="1">
        <f>IFERROR(__xludf.DUMMYFUNCTION("""COMPUTED_VALUE"""),4255.0)</f>
        <v>4255</v>
      </c>
      <c r="E1731" s="1">
        <f>IFERROR(__xludf.DUMMYFUNCTION("""COMPUTED_VALUE"""),4340.0)</f>
        <v>4340</v>
      </c>
      <c r="F1731" s="1">
        <f>IFERROR(__xludf.DUMMYFUNCTION("""COMPUTED_VALUE"""),719238.0)</f>
        <v>719238</v>
      </c>
    </row>
    <row r="1732">
      <c r="A1732" s="2">
        <f>IFERROR(__xludf.DUMMYFUNCTION("""COMPUTED_VALUE"""),44565.64583333333)</f>
        <v>44565.64583</v>
      </c>
      <c r="B1732" s="1">
        <f>IFERROR(__xludf.DUMMYFUNCTION("""COMPUTED_VALUE"""),4340.0)</f>
        <v>4340</v>
      </c>
      <c r="C1732" s="1">
        <f>IFERROR(__xludf.DUMMYFUNCTION("""COMPUTED_VALUE"""),4530.0)</f>
        <v>4530</v>
      </c>
      <c r="D1732" s="1">
        <f>IFERROR(__xludf.DUMMYFUNCTION("""COMPUTED_VALUE"""),4310.0)</f>
        <v>4310</v>
      </c>
      <c r="E1732" s="1">
        <f>IFERROR(__xludf.DUMMYFUNCTION("""COMPUTED_VALUE"""),4435.0)</f>
        <v>4435</v>
      </c>
      <c r="F1732" s="1">
        <f>IFERROR(__xludf.DUMMYFUNCTION("""COMPUTED_VALUE"""),1759634.0)</f>
        <v>1759634</v>
      </c>
    </row>
    <row r="1733">
      <c r="A1733" s="2">
        <f>IFERROR(__xludf.DUMMYFUNCTION("""COMPUTED_VALUE"""),44566.64583333333)</f>
        <v>44566.64583</v>
      </c>
      <c r="B1733" s="1">
        <f>IFERROR(__xludf.DUMMYFUNCTION("""COMPUTED_VALUE"""),4435.0)</f>
        <v>4435</v>
      </c>
      <c r="C1733" s="1">
        <f>IFERROR(__xludf.DUMMYFUNCTION("""COMPUTED_VALUE"""),4435.0)</f>
        <v>4435</v>
      </c>
      <c r="D1733" s="1">
        <f>IFERROR(__xludf.DUMMYFUNCTION("""COMPUTED_VALUE"""),4290.0)</f>
        <v>4290</v>
      </c>
      <c r="E1733" s="1">
        <f>IFERROR(__xludf.DUMMYFUNCTION("""COMPUTED_VALUE"""),4330.0)</f>
        <v>4330</v>
      </c>
      <c r="F1733" s="1">
        <f>IFERROR(__xludf.DUMMYFUNCTION("""COMPUTED_VALUE"""),409658.0)</f>
        <v>409658</v>
      </c>
    </row>
    <row r="1734">
      <c r="A1734" s="2">
        <f>IFERROR(__xludf.DUMMYFUNCTION("""COMPUTED_VALUE"""),44567.64583333333)</f>
        <v>44567.64583</v>
      </c>
      <c r="B1734" s="1">
        <f>IFERROR(__xludf.DUMMYFUNCTION("""COMPUTED_VALUE"""),4275.0)</f>
        <v>4275</v>
      </c>
      <c r="C1734" s="1">
        <f>IFERROR(__xludf.DUMMYFUNCTION("""COMPUTED_VALUE"""),4420.0)</f>
        <v>4420</v>
      </c>
      <c r="D1734" s="1">
        <f>IFERROR(__xludf.DUMMYFUNCTION("""COMPUTED_VALUE"""),4200.0)</f>
        <v>4200</v>
      </c>
      <c r="E1734" s="1">
        <f>IFERROR(__xludf.DUMMYFUNCTION("""COMPUTED_VALUE"""),4310.0)</f>
        <v>4310</v>
      </c>
      <c r="F1734" s="1">
        <f>IFERROR(__xludf.DUMMYFUNCTION("""COMPUTED_VALUE"""),586381.0)</f>
        <v>586381</v>
      </c>
    </row>
    <row r="1735">
      <c r="A1735" s="2">
        <f>IFERROR(__xludf.DUMMYFUNCTION("""COMPUTED_VALUE"""),44568.64583333333)</f>
        <v>44568.64583</v>
      </c>
      <c r="B1735" s="1">
        <f>IFERROR(__xludf.DUMMYFUNCTION("""COMPUTED_VALUE"""),4310.0)</f>
        <v>4310</v>
      </c>
      <c r="C1735" s="1">
        <f>IFERROR(__xludf.DUMMYFUNCTION("""COMPUTED_VALUE"""),4420.0)</f>
        <v>4420</v>
      </c>
      <c r="D1735" s="1">
        <f>IFERROR(__xludf.DUMMYFUNCTION("""COMPUTED_VALUE"""),4310.0)</f>
        <v>4310</v>
      </c>
      <c r="E1735" s="1">
        <f>IFERROR(__xludf.DUMMYFUNCTION("""COMPUTED_VALUE"""),4395.0)</f>
        <v>4395</v>
      </c>
      <c r="F1735" s="1">
        <f>IFERROR(__xludf.DUMMYFUNCTION("""COMPUTED_VALUE"""),388735.0)</f>
        <v>388735</v>
      </c>
    </row>
    <row r="1736">
      <c r="A1736" s="2">
        <f>IFERROR(__xludf.DUMMYFUNCTION("""COMPUTED_VALUE"""),44571.64583333333)</f>
        <v>44571.64583</v>
      </c>
      <c r="B1736" s="1">
        <f>IFERROR(__xludf.DUMMYFUNCTION("""COMPUTED_VALUE"""),4390.0)</f>
        <v>4390</v>
      </c>
      <c r="C1736" s="1">
        <f>IFERROR(__xludf.DUMMYFUNCTION("""COMPUTED_VALUE"""),4390.0)</f>
        <v>4390</v>
      </c>
      <c r="D1736" s="1">
        <f>IFERROR(__xludf.DUMMYFUNCTION("""COMPUTED_VALUE"""),4290.0)</f>
        <v>4290</v>
      </c>
      <c r="E1736" s="1">
        <f>IFERROR(__xludf.DUMMYFUNCTION("""COMPUTED_VALUE"""),4355.0)</f>
        <v>4355</v>
      </c>
      <c r="F1736" s="1">
        <f>IFERROR(__xludf.DUMMYFUNCTION("""COMPUTED_VALUE"""),275525.0)</f>
        <v>275525</v>
      </c>
    </row>
    <row r="1737">
      <c r="A1737" s="2">
        <f>IFERROR(__xludf.DUMMYFUNCTION("""COMPUTED_VALUE"""),44572.64583333333)</f>
        <v>44572.64583</v>
      </c>
      <c r="B1737" s="1">
        <f>IFERROR(__xludf.DUMMYFUNCTION("""COMPUTED_VALUE"""),4345.0)</f>
        <v>4345</v>
      </c>
      <c r="C1737" s="1">
        <f>IFERROR(__xludf.DUMMYFUNCTION("""COMPUTED_VALUE"""),4345.0)</f>
        <v>4345</v>
      </c>
      <c r="D1737" s="1">
        <f>IFERROR(__xludf.DUMMYFUNCTION("""COMPUTED_VALUE"""),4190.0)</f>
        <v>4190</v>
      </c>
      <c r="E1737" s="1">
        <f>IFERROR(__xludf.DUMMYFUNCTION("""COMPUTED_VALUE"""),4250.0)</f>
        <v>4250</v>
      </c>
      <c r="F1737" s="1">
        <f>IFERROR(__xludf.DUMMYFUNCTION("""COMPUTED_VALUE"""),300087.0)</f>
        <v>300087</v>
      </c>
    </row>
    <row r="1738">
      <c r="A1738" s="2">
        <f>IFERROR(__xludf.DUMMYFUNCTION("""COMPUTED_VALUE"""),44573.64583333333)</f>
        <v>44573.64583</v>
      </c>
      <c r="B1738" s="1">
        <f>IFERROR(__xludf.DUMMYFUNCTION("""COMPUTED_VALUE"""),4255.0)</f>
        <v>4255</v>
      </c>
      <c r="C1738" s="1">
        <f>IFERROR(__xludf.DUMMYFUNCTION("""COMPUTED_VALUE"""),4315.0)</f>
        <v>4315</v>
      </c>
      <c r="D1738" s="1">
        <f>IFERROR(__xludf.DUMMYFUNCTION("""COMPUTED_VALUE"""),4225.0)</f>
        <v>4225</v>
      </c>
      <c r="E1738" s="1">
        <f>IFERROR(__xludf.DUMMYFUNCTION("""COMPUTED_VALUE"""),4265.0)</f>
        <v>4265</v>
      </c>
      <c r="F1738" s="1">
        <f>IFERROR(__xludf.DUMMYFUNCTION("""COMPUTED_VALUE"""),156260.0)</f>
        <v>156260</v>
      </c>
    </row>
    <row r="1739">
      <c r="A1739" s="2">
        <f>IFERROR(__xludf.DUMMYFUNCTION("""COMPUTED_VALUE"""),44574.64583333333)</f>
        <v>44574.64583</v>
      </c>
      <c r="B1739" s="1">
        <f>IFERROR(__xludf.DUMMYFUNCTION("""COMPUTED_VALUE"""),4240.0)</f>
        <v>4240</v>
      </c>
      <c r="C1739" s="1">
        <f>IFERROR(__xludf.DUMMYFUNCTION("""COMPUTED_VALUE"""),4265.0)</f>
        <v>4265</v>
      </c>
      <c r="D1739" s="1">
        <f>IFERROR(__xludf.DUMMYFUNCTION("""COMPUTED_VALUE"""),4170.0)</f>
        <v>4170</v>
      </c>
      <c r="E1739" s="1">
        <f>IFERROR(__xludf.DUMMYFUNCTION("""COMPUTED_VALUE"""),4235.0)</f>
        <v>4235</v>
      </c>
      <c r="F1739" s="1">
        <f>IFERROR(__xludf.DUMMYFUNCTION("""COMPUTED_VALUE"""),291770.0)</f>
        <v>291770</v>
      </c>
    </row>
    <row r="1740">
      <c r="A1740" s="2">
        <f>IFERROR(__xludf.DUMMYFUNCTION("""COMPUTED_VALUE"""),44575.64583333333)</f>
        <v>44575.64583</v>
      </c>
      <c r="B1740" s="1">
        <f>IFERROR(__xludf.DUMMYFUNCTION("""COMPUTED_VALUE"""),4180.0)</f>
        <v>4180</v>
      </c>
      <c r="C1740" s="1">
        <f>IFERROR(__xludf.DUMMYFUNCTION("""COMPUTED_VALUE"""),4230.0)</f>
        <v>4230</v>
      </c>
      <c r="D1740" s="1">
        <f>IFERROR(__xludf.DUMMYFUNCTION("""COMPUTED_VALUE"""),4130.0)</f>
        <v>4130</v>
      </c>
      <c r="E1740" s="1">
        <f>IFERROR(__xludf.DUMMYFUNCTION("""COMPUTED_VALUE"""),4220.0)</f>
        <v>4220</v>
      </c>
      <c r="F1740" s="1">
        <f>IFERROR(__xludf.DUMMYFUNCTION("""COMPUTED_VALUE"""),217000.0)</f>
        <v>217000</v>
      </c>
    </row>
    <row r="1741">
      <c r="A1741" s="2">
        <f>IFERROR(__xludf.DUMMYFUNCTION("""COMPUTED_VALUE"""),44578.64583333333)</f>
        <v>44578.64583</v>
      </c>
      <c r="B1741" s="1">
        <f>IFERROR(__xludf.DUMMYFUNCTION("""COMPUTED_VALUE"""),4175.0)</f>
        <v>4175</v>
      </c>
      <c r="C1741" s="1">
        <f>IFERROR(__xludf.DUMMYFUNCTION("""COMPUTED_VALUE"""),4200.0)</f>
        <v>4200</v>
      </c>
      <c r="D1741" s="1">
        <f>IFERROR(__xludf.DUMMYFUNCTION("""COMPUTED_VALUE"""),4050.0)</f>
        <v>4050</v>
      </c>
      <c r="E1741" s="1">
        <f>IFERROR(__xludf.DUMMYFUNCTION("""COMPUTED_VALUE"""),4080.0)</f>
        <v>4080</v>
      </c>
      <c r="F1741" s="1">
        <f>IFERROR(__xludf.DUMMYFUNCTION("""COMPUTED_VALUE"""),261523.0)</f>
        <v>261523</v>
      </c>
    </row>
    <row r="1742">
      <c r="A1742" s="2">
        <f>IFERROR(__xludf.DUMMYFUNCTION("""COMPUTED_VALUE"""),44579.64583333333)</f>
        <v>44579.64583</v>
      </c>
      <c r="B1742" s="1">
        <f>IFERROR(__xludf.DUMMYFUNCTION("""COMPUTED_VALUE"""),4030.0)</f>
        <v>4030</v>
      </c>
      <c r="C1742" s="1">
        <f>IFERROR(__xludf.DUMMYFUNCTION("""COMPUTED_VALUE"""),4135.0)</f>
        <v>4135</v>
      </c>
      <c r="D1742" s="1">
        <f>IFERROR(__xludf.DUMMYFUNCTION("""COMPUTED_VALUE"""),4000.0)</f>
        <v>4000</v>
      </c>
      <c r="E1742" s="1">
        <f>IFERROR(__xludf.DUMMYFUNCTION("""COMPUTED_VALUE"""),4040.0)</f>
        <v>4040</v>
      </c>
      <c r="F1742" s="1">
        <f>IFERROR(__xludf.DUMMYFUNCTION("""COMPUTED_VALUE"""),228550.0)</f>
        <v>228550</v>
      </c>
    </row>
    <row r="1743">
      <c r="A1743" s="2">
        <f>IFERROR(__xludf.DUMMYFUNCTION("""COMPUTED_VALUE"""),44580.64583333333)</f>
        <v>44580.64583</v>
      </c>
      <c r="B1743" s="1">
        <f>IFERROR(__xludf.DUMMYFUNCTION("""COMPUTED_VALUE"""),3920.0)</f>
        <v>3920</v>
      </c>
      <c r="C1743" s="1">
        <f>IFERROR(__xludf.DUMMYFUNCTION("""COMPUTED_VALUE"""),4040.0)</f>
        <v>4040</v>
      </c>
      <c r="D1743" s="1">
        <f>IFERROR(__xludf.DUMMYFUNCTION("""COMPUTED_VALUE"""),3880.0)</f>
        <v>3880</v>
      </c>
      <c r="E1743" s="1">
        <f>IFERROR(__xludf.DUMMYFUNCTION("""COMPUTED_VALUE"""),3880.0)</f>
        <v>3880</v>
      </c>
      <c r="F1743" s="1">
        <f>IFERROR(__xludf.DUMMYFUNCTION("""COMPUTED_VALUE"""),313365.0)</f>
        <v>313365</v>
      </c>
    </row>
    <row r="1744">
      <c r="A1744" s="2">
        <f>IFERROR(__xludf.DUMMYFUNCTION("""COMPUTED_VALUE"""),44581.64583333333)</f>
        <v>44581.64583</v>
      </c>
      <c r="B1744" s="1">
        <f>IFERROR(__xludf.DUMMYFUNCTION("""COMPUTED_VALUE"""),3880.0)</f>
        <v>3880</v>
      </c>
      <c r="C1744" s="1">
        <f>IFERROR(__xludf.DUMMYFUNCTION("""COMPUTED_VALUE"""),4000.0)</f>
        <v>4000</v>
      </c>
      <c r="D1744" s="1">
        <f>IFERROR(__xludf.DUMMYFUNCTION("""COMPUTED_VALUE"""),3860.0)</f>
        <v>3860</v>
      </c>
      <c r="E1744" s="1">
        <f>IFERROR(__xludf.DUMMYFUNCTION("""COMPUTED_VALUE"""),4000.0)</f>
        <v>4000</v>
      </c>
      <c r="F1744" s="1">
        <f>IFERROR(__xludf.DUMMYFUNCTION("""COMPUTED_VALUE"""),154554.0)</f>
        <v>154554</v>
      </c>
    </row>
    <row r="1745">
      <c r="A1745" s="2">
        <f>IFERROR(__xludf.DUMMYFUNCTION("""COMPUTED_VALUE"""),44582.64583333333)</f>
        <v>44582.64583</v>
      </c>
      <c r="B1745" s="1">
        <f>IFERROR(__xludf.DUMMYFUNCTION("""COMPUTED_VALUE"""),3940.0)</f>
        <v>3940</v>
      </c>
      <c r="C1745" s="1">
        <f>IFERROR(__xludf.DUMMYFUNCTION("""COMPUTED_VALUE"""),4450.0)</f>
        <v>4450</v>
      </c>
      <c r="D1745" s="1">
        <f>IFERROR(__xludf.DUMMYFUNCTION("""COMPUTED_VALUE"""),3940.0)</f>
        <v>3940</v>
      </c>
      <c r="E1745" s="1">
        <f>IFERROR(__xludf.DUMMYFUNCTION("""COMPUTED_VALUE"""),4195.0)</f>
        <v>4195</v>
      </c>
      <c r="F1745" s="1">
        <f>IFERROR(__xludf.DUMMYFUNCTION("""COMPUTED_VALUE"""),3095009.0)</f>
        <v>3095009</v>
      </c>
    </row>
    <row r="1746">
      <c r="A1746" s="2">
        <f>IFERROR(__xludf.DUMMYFUNCTION("""COMPUTED_VALUE"""),44585.64583333333)</f>
        <v>44585.64583</v>
      </c>
      <c r="B1746" s="1">
        <f>IFERROR(__xludf.DUMMYFUNCTION("""COMPUTED_VALUE"""),4125.0)</f>
        <v>4125</v>
      </c>
      <c r="C1746" s="1">
        <f>IFERROR(__xludf.DUMMYFUNCTION("""COMPUTED_VALUE"""),4430.0)</f>
        <v>4430</v>
      </c>
      <c r="D1746" s="1">
        <f>IFERROR(__xludf.DUMMYFUNCTION("""COMPUTED_VALUE"""),4040.0)</f>
        <v>4040</v>
      </c>
      <c r="E1746" s="1">
        <f>IFERROR(__xludf.DUMMYFUNCTION("""COMPUTED_VALUE"""),4100.0)</f>
        <v>4100</v>
      </c>
      <c r="F1746" s="1">
        <f>IFERROR(__xludf.DUMMYFUNCTION("""COMPUTED_VALUE"""),2662608.0)</f>
        <v>2662608</v>
      </c>
    </row>
    <row r="1747">
      <c r="A1747" s="2">
        <f>IFERROR(__xludf.DUMMYFUNCTION("""COMPUTED_VALUE"""),44586.64583333333)</f>
        <v>44586.64583</v>
      </c>
      <c r="B1747" s="1">
        <f>IFERROR(__xludf.DUMMYFUNCTION("""COMPUTED_VALUE"""),4100.0)</f>
        <v>4100</v>
      </c>
      <c r="C1747" s="1">
        <f>IFERROR(__xludf.DUMMYFUNCTION("""COMPUTED_VALUE"""),4165.0)</f>
        <v>4165</v>
      </c>
      <c r="D1747" s="1">
        <f>IFERROR(__xludf.DUMMYFUNCTION("""COMPUTED_VALUE"""),3920.0)</f>
        <v>3920</v>
      </c>
      <c r="E1747" s="1">
        <f>IFERROR(__xludf.DUMMYFUNCTION("""COMPUTED_VALUE"""),3970.0)</f>
        <v>3970</v>
      </c>
      <c r="F1747" s="1">
        <f>IFERROR(__xludf.DUMMYFUNCTION("""COMPUTED_VALUE"""),626327.0)</f>
        <v>626327</v>
      </c>
    </row>
    <row r="1748">
      <c r="A1748" s="2">
        <f>IFERROR(__xludf.DUMMYFUNCTION("""COMPUTED_VALUE"""),44587.64583333333)</f>
        <v>44587.64583</v>
      </c>
      <c r="B1748" s="1">
        <f>IFERROR(__xludf.DUMMYFUNCTION("""COMPUTED_VALUE"""),3930.0)</f>
        <v>3930</v>
      </c>
      <c r="C1748" s="1">
        <f>IFERROR(__xludf.DUMMYFUNCTION("""COMPUTED_VALUE"""),4030.0)</f>
        <v>4030</v>
      </c>
      <c r="D1748" s="1">
        <f>IFERROR(__xludf.DUMMYFUNCTION("""COMPUTED_VALUE"""),3930.0)</f>
        <v>3930</v>
      </c>
      <c r="E1748" s="1">
        <f>IFERROR(__xludf.DUMMYFUNCTION("""COMPUTED_VALUE"""),3955.0)</f>
        <v>3955</v>
      </c>
      <c r="F1748" s="1">
        <f>IFERROR(__xludf.DUMMYFUNCTION("""COMPUTED_VALUE"""),358724.0)</f>
        <v>358724</v>
      </c>
    </row>
    <row r="1749">
      <c r="A1749" s="2">
        <f>IFERROR(__xludf.DUMMYFUNCTION("""COMPUTED_VALUE"""),44588.64583333333)</f>
        <v>44588.64583</v>
      </c>
      <c r="B1749" s="1">
        <f>IFERROR(__xludf.DUMMYFUNCTION("""COMPUTED_VALUE"""),3955.0)</f>
        <v>3955</v>
      </c>
      <c r="C1749" s="1">
        <f>IFERROR(__xludf.DUMMYFUNCTION("""COMPUTED_VALUE"""),4015.0)</f>
        <v>4015</v>
      </c>
      <c r="D1749" s="1">
        <f>IFERROR(__xludf.DUMMYFUNCTION("""COMPUTED_VALUE"""),3810.0)</f>
        <v>3810</v>
      </c>
      <c r="E1749" s="1">
        <f>IFERROR(__xludf.DUMMYFUNCTION("""COMPUTED_VALUE"""),3845.0)</f>
        <v>3845</v>
      </c>
      <c r="F1749" s="1">
        <f>IFERROR(__xludf.DUMMYFUNCTION("""COMPUTED_VALUE"""),465596.0)</f>
        <v>465596</v>
      </c>
    </row>
    <row r="1750">
      <c r="A1750" s="2">
        <f>IFERROR(__xludf.DUMMYFUNCTION("""COMPUTED_VALUE"""),44589.64583333333)</f>
        <v>44589.64583</v>
      </c>
      <c r="B1750" s="1">
        <f>IFERROR(__xludf.DUMMYFUNCTION("""COMPUTED_VALUE"""),3845.0)</f>
        <v>3845</v>
      </c>
      <c r="C1750" s="1">
        <f>IFERROR(__xludf.DUMMYFUNCTION("""COMPUTED_VALUE"""),3990.0)</f>
        <v>3990</v>
      </c>
      <c r="D1750" s="1">
        <f>IFERROR(__xludf.DUMMYFUNCTION("""COMPUTED_VALUE"""),3810.0)</f>
        <v>3810</v>
      </c>
      <c r="E1750" s="1">
        <f>IFERROR(__xludf.DUMMYFUNCTION("""COMPUTED_VALUE"""),3955.0)</f>
        <v>3955</v>
      </c>
      <c r="F1750" s="1">
        <f>IFERROR(__xludf.DUMMYFUNCTION("""COMPUTED_VALUE"""),278323.0)</f>
        <v>278323</v>
      </c>
    </row>
    <row r="1751">
      <c r="A1751" s="2">
        <f>IFERROR(__xludf.DUMMYFUNCTION("""COMPUTED_VALUE"""),44595.64583333333)</f>
        <v>44595.64583</v>
      </c>
      <c r="B1751" s="1">
        <f>IFERROR(__xludf.DUMMYFUNCTION("""COMPUTED_VALUE"""),3985.0)</f>
        <v>3985</v>
      </c>
      <c r="C1751" s="1">
        <f>IFERROR(__xludf.DUMMYFUNCTION("""COMPUTED_VALUE"""),4040.0)</f>
        <v>4040</v>
      </c>
      <c r="D1751" s="1">
        <f>IFERROR(__xludf.DUMMYFUNCTION("""COMPUTED_VALUE"""),3950.0)</f>
        <v>3950</v>
      </c>
      <c r="E1751" s="1">
        <f>IFERROR(__xludf.DUMMYFUNCTION("""COMPUTED_VALUE"""),4025.0)</f>
        <v>4025</v>
      </c>
      <c r="F1751" s="1">
        <f>IFERROR(__xludf.DUMMYFUNCTION("""COMPUTED_VALUE"""),329198.0)</f>
        <v>329198</v>
      </c>
    </row>
    <row r="1752">
      <c r="A1752" s="2">
        <f>IFERROR(__xludf.DUMMYFUNCTION("""COMPUTED_VALUE"""),44596.64583333333)</f>
        <v>44596.64583</v>
      </c>
      <c r="B1752" s="1">
        <f>IFERROR(__xludf.DUMMYFUNCTION("""COMPUTED_VALUE"""),3985.0)</f>
        <v>3985</v>
      </c>
      <c r="C1752" s="1">
        <f>IFERROR(__xludf.DUMMYFUNCTION("""COMPUTED_VALUE"""),4055.0)</f>
        <v>4055</v>
      </c>
      <c r="D1752" s="1">
        <f>IFERROR(__xludf.DUMMYFUNCTION("""COMPUTED_VALUE"""),3965.0)</f>
        <v>3965</v>
      </c>
      <c r="E1752" s="1">
        <f>IFERROR(__xludf.DUMMYFUNCTION("""COMPUTED_VALUE"""),4050.0)</f>
        <v>4050</v>
      </c>
      <c r="F1752" s="1">
        <f>IFERROR(__xludf.DUMMYFUNCTION("""COMPUTED_VALUE"""),306057.0)</f>
        <v>306057</v>
      </c>
    </row>
    <row r="1753">
      <c r="A1753" s="2">
        <f>IFERROR(__xludf.DUMMYFUNCTION("""COMPUTED_VALUE"""),44599.64583333333)</f>
        <v>44599.64583</v>
      </c>
      <c r="B1753" s="1">
        <f>IFERROR(__xludf.DUMMYFUNCTION("""COMPUTED_VALUE"""),4185.0)</f>
        <v>4185</v>
      </c>
      <c r="C1753" s="1">
        <f>IFERROR(__xludf.DUMMYFUNCTION("""COMPUTED_VALUE"""),4260.0)</f>
        <v>4260</v>
      </c>
      <c r="D1753" s="1">
        <f>IFERROR(__xludf.DUMMYFUNCTION("""COMPUTED_VALUE"""),4030.0)</f>
        <v>4030</v>
      </c>
      <c r="E1753" s="1">
        <f>IFERROR(__xludf.DUMMYFUNCTION("""COMPUTED_VALUE"""),4100.0)</f>
        <v>4100</v>
      </c>
      <c r="F1753" s="1">
        <f>IFERROR(__xludf.DUMMYFUNCTION("""COMPUTED_VALUE"""),1033306.0)</f>
        <v>1033306</v>
      </c>
    </row>
    <row r="1754">
      <c r="A1754" s="2">
        <f>IFERROR(__xludf.DUMMYFUNCTION("""COMPUTED_VALUE"""),44600.64583333333)</f>
        <v>44600.64583</v>
      </c>
      <c r="B1754" s="1">
        <f>IFERROR(__xludf.DUMMYFUNCTION("""COMPUTED_VALUE"""),4140.0)</f>
        <v>4140</v>
      </c>
      <c r="C1754" s="1">
        <f>IFERROR(__xludf.DUMMYFUNCTION("""COMPUTED_VALUE"""),4255.0)</f>
        <v>4255</v>
      </c>
      <c r="D1754" s="1">
        <f>IFERROR(__xludf.DUMMYFUNCTION("""COMPUTED_VALUE"""),4050.0)</f>
        <v>4050</v>
      </c>
      <c r="E1754" s="1">
        <f>IFERROR(__xludf.DUMMYFUNCTION("""COMPUTED_VALUE"""),4060.0)</f>
        <v>4060</v>
      </c>
      <c r="F1754" s="1">
        <f>IFERROR(__xludf.DUMMYFUNCTION("""COMPUTED_VALUE"""),757904.0)</f>
        <v>757904</v>
      </c>
    </row>
    <row r="1755">
      <c r="A1755" s="2">
        <f>IFERROR(__xludf.DUMMYFUNCTION("""COMPUTED_VALUE"""),44601.64583333333)</f>
        <v>44601.64583</v>
      </c>
      <c r="B1755" s="1">
        <f>IFERROR(__xludf.DUMMYFUNCTION("""COMPUTED_VALUE"""),4100.0)</f>
        <v>4100</v>
      </c>
      <c r="C1755" s="1">
        <f>IFERROR(__xludf.DUMMYFUNCTION("""COMPUTED_VALUE"""),4260.0)</f>
        <v>4260</v>
      </c>
      <c r="D1755" s="1">
        <f>IFERROR(__xludf.DUMMYFUNCTION("""COMPUTED_VALUE"""),4060.0)</f>
        <v>4060</v>
      </c>
      <c r="E1755" s="1">
        <f>IFERROR(__xludf.DUMMYFUNCTION("""COMPUTED_VALUE"""),4150.0)</f>
        <v>4150</v>
      </c>
      <c r="F1755" s="1">
        <f>IFERROR(__xludf.DUMMYFUNCTION("""COMPUTED_VALUE"""),1300614.0)</f>
        <v>1300614</v>
      </c>
    </row>
    <row r="1756">
      <c r="A1756" s="2">
        <f>IFERROR(__xludf.DUMMYFUNCTION("""COMPUTED_VALUE"""),44602.64583333333)</f>
        <v>44602.64583</v>
      </c>
      <c r="B1756" s="1">
        <f>IFERROR(__xludf.DUMMYFUNCTION("""COMPUTED_VALUE"""),4140.0)</f>
        <v>4140</v>
      </c>
      <c r="C1756" s="1">
        <f>IFERROR(__xludf.DUMMYFUNCTION("""COMPUTED_VALUE"""),4170.0)</f>
        <v>4170</v>
      </c>
      <c r="D1756" s="1">
        <f>IFERROR(__xludf.DUMMYFUNCTION("""COMPUTED_VALUE"""),4090.0)</f>
        <v>4090</v>
      </c>
      <c r="E1756" s="1">
        <f>IFERROR(__xludf.DUMMYFUNCTION("""COMPUTED_VALUE"""),4100.0)</f>
        <v>4100</v>
      </c>
      <c r="F1756" s="1">
        <f>IFERROR(__xludf.DUMMYFUNCTION("""COMPUTED_VALUE"""),316101.0)</f>
        <v>316101</v>
      </c>
    </row>
    <row r="1757">
      <c r="A1757" s="2">
        <f>IFERROR(__xludf.DUMMYFUNCTION("""COMPUTED_VALUE"""),44603.64583333333)</f>
        <v>44603.64583</v>
      </c>
      <c r="B1757" s="1">
        <f>IFERROR(__xludf.DUMMYFUNCTION("""COMPUTED_VALUE"""),4085.0)</f>
        <v>4085</v>
      </c>
      <c r="C1757" s="1">
        <f>IFERROR(__xludf.DUMMYFUNCTION("""COMPUTED_VALUE"""),4105.0)</f>
        <v>4105</v>
      </c>
      <c r="D1757" s="1">
        <f>IFERROR(__xludf.DUMMYFUNCTION("""COMPUTED_VALUE"""),3985.0)</f>
        <v>3985</v>
      </c>
      <c r="E1757" s="1">
        <f>IFERROR(__xludf.DUMMYFUNCTION("""COMPUTED_VALUE"""),4050.0)</f>
        <v>4050</v>
      </c>
      <c r="F1757" s="1">
        <f>IFERROR(__xludf.DUMMYFUNCTION("""COMPUTED_VALUE"""),235264.0)</f>
        <v>235264</v>
      </c>
    </row>
    <row r="1758">
      <c r="A1758" s="2">
        <f>IFERROR(__xludf.DUMMYFUNCTION("""COMPUTED_VALUE"""),44606.64583333333)</f>
        <v>44606.64583</v>
      </c>
      <c r="B1758" s="1">
        <f>IFERROR(__xludf.DUMMYFUNCTION("""COMPUTED_VALUE"""),3965.0)</f>
        <v>3965</v>
      </c>
      <c r="C1758" s="1">
        <f>IFERROR(__xludf.DUMMYFUNCTION("""COMPUTED_VALUE"""),3995.0)</f>
        <v>3995</v>
      </c>
      <c r="D1758" s="1">
        <f>IFERROR(__xludf.DUMMYFUNCTION("""COMPUTED_VALUE"""),3845.0)</f>
        <v>3845</v>
      </c>
      <c r="E1758" s="1">
        <f>IFERROR(__xludf.DUMMYFUNCTION("""COMPUTED_VALUE"""),3935.0)</f>
        <v>3935</v>
      </c>
      <c r="F1758" s="1">
        <f>IFERROR(__xludf.DUMMYFUNCTION("""COMPUTED_VALUE"""),343112.0)</f>
        <v>343112</v>
      </c>
    </row>
    <row r="1759">
      <c r="A1759" s="2">
        <f>IFERROR(__xludf.DUMMYFUNCTION("""COMPUTED_VALUE"""),44607.64583333333)</f>
        <v>44607.64583</v>
      </c>
      <c r="B1759" s="1">
        <f>IFERROR(__xludf.DUMMYFUNCTION("""COMPUTED_VALUE"""),3950.0)</f>
        <v>3950</v>
      </c>
      <c r="C1759" s="1">
        <f>IFERROR(__xludf.DUMMYFUNCTION("""COMPUTED_VALUE"""),4005.0)</f>
        <v>4005</v>
      </c>
      <c r="D1759" s="1">
        <f>IFERROR(__xludf.DUMMYFUNCTION("""COMPUTED_VALUE"""),3850.0)</f>
        <v>3850</v>
      </c>
      <c r="E1759" s="1">
        <f>IFERROR(__xludf.DUMMYFUNCTION("""COMPUTED_VALUE"""),3925.0)</f>
        <v>3925</v>
      </c>
      <c r="F1759" s="1">
        <f>IFERROR(__xludf.DUMMYFUNCTION("""COMPUTED_VALUE"""),307273.0)</f>
        <v>307273</v>
      </c>
    </row>
    <row r="1760">
      <c r="A1760" s="2">
        <f>IFERROR(__xludf.DUMMYFUNCTION("""COMPUTED_VALUE"""),44608.64583333333)</f>
        <v>44608.64583</v>
      </c>
      <c r="B1760" s="1">
        <f>IFERROR(__xludf.DUMMYFUNCTION("""COMPUTED_VALUE"""),3960.0)</f>
        <v>3960</v>
      </c>
      <c r="C1760" s="1">
        <f>IFERROR(__xludf.DUMMYFUNCTION("""COMPUTED_VALUE"""),4100.0)</f>
        <v>4100</v>
      </c>
      <c r="D1760" s="1">
        <f>IFERROR(__xludf.DUMMYFUNCTION("""COMPUTED_VALUE"""),3960.0)</f>
        <v>3960</v>
      </c>
      <c r="E1760" s="1">
        <f>IFERROR(__xludf.DUMMYFUNCTION("""COMPUTED_VALUE"""),4070.0)</f>
        <v>4070</v>
      </c>
      <c r="F1760" s="1">
        <f>IFERROR(__xludf.DUMMYFUNCTION("""COMPUTED_VALUE"""),481862.0)</f>
        <v>481862</v>
      </c>
    </row>
    <row r="1761">
      <c r="A1761" s="2">
        <f>IFERROR(__xludf.DUMMYFUNCTION("""COMPUTED_VALUE"""),44609.64583333333)</f>
        <v>44609.64583</v>
      </c>
      <c r="B1761" s="1">
        <f>IFERROR(__xludf.DUMMYFUNCTION("""COMPUTED_VALUE"""),4170.0)</f>
        <v>4170</v>
      </c>
      <c r="C1761" s="1">
        <f>IFERROR(__xludf.DUMMYFUNCTION("""COMPUTED_VALUE"""),4205.0)</f>
        <v>4205</v>
      </c>
      <c r="D1761" s="1">
        <f>IFERROR(__xludf.DUMMYFUNCTION("""COMPUTED_VALUE"""),3930.0)</f>
        <v>3930</v>
      </c>
      <c r="E1761" s="1">
        <f>IFERROR(__xludf.DUMMYFUNCTION("""COMPUTED_VALUE"""),4050.0)</f>
        <v>4050</v>
      </c>
      <c r="F1761" s="1">
        <f>IFERROR(__xludf.DUMMYFUNCTION("""COMPUTED_VALUE"""),1045749.0)</f>
        <v>1045749</v>
      </c>
    </row>
    <row r="1762">
      <c r="A1762" s="2">
        <f>IFERROR(__xludf.DUMMYFUNCTION("""COMPUTED_VALUE"""),44610.64583333333)</f>
        <v>44610.64583</v>
      </c>
      <c r="B1762" s="1">
        <f>IFERROR(__xludf.DUMMYFUNCTION("""COMPUTED_VALUE"""),4050.0)</f>
        <v>4050</v>
      </c>
      <c r="C1762" s="1">
        <f>IFERROR(__xludf.DUMMYFUNCTION("""COMPUTED_VALUE"""),4170.0)</f>
        <v>4170</v>
      </c>
      <c r="D1762" s="1">
        <f>IFERROR(__xludf.DUMMYFUNCTION("""COMPUTED_VALUE"""),3990.0)</f>
        <v>3990</v>
      </c>
      <c r="E1762" s="1">
        <f>IFERROR(__xludf.DUMMYFUNCTION("""COMPUTED_VALUE"""),4110.0)</f>
        <v>4110</v>
      </c>
      <c r="F1762" s="1">
        <f>IFERROR(__xludf.DUMMYFUNCTION("""COMPUTED_VALUE"""),601988.0)</f>
        <v>601988</v>
      </c>
    </row>
    <row r="1763">
      <c r="A1763" s="2">
        <f>IFERROR(__xludf.DUMMYFUNCTION("""COMPUTED_VALUE"""),44613.64583333333)</f>
        <v>44613.64583</v>
      </c>
      <c r="B1763" s="1">
        <f>IFERROR(__xludf.DUMMYFUNCTION("""COMPUTED_VALUE"""),4025.0)</f>
        <v>4025</v>
      </c>
      <c r="C1763" s="1">
        <f>IFERROR(__xludf.DUMMYFUNCTION("""COMPUTED_VALUE"""),4160.0)</f>
        <v>4160</v>
      </c>
      <c r="D1763" s="1">
        <f>IFERROR(__xludf.DUMMYFUNCTION("""COMPUTED_VALUE"""),4005.0)</f>
        <v>4005</v>
      </c>
      <c r="E1763" s="1">
        <f>IFERROR(__xludf.DUMMYFUNCTION("""COMPUTED_VALUE"""),4060.0)</f>
        <v>4060</v>
      </c>
      <c r="F1763" s="1">
        <f>IFERROR(__xludf.DUMMYFUNCTION("""COMPUTED_VALUE"""),310116.0)</f>
        <v>310116</v>
      </c>
    </row>
    <row r="1764">
      <c r="A1764" s="2">
        <f>IFERROR(__xludf.DUMMYFUNCTION("""COMPUTED_VALUE"""),44614.64583333333)</f>
        <v>44614.64583</v>
      </c>
      <c r="B1764" s="1">
        <f>IFERROR(__xludf.DUMMYFUNCTION("""COMPUTED_VALUE"""),3985.0)</f>
        <v>3985</v>
      </c>
      <c r="C1764" s="1">
        <f>IFERROR(__xludf.DUMMYFUNCTION("""COMPUTED_VALUE"""),4075.0)</f>
        <v>4075</v>
      </c>
      <c r="D1764" s="1">
        <f>IFERROR(__xludf.DUMMYFUNCTION("""COMPUTED_VALUE"""),3970.0)</f>
        <v>3970</v>
      </c>
      <c r="E1764" s="1">
        <f>IFERROR(__xludf.DUMMYFUNCTION("""COMPUTED_VALUE"""),3985.0)</f>
        <v>3985</v>
      </c>
      <c r="F1764" s="1">
        <f>IFERROR(__xludf.DUMMYFUNCTION("""COMPUTED_VALUE"""),280851.0)</f>
        <v>280851</v>
      </c>
    </row>
    <row r="1765">
      <c r="A1765" s="2">
        <f>IFERROR(__xludf.DUMMYFUNCTION("""COMPUTED_VALUE"""),44615.64583333333)</f>
        <v>44615.64583</v>
      </c>
      <c r="B1765" s="1">
        <f>IFERROR(__xludf.DUMMYFUNCTION("""COMPUTED_VALUE"""),4005.0)</f>
        <v>4005</v>
      </c>
      <c r="C1765" s="1">
        <f>IFERROR(__xludf.DUMMYFUNCTION("""COMPUTED_VALUE"""),4040.0)</f>
        <v>4040</v>
      </c>
      <c r="D1765" s="1">
        <f>IFERROR(__xludf.DUMMYFUNCTION("""COMPUTED_VALUE"""),3960.0)</f>
        <v>3960</v>
      </c>
      <c r="E1765" s="1">
        <f>IFERROR(__xludf.DUMMYFUNCTION("""COMPUTED_VALUE"""),4005.0)</f>
        <v>4005</v>
      </c>
      <c r="F1765" s="1">
        <f>IFERROR(__xludf.DUMMYFUNCTION("""COMPUTED_VALUE"""),230559.0)</f>
        <v>230559</v>
      </c>
    </row>
    <row r="1766">
      <c r="A1766" s="2">
        <f>IFERROR(__xludf.DUMMYFUNCTION("""COMPUTED_VALUE"""),44616.64583333333)</f>
        <v>44616.64583</v>
      </c>
      <c r="B1766" s="1">
        <f>IFERROR(__xludf.DUMMYFUNCTION("""COMPUTED_VALUE"""),4120.0)</f>
        <v>4120</v>
      </c>
      <c r="C1766" s="1">
        <f>IFERROR(__xludf.DUMMYFUNCTION("""COMPUTED_VALUE"""),4135.0)</f>
        <v>4135</v>
      </c>
      <c r="D1766" s="1">
        <f>IFERROR(__xludf.DUMMYFUNCTION("""COMPUTED_VALUE"""),3900.0)</f>
        <v>3900</v>
      </c>
      <c r="E1766" s="1">
        <f>IFERROR(__xludf.DUMMYFUNCTION("""COMPUTED_VALUE"""),3925.0)</f>
        <v>3925</v>
      </c>
      <c r="F1766" s="1">
        <f>IFERROR(__xludf.DUMMYFUNCTION("""COMPUTED_VALUE"""),602181.0)</f>
        <v>602181</v>
      </c>
    </row>
    <row r="1767">
      <c r="A1767" s="2">
        <f>IFERROR(__xludf.DUMMYFUNCTION("""COMPUTED_VALUE"""),44617.64583333333)</f>
        <v>44617.64583</v>
      </c>
      <c r="B1767" s="1">
        <f>IFERROR(__xludf.DUMMYFUNCTION("""COMPUTED_VALUE"""),4025.0)</f>
        <v>4025</v>
      </c>
      <c r="C1767" s="1">
        <f>IFERROR(__xludf.DUMMYFUNCTION("""COMPUTED_VALUE"""),4125.0)</f>
        <v>4125</v>
      </c>
      <c r="D1767" s="1">
        <f>IFERROR(__xludf.DUMMYFUNCTION("""COMPUTED_VALUE"""),3980.0)</f>
        <v>3980</v>
      </c>
      <c r="E1767" s="1">
        <f>IFERROR(__xludf.DUMMYFUNCTION("""COMPUTED_VALUE"""),4055.0)</f>
        <v>4055</v>
      </c>
      <c r="F1767" s="1">
        <f>IFERROR(__xludf.DUMMYFUNCTION("""COMPUTED_VALUE"""),581053.0)</f>
        <v>581053</v>
      </c>
    </row>
    <row r="1768">
      <c r="A1768" s="2">
        <f>IFERROR(__xludf.DUMMYFUNCTION("""COMPUTED_VALUE"""),44620.64583333333)</f>
        <v>44620.64583</v>
      </c>
      <c r="B1768" s="1">
        <f>IFERROR(__xludf.DUMMYFUNCTION("""COMPUTED_VALUE"""),4100.0)</f>
        <v>4100</v>
      </c>
      <c r="C1768" s="1">
        <f>IFERROR(__xludf.DUMMYFUNCTION("""COMPUTED_VALUE"""),4175.0)</f>
        <v>4175</v>
      </c>
      <c r="D1768" s="1">
        <f>IFERROR(__xludf.DUMMYFUNCTION("""COMPUTED_VALUE"""),4050.0)</f>
        <v>4050</v>
      </c>
      <c r="E1768" s="1">
        <f>IFERROR(__xludf.DUMMYFUNCTION("""COMPUTED_VALUE"""),4125.0)</f>
        <v>4125</v>
      </c>
      <c r="F1768" s="1">
        <f>IFERROR(__xludf.DUMMYFUNCTION("""COMPUTED_VALUE"""),715665.0)</f>
        <v>715665</v>
      </c>
    </row>
    <row r="1769">
      <c r="A1769" s="2">
        <f>IFERROR(__xludf.DUMMYFUNCTION("""COMPUTED_VALUE"""),44622.64583333333)</f>
        <v>44622.64583</v>
      </c>
      <c r="B1769" s="1">
        <f>IFERROR(__xludf.DUMMYFUNCTION("""COMPUTED_VALUE"""),4150.0)</f>
        <v>4150</v>
      </c>
      <c r="C1769" s="1">
        <f>IFERROR(__xludf.DUMMYFUNCTION("""COMPUTED_VALUE"""),4220.0)</f>
        <v>4220</v>
      </c>
      <c r="D1769" s="1">
        <f>IFERROR(__xludf.DUMMYFUNCTION("""COMPUTED_VALUE"""),4100.0)</f>
        <v>4100</v>
      </c>
      <c r="E1769" s="1">
        <f>IFERROR(__xludf.DUMMYFUNCTION("""COMPUTED_VALUE"""),4220.0)</f>
        <v>4220</v>
      </c>
      <c r="F1769" s="1">
        <f>IFERROR(__xludf.DUMMYFUNCTION("""COMPUTED_VALUE"""),572576.0)</f>
        <v>572576</v>
      </c>
    </row>
    <row r="1770">
      <c r="A1770" s="2">
        <f>IFERROR(__xludf.DUMMYFUNCTION("""COMPUTED_VALUE"""),44623.64583333333)</f>
        <v>44623.64583</v>
      </c>
      <c r="B1770" s="1">
        <f>IFERROR(__xludf.DUMMYFUNCTION("""COMPUTED_VALUE"""),4220.0)</f>
        <v>4220</v>
      </c>
      <c r="C1770" s="1">
        <f>IFERROR(__xludf.DUMMYFUNCTION("""COMPUTED_VALUE"""),4240.0)</f>
        <v>4240</v>
      </c>
      <c r="D1770" s="1">
        <f>IFERROR(__xludf.DUMMYFUNCTION("""COMPUTED_VALUE"""),4170.0)</f>
        <v>4170</v>
      </c>
      <c r="E1770" s="1">
        <f>IFERROR(__xludf.DUMMYFUNCTION("""COMPUTED_VALUE"""),4230.0)</f>
        <v>4230</v>
      </c>
      <c r="F1770" s="1">
        <f>IFERROR(__xludf.DUMMYFUNCTION("""COMPUTED_VALUE"""),446413.0)</f>
        <v>446413</v>
      </c>
    </row>
    <row r="1771">
      <c r="A1771" s="2">
        <f>IFERROR(__xludf.DUMMYFUNCTION("""COMPUTED_VALUE"""),44624.64583333333)</f>
        <v>44624.64583</v>
      </c>
      <c r="B1771" s="1">
        <f>IFERROR(__xludf.DUMMYFUNCTION("""COMPUTED_VALUE"""),4210.0)</f>
        <v>4210</v>
      </c>
      <c r="C1771" s="1">
        <f>IFERROR(__xludf.DUMMYFUNCTION("""COMPUTED_VALUE"""),4220.0)</f>
        <v>4220</v>
      </c>
      <c r="D1771" s="1">
        <f>IFERROR(__xludf.DUMMYFUNCTION("""COMPUTED_VALUE"""),4140.0)</f>
        <v>4140</v>
      </c>
      <c r="E1771" s="1">
        <f>IFERROR(__xludf.DUMMYFUNCTION("""COMPUTED_VALUE"""),4170.0)</f>
        <v>4170</v>
      </c>
      <c r="F1771" s="1">
        <f>IFERROR(__xludf.DUMMYFUNCTION("""COMPUTED_VALUE"""),236722.0)</f>
        <v>236722</v>
      </c>
    </row>
    <row r="1772">
      <c r="A1772" s="2">
        <f>IFERROR(__xludf.DUMMYFUNCTION("""COMPUTED_VALUE"""),44627.64583333333)</f>
        <v>44627.64583</v>
      </c>
      <c r="B1772" s="1">
        <f>IFERROR(__xludf.DUMMYFUNCTION("""COMPUTED_VALUE"""),4140.0)</f>
        <v>4140</v>
      </c>
      <c r="C1772" s="1">
        <f>IFERROR(__xludf.DUMMYFUNCTION("""COMPUTED_VALUE"""),4150.0)</f>
        <v>4150</v>
      </c>
      <c r="D1772" s="1">
        <f>IFERROR(__xludf.DUMMYFUNCTION("""COMPUTED_VALUE"""),4030.0)</f>
        <v>4030</v>
      </c>
      <c r="E1772" s="1">
        <f>IFERROR(__xludf.DUMMYFUNCTION("""COMPUTED_VALUE"""),4035.0)</f>
        <v>4035</v>
      </c>
      <c r="F1772" s="1">
        <f>IFERROR(__xludf.DUMMYFUNCTION("""COMPUTED_VALUE"""),349817.0)</f>
        <v>349817</v>
      </c>
    </row>
    <row r="1773">
      <c r="A1773" s="2">
        <f>IFERROR(__xludf.DUMMYFUNCTION("""COMPUTED_VALUE"""),44628.64583333333)</f>
        <v>44628.64583</v>
      </c>
      <c r="B1773" s="1">
        <f>IFERROR(__xludf.DUMMYFUNCTION("""COMPUTED_VALUE"""),3975.0)</f>
        <v>3975</v>
      </c>
      <c r="C1773" s="1">
        <f>IFERROR(__xludf.DUMMYFUNCTION("""COMPUTED_VALUE"""),4065.0)</f>
        <v>4065</v>
      </c>
      <c r="D1773" s="1">
        <f>IFERROR(__xludf.DUMMYFUNCTION("""COMPUTED_VALUE"""),3960.0)</f>
        <v>3960</v>
      </c>
      <c r="E1773" s="1">
        <f>IFERROR(__xludf.DUMMYFUNCTION("""COMPUTED_VALUE"""),4065.0)</f>
        <v>4065</v>
      </c>
      <c r="F1773" s="1">
        <f>IFERROR(__xludf.DUMMYFUNCTION("""COMPUTED_VALUE"""),296610.0)</f>
        <v>296610</v>
      </c>
    </row>
    <row r="1774">
      <c r="A1774" s="2">
        <f>IFERROR(__xludf.DUMMYFUNCTION("""COMPUTED_VALUE"""),44630.64583333333)</f>
        <v>44630.64583</v>
      </c>
      <c r="B1774" s="1">
        <f>IFERROR(__xludf.DUMMYFUNCTION("""COMPUTED_VALUE"""),4155.0)</f>
        <v>4155</v>
      </c>
      <c r="C1774" s="1">
        <f>IFERROR(__xludf.DUMMYFUNCTION("""COMPUTED_VALUE"""),4155.0)</f>
        <v>4155</v>
      </c>
      <c r="D1774" s="1">
        <f>IFERROR(__xludf.DUMMYFUNCTION("""COMPUTED_VALUE"""),4070.0)</f>
        <v>4070</v>
      </c>
      <c r="E1774" s="1">
        <f>IFERROR(__xludf.DUMMYFUNCTION("""COMPUTED_VALUE"""),4125.0)</f>
        <v>4125</v>
      </c>
      <c r="F1774" s="1">
        <f>IFERROR(__xludf.DUMMYFUNCTION("""COMPUTED_VALUE"""),257683.0)</f>
        <v>257683</v>
      </c>
    </row>
    <row r="1775">
      <c r="A1775" s="2">
        <f>IFERROR(__xludf.DUMMYFUNCTION("""COMPUTED_VALUE"""),44631.64583333333)</f>
        <v>44631.64583</v>
      </c>
      <c r="B1775" s="1">
        <f>IFERROR(__xludf.DUMMYFUNCTION("""COMPUTED_VALUE"""),4135.0)</f>
        <v>4135</v>
      </c>
      <c r="C1775" s="1">
        <f>IFERROR(__xludf.DUMMYFUNCTION("""COMPUTED_VALUE"""),4195.0)</f>
        <v>4195</v>
      </c>
      <c r="D1775" s="1">
        <f>IFERROR(__xludf.DUMMYFUNCTION("""COMPUTED_VALUE"""),4095.0)</f>
        <v>4095</v>
      </c>
      <c r="E1775" s="1">
        <f>IFERROR(__xludf.DUMMYFUNCTION("""COMPUTED_VALUE"""),4195.0)</f>
        <v>4195</v>
      </c>
      <c r="F1775" s="1">
        <f>IFERROR(__xludf.DUMMYFUNCTION("""COMPUTED_VALUE"""),414916.0)</f>
        <v>414916</v>
      </c>
    </row>
    <row r="1776">
      <c r="A1776" s="2">
        <f>IFERROR(__xludf.DUMMYFUNCTION("""COMPUTED_VALUE"""),44634.64583333333)</f>
        <v>44634.64583</v>
      </c>
      <c r="B1776" s="1">
        <f>IFERROR(__xludf.DUMMYFUNCTION("""COMPUTED_VALUE"""),4225.0)</f>
        <v>4225</v>
      </c>
      <c r="C1776" s="1">
        <f>IFERROR(__xludf.DUMMYFUNCTION("""COMPUTED_VALUE"""),4355.0)</f>
        <v>4355</v>
      </c>
      <c r="D1776" s="1">
        <f>IFERROR(__xludf.DUMMYFUNCTION("""COMPUTED_VALUE"""),4195.0)</f>
        <v>4195</v>
      </c>
      <c r="E1776" s="1">
        <f>IFERROR(__xludf.DUMMYFUNCTION("""COMPUTED_VALUE"""),4335.0)</f>
        <v>4335</v>
      </c>
      <c r="F1776" s="1">
        <f>IFERROR(__xludf.DUMMYFUNCTION("""COMPUTED_VALUE"""),1317965.0)</f>
        <v>1317965</v>
      </c>
    </row>
    <row r="1777">
      <c r="A1777" s="2">
        <f>IFERROR(__xludf.DUMMYFUNCTION("""COMPUTED_VALUE"""),44635.64583333333)</f>
        <v>44635.64583</v>
      </c>
      <c r="B1777" s="1">
        <f>IFERROR(__xludf.DUMMYFUNCTION("""COMPUTED_VALUE"""),4310.0)</f>
        <v>4310</v>
      </c>
      <c r="C1777" s="1">
        <f>IFERROR(__xludf.DUMMYFUNCTION("""COMPUTED_VALUE"""),4355.0)</f>
        <v>4355</v>
      </c>
      <c r="D1777" s="1">
        <f>IFERROR(__xludf.DUMMYFUNCTION("""COMPUTED_VALUE"""),4265.0)</f>
        <v>4265</v>
      </c>
      <c r="E1777" s="1">
        <f>IFERROR(__xludf.DUMMYFUNCTION("""COMPUTED_VALUE"""),4335.0)</f>
        <v>4335</v>
      </c>
      <c r="F1777" s="1">
        <f>IFERROR(__xludf.DUMMYFUNCTION("""COMPUTED_VALUE"""),584468.0)</f>
        <v>584468</v>
      </c>
    </row>
    <row r="1778">
      <c r="A1778" s="2">
        <f>IFERROR(__xludf.DUMMYFUNCTION("""COMPUTED_VALUE"""),44636.64583333333)</f>
        <v>44636.64583</v>
      </c>
      <c r="B1778" s="1">
        <f>IFERROR(__xludf.DUMMYFUNCTION("""COMPUTED_VALUE"""),4340.0)</f>
        <v>4340</v>
      </c>
      <c r="C1778" s="1">
        <f>IFERROR(__xludf.DUMMYFUNCTION("""COMPUTED_VALUE"""),4440.0)</f>
        <v>4440</v>
      </c>
      <c r="D1778" s="1">
        <f>IFERROR(__xludf.DUMMYFUNCTION("""COMPUTED_VALUE"""),4280.0)</f>
        <v>4280</v>
      </c>
      <c r="E1778" s="1">
        <f>IFERROR(__xludf.DUMMYFUNCTION("""COMPUTED_VALUE"""),4335.0)</f>
        <v>4335</v>
      </c>
      <c r="F1778" s="1">
        <f>IFERROR(__xludf.DUMMYFUNCTION("""COMPUTED_VALUE"""),800317.0)</f>
        <v>800317</v>
      </c>
    </row>
    <row r="1779">
      <c r="A1779" s="2">
        <f>IFERROR(__xludf.DUMMYFUNCTION("""COMPUTED_VALUE"""),44637.64583333333)</f>
        <v>44637.64583</v>
      </c>
      <c r="B1779" s="1">
        <f>IFERROR(__xludf.DUMMYFUNCTION("""COMPUTED_VALUE"""),4355.0)</f>
        <v>4355</v>
      </c>
      <c r="C1779" s="1">
        <f>IFERROR(__xludf.DUMMYFUNCTION("""COMPUTED_VALUE"""),4425.0)</f>
        <v>4425</v>
      </c>
      <c r="D1779" s="1">
        <f>IFERROR(__xludf.DUMMYFUNCTION("""COMPUTED_VALUE"""),4325.0)</f>
        <v>4325</v>
      </c>
      <c r="E1779" s="1">
        <f>IFERROR(__xludf.DUMMYFUNCTION("""COMPUTED_VALUE"""),4415.0)</f>
        <v>4415</v>
      </c>
      <c r="F1779" s="1">
        <f>IFERROR(__xludf.DUMMYFUNCTION("""COMPUTED_VALUE"""),812279.0)</f>
        <v>812279</v>
      </c>
    </row>
    <row r="1780">
      <c r="A1780" s="2">
        <f>IFERROR(__xludf.DUMMYFUNCTION("""COMPUTED_VALUE"""),44638.64583333333)</f>
        <v>44638.64583</v>
      </c>
      <c r="B1780" s="1">
        <f>IFERROR(__xludf.DUMMYFUNCTION("""COMPUTED_VALUE"""),4410.0)</f>
        <v>4410</v>
      </c>
      <c r="C1780" s="1">
        <f>IFERROR(__xludf.DUMMYFUNCTION("""COMPUTED_VALUE"""),4415.0)</f>
        <v>4415</v>
      </c>
      <c r="D1780" s="1">
        <f>IFERROR(__xludf.DUMMYFUNCTION("""COMPUTED_VALUE"""),4340.0)</f>
        <v>4340</v>
      </c>
      <c r="E1780" s="1">
        <f>IFERROR(__xludf.DUMMYFUNCTION("""COMPUTED_VALUE"""),4380.0)</f>
        <v>4380</v>
      </c>
      <c r="F1780" s="1">
        <f>IFERROR(__xludf.DUMMYFUNCTION("""COMPUTED_VALUE"""),374354.0)</f>
        <v>374354</v>
      </c>
    </row>
    <row r="1781">
      <c r="A1781" s="2">
        <f>IFERROR(__xludf.DUMMYFUNCTION("""COMPUTED_VALUE"""),44641.64583333333)</f>
        <v>44641.64583</v>
      </c>
      <c r="B1781" s="1">
        <f>IFERROR(__xludf.DUMMYFUNCTION("""COMPUTED_VALUE"""),4405.0)</f>
        <v>4405</v>
      </c>
      <c r="C1781" s="1">
        <f>IFERROR(__xludf.DUMMYFUNCTION("""COMPUTED_VALUE"""),4445.0)</f>
        <v>4445</v>
      </c>
      <c r="D1781" s="1">
        <f>IFERROR(__xludf.DUMMYFUNCTION("""COMPUTED_VALUE"""),4370.0)</f>
        <v>4370</v>
      </c>
      <c r="E1781" s="1">
        <f>IFERROR(__xludf.DUMMYFUNCTION("""COMPUTED_VALUE"""),4420.0)</f>
        <v>4420</v>
      </c>
      <c r="F1781" s="1">
        <f>IFERROR(__xludf.DUMMYFUNCTION("""COMPUTED_VALUE"""),508741.0)</f>
        <v>508741</v>
      </c>
    </row>
    <row r="1782">
      <c r="A1782" s="2">
        <f>IFERROR(__xludf.DUMMYFUNCTION("""COMPUTED_VALUE"""),44642.64583333333)</f>
        <v>44642.64583</v>
      </c>
      <c r="B1782" s="1">
        <f>IFERROR(__xludf.DUMMYFUNCTION("""COMPUTED_VALUE"""),4440.0)</f>
        <v>4440</v>
      </c>
      <c r="C1782" s="1">
        <f>IFERROR(__xludf.DUMMYFUNCTION("""COMPUTED_VALUE"""),4460.0)</f>
        <v>4460</v>
      </c>
      <c r="D1782" s="1">
        <f>IFERROR(__xludf.DUMMYFUNCTION("""COMPUTED_VALUE"""),4385.0)</f>
        <v>4385</v>
      </c>
      <c r="E1782" s="1">
        <f>IFERROR(__xludf.DUMMYFUNCTION("""COMPUTED_VALUE"""),4460.0)</f>
        <v>4460</v>
      </c>
      <c r="F1782" s="1">
        <f>IFERROR(__xludf.DUMMYFUNCTION("""COMPUTED_VALUE"""),529495.0)</f>
        <v>529495</v>
      </c>
    </row>
    <row r="1783">
      <c r="A1783" s="2">
        <f>IFERROR(__xludf.DUMMYFUNCTION("""COMPUTED_VALUE"""),44643.64583333333)</f>
        <v>44643.64583</v>
      </c>
      <c r="B1783" s="1">
        <f>IFERROR(__xludf.DUMMYFUNCTION("""COMPUTED_VALUE"""),4495.0)</f>
        <v>4495</v>
      </c>
      <c r="C1783" s="1">
        <f>IFERROR(__xludf.DUMMYFUNCTION("""COMPUTED_VALUE"""),4570.0)</f>
        <v>4570</v>
      </c>
      <c r="D1783" s="1">
        <f>IFERROR(__xludf.DUMMYFUNCTION("""COMPUTED_VALUE"""),4465.0)</f>
        <v>4465</v>
      </c>
      <c r="E1783" s="1">
        <f>IFERROR(__xludf.DUMMYFUNCTION("""COMPUTED_VALUE"""),4525.0)</f>
        <v>4525</v>
      </c>
      <c r="F1783" s="1">
        <f>IFERROR(__xludf.DUMMYFUNCTION("""COMPUTED_VALUE"""),1238349.0)</f>
        <v>1238349</v>
      </c>
    </row>
    <row r="1784">
      <c r="A1784" s="2">
        <f>IFERROR(__xludf.DUMMYFUNCTION("""COMPUTED_VALUE"""),44644.64583333333)</f>
        <v>44644.64583</v>
      </c>
      <c r="B1784" s="1">
        <f>IFERROR(__xludf.DUMMYFUNCTION("""COMPUTED_VALUE"""),4555.0)</f>
        <v>4555</v>
      </c>
      <c r="C1784" s="1">
        <f>IFERROR(__xludf.DUMMYFUNCTION("""COMPUTED_VALUE"""),4560.0)</f>
        <v>4560</v>
      </c>
      <c r="D1784" s="1">
        <f>IFERROR(__xludf.DUMMYFUNCTION("""COMPUTED_VALUE"""),4425.0)</f>
        <v>4425</v>
      </c>
      <c r="E1784" s="1">
        <f>IFERROR(__xludf.DUMMYFUNCTION("""COMPUTED_VALUE"""),4505.0)</f>
        <v>4505</v>
      </c>
      <c r="F1784" s="1">
        <f>IFERROR(__xludf.DUMMYFUNCTION("""COMPUTED_VALUE"""),693079.0)</f>
        <v>693079</v>
      </c>
    </row>
    <row r="1785">
      <c r="A1785" s="2">
        <f>IFERROR(__xludf.DUMMYFUNCTION("""COMPUTED_VALUE"""),44645.64583333333)</f>
        <v>44645.64583</v>
      </c>
      <c r="B1785" s="1">
        <f>IFERROR(__xludf.DUMMYFUNCTION("""COMPUTED_VALUE"""),4510.0)</f>
        <v>4510</v>
      </c>
      <c r="C1785" s="1">
        <f>IFERROR(__xludf.DUMMYFUNCTION("""COMPUTED_VALUE"""),4530.0)</f>
        <v>4530</v>
      </c>
      <c r="D1785" s="1">
        <f>IFERROR(__xludf.DUMMYFUNCTION("""COMPUTED_VALUE"""),4455.0)</f>
        <v>4455</v>
      </c>
      <c r="E1785" s="1">
        <f>IFERROR(__xludf.DUMMYFUNCTION("""COMPUTED_VALUE"""),4500.0)</f>
        <v>4500</v>
      </c>
      <c r="F1785" s="1">
        <f>IFERROR(__xludf.DUMMYFUNCTION("""COMPUTED_VALUE"""),383921.0)</f>
        <v>383921</v>
      </c>
    </row>
    <row r="1786">
      <c r="A1786" s="2">
        <f>IFERROR(__xludf.DUMMYFUNCTION("""COMPUTED_VALUE"""),44648.64583333333)</f>
        <v>44648.64583</v>
      </c>
      <c r="B1786" s="1">
        <f>IFERROR(__xludf.DUMMYFUNCTION("""COMPUTED_VALUE"""),4505.0)</f>
        <v>4505</v>
      </c>
      <c r="C1786" s="1">
        <f>IFERROR(__xludf.DUMMYFUNCTION("""COMPUTED_VALUE"""),4525.0)</f>
        <v>4525</v>
      </c>
      <c r="D1786" s="1">
        <f>IFERROR(__xludf.DUMMYFUNCTION("""COMPUTED_VALUE"""),4425.0)</f>
        <v>4425</v>
      </c>
      <c r="E1786" s="1">
        <f>IFERROR(__xludf.DUMMYFUNCTION("""COMPUTED_VALUE"""),4505.0)</f>
        <v>4505</v>
      </c>
      <c r="F1786" s="1">
        <f>IFERROR(__xludf.DUMMYFUNCTION("""COMPUTED_VALUE"""),433329.0)</f>
        <v>433329</v>
      </c>
    </row>
    <row r="1787">
      <c r="A1787" s="2">
        <f>IFERROR(__xludf.DUMMYFUNCTION("""COMPUTED_VALUE"""),44649.64583333333)</f>
        <v>44649.64583</v>
      </c>
      <c r="B1787" s="1">
        <f>IFERROR(__xludf.DUMMYFUNCTION("""COMPUTED_VALUE"""),4485.0)</f>
        <v>4485</v>
      </c>
      <c r="C1787" s="1">
        <f>IFERROR(__xludf.DUMMYFUNCTION("""COMPUTED_VALUE"""),4530.0)</f>
        <v>4530</v>
      </c>
      <c r="D1787" s="1">
        <f>IFERROR(__xludf.DUMMYFUNCTION("""COMPUTED_VALUE"""),4405.0)</f>
        <v>4405</v>
      </c>
      <c r="E1787" s="1">
        <f>IFERROR(__xludf.DUMMYFUNCTION("""COMPUTED_VALUE"""),4495.0)</f>
        <v>4495</v>
      </c>
      <c r="F1787" s="1">
        <f>IFERROR(__xludf.DUMMYFUNCTION("""COMPUTED_VALUE"""),643685.0)</f>
        <v>643685</v>
      </c>
    </row>
    <row r="1788">
      <c r="A1788" s="2">
        <f>IFERROR(__xludf.DUMMYFUNCTION("""COMPUTED_VALUE"""),44650.64583333333)</f>
        <v>44650.64583</v>
      </c>
      <c r="B1788" s="1">
        <f>IFERROR(__xludf.DUMMYFUNCTION("""COMPUTED_VALUE"""),4495.0)</f>
        <v>4495</v>
      </c>
      <c r="C1788" s="1">
        <f>IFERROR(__xludf.DUMMYFUNCTION("""COMPUTED_VALUE"""),4495.0)</f>
        <v>4495</v>
      </c>
      <c r="D1788" s="1">
        <f>IFERROR(__xludf.DUMMYFUNCTION("""COMPUTED_VALUE"""),4360.0)</f>
        <v>4360</v>
      </c>
      <c r="E1788" s="1">
        <f>IFERROR(__xludf.DUMMYFUNCTION("""COMPUTED_VALUE"""),4380.0)</f>
        <v>4380</v>
      </c>
      <c r="F1788" s="1">
        <f>IFERROR(__xludf.DUMMYFUNCTION("""COMPUTED_VALUE"""),578938.0)</f>
        <v>578938</v>
      </c>
    </row>
    <row r="1789">
      <c r="A1789" s="2">
        <f>IFERROR(__xludf.DUMMYFUNCTION("""COMPUTED_VALUE"""),44651.64583333333)</f>
        <v>44651.64583</v>
      </c>
      <c r="B1789" s="1">
        <f>IFERROR(__xludf.DUMMYFUNCTION("""COMPUTED_VALUE"""),4340.0)</f>
        <v>4340</v>
      </c>
      <c r="C1789" s="1">
        <f>IFERROR(__xludf.DUMMYFUNCTION("""COMPUTED_VALUE"""),4535.0)</f>
        <v>4535</v>
      </c>
      <c r="D1789" s="1">
        <f>IFERROR(__xludf.DUMMYFUNCTION("""COMPUTED_VALUE"""),4340.0)</f>
        <v>4340</v>
      </c>
      <c r="E1789" s="1">
        <f>IFERROR(__xludf.DUMMYFUNCTION("""COMPUTED_VALUE"""),4535.0)</f>
        <v>4535</v>
      </c>
      <c r="F1789" s="1">
        <f>IFERROR(__xludf.DUMMYFUNCTION("""COMPUTED_VALUE"""),1407784.0)</f>
        <v>1407784</v>
      </c>
    </row>
    <row r="1790">
      <c r="A1790" s="2">
        <f>IFERROR(__xludf.DUMMYFUNCTION("""COMPUTED_VALUE"""),44652.64583333333)</f>
        <v>44652.64583</v>
      </c>
      <c r="B1790" s="1">
        <f>IFERROR(__xludf.DUMMYFUNCTION("""COMPUTED_VALUE"""),4435.0)</f>
        <v>4435</v>
      </c>
      <c r="C1790" s="1">
        <f>IFERROR(__xludf.DUMMYFUNCTION("""COMPUTED_VALUE"""),4475.0)</f>
        <v>4475</v>
      </c>
      <c r="D1790" s="1">
        <f>IFERROR(__xludf.DUMMYFUNCTION("""COMPUTED_VALUE"""),4405.0)</f>
        <v>4405</v>
      </c>
      <c r="E1790" s="1">
        <f>IFERROR(__xludf.DUMMYFUNCTION("""COMPUTED_VALUE"""),4440.0)</f>
        <v>4440</v>
      </c>
      <c r="F1790" s="1">
        <f>IFERROR(__xludf.DUMMYFUNCTION("""COMPUTED_VALUE"""),559321.0)</f>
        <v>559321</v>
      </c>
    </row>
    <row r="1791">
      <c r="A1791" s="2">
        <f>IFERROR(__xludf.DUMMYFUNCTION("""COMPUTED_VALUE"""),44655.64583333333)</f>
        <v>44655.64583</v>
      </c>
      <c r="B1791" s="1">
        <f>IFERROR(__xludf.DUMMYFUNCTION("""COMPUTED_VALUE"""),4435.0)</f>
        <v>4435</v>
      </c>
      <c r="C1791" s="1">
        <f>IFERROR(__xludf.DUMMYFUNCTION("""COMPUTED_VALUE"""),4435.0)</f>
        <v>4435</v>
      </c>
      <c r="D1791" s="1">
        <f>IFERROR(__xludf.DUMMYFUNCTION("""COMPUTED_VALUE"""),4320.0)</f>
        <v>4320</v>
      </c>
      <c r="E1791" s="1">
        <f>IFERROR(__xludf.DUMMYFUNCTION("""COMPUTED_VALUE"""),4390.0)</f>
        <v>4390</v>
      </c>
      <c r="F1791" s="1">
        <f>IFERROR(__xludf.DUMMYFUNCTION("""COMPUTED_VALUE"""),513417.0)</f>
        <v>513417</v>
      </c>
    </row>
    <row r="1792">
      <c r="A1792" s="2">
        <f>IFERROR(__xludf.DUMMYFUNCTION("""COMPUTED_VALUE"""),44656.64583333333)</f>
        <v>44656.64583</v>
      </c>
      <c r="B1792" s="1">
        <f>IFERROR(__xludf.DUMMYFUNCTION("""COMPUTED_VALUE"""),4390.0)</f>
        <v>4390</v>
      </c>
      <c r="C1792" s="1">
        <f>IFERROR(__xludf.DUMMYFUNCTION("""COMPUTED_VALUE"""),4435.0)</f>
        <v>4435</v>
      </c>
      <c r="D1792" s="1">
        <f>IFERROR(__xludf.DUMMYFUNCTION("""COMPUTED_VALUE"""),4370.0)</f>
        <v>4370</v>
      </c>
      <c r="E1792" s="1">
        <f>IFERROR(__xludf.DUMMYFUNCTION("""COMPUTED_VALUE"""),4435.0)</f>
        <v>4435</v>
      </c>
      <c r="F1792" s="1">
        <f>IFERROR(__xludf.DUMMYFUNCTION("""COMPUTED_VALUE"""),271698.0)</f>
        <v>271698</v>
      </c>
    </row>
    <row r="1793">
      <c r="A1793" s="2">
        <f>IFERROR(__xludf.DUMMYFUNCTION("""COMPUTED_VALUE"""),44657.64583333333)</f>
        <v>44657.64583</v>
      </c>
      <c r="B1793" s="1">
        <f>IFERROR(__xludf.DUMMYFUNCTION("""COMPUTED_VALUE"""),4350.0)</f>
        <v>4350</v>
      </c>
      <c r="C1793" s="1">
        <f>IFERROR(__xludf.DUMMYFUNCTION("""COMPUTED_VALUE"""),4430.0)</f>
        <v>4430</v>
      </c>
      <c r="D1793" s="1">
        <f>IFERROR(__xludf.DUMMYFUNCTION("""COMPUTED_VALUE"""),4340.0)</f>
        <v>4340</v>
      </c>
      <c r="E1793" s="1">
        <f>IFERROR(__xludf.DUMMYFUNCTION("""COMPUTED_VALUE"""),4405.0)</f>
        <v>4405</v>
      </c>
      <c r="F1793" s="1">
        <f>IFERROR(__xludf.DUMMYFUNCTION("""COMPUTED_VALUE"""),271576.0)</f>
        <v>271576</v>
      </c>
    </row>
    <row r="1794">
      <c r="A1794" s="2">
        <f>IFERROR(__xludf.DUMMYFUNCTION("""COMPUTED_VALUE"""),44658.64583333333)</f>
        <v>44658.64583</v>
      </c>
      <c r="B1794" s="1">
        <f>IFERROR(__xludf.DUMMYFUNCTION("""COMPUTED_VALUE"""),4315.0)</f>
        <v>4315</v>
      </c>
      <c r="C1794" s="1">
        <f>IFERROR(__xludf.DUMMYFUNCTION("""COMPUTED_VALUE"""),4380.0)</f>
        <v>4380</v>
      </c>
      <c r="D1794" s="1">
        <f>IFERROR(__xludf.DUMMYFUNCTION("""COMPUTED_VALUE"""),4260.0)</f>
        <v>4260</v>
      </c>
      <c r="E1794" s="1">
        <f>IFERROR(__xludf.DUMMYFUNCTION("""COMPUTED_VALUE"""),4310.0)</f>
        <v>4310</v>
      </c>
      <c r="F1794" s="1">
        <f>IFERROR(__xludf.DUMMYFUNCTION("""COMPUTED_VALUE"""),375104.0)</f>
        <v>375104</v>
      </c>
    </row>
    <row r="1795">
      <c r="A1795" s="2">
        <f>IFERROR(__xludf.DUMMYFUNCTION("""COMPUTED_VALUE"""),44659.64583333333)</f>
        <v>44659.64583</v>
      </c>
      <c r="B1795" s="1">
        <f>IFERROR(__xludf.DUMMYFUNCTION("""COMPUTED_VALUE"""),4280.0)</f>
        <v>4280</v>
      </c>
      <c r="C1795" s="1">
        <f>IFERROR(__xludf.DUMMYFUNCTION("""COMPUTED_VALUE"""),4330.0)</f>
        <v>4330</v>
      </c>
      <c r="D1795" s="1">
        <f>IFERROR(__xludf.DUMMYFUNCTION("""COMPUTED_VALUE"""),4245.0)</f>
        <v>4245</v>
      </c>
      <c r="E1795" s="1">
        <f>IFERROR(__xludf.DUMMYFUNCTION("""COMPUTED_VALUE"""),4295.0)</f>
        <v>4295</v>
      </c>
      <c r="F1795" s="1">
        <f>IFERROR(__xludf.DUMMYFUNCTION("""COMPUTED_VALUE"""),228113.0)</f>
        <v>228113</v>
      </c>
    </row>
    <row r="1796">
      <c r="A1796" s="2">
        <f>IFERROR(__xludf.DUMMYFUNCTION("""COMPUTED_VALUE"""),44662.64583333333)</f>
        <v>44662.64583</v>
      </c>
      <c r="B1796" s="1">
        <f>IFERROR(__xludf.DUMMYFUNCTION("""COMPUTED_VALUE"""),4325.0)</f>
        <v>4325</v>
      </c>
      <c r="C1796" s="1">
        <f>IFERROR(__xludf.DUMMYFUNCTION("""COMPUTED_VALUE"""),4360.0)</f>
        <v>4360</v>
      </c>
      <c r="D1796" s="1">
        <f>IFERROR(__xludf.DUMMYFUNCTION("""COMPUTED_VALUE"""),4240.0)</f>
        <v>4240</v>
      </c>
      <c r="E1796" s="1">
        <f>IFERROR(__xludf.DUMMYFUNCTION("""COMPUTED_VALUE"""),4350.0)</f>
        <v>4350</v>
      </c>
      <c r="F1796" s="1">
        <f>IFERROR(__xludf.DUMMYFUNCTION("""COMPUTED_VALUE"""),298826.0)</f>
        <v>298826</v>
      </c>
    </row>
    <row r="1797">
      <c r="A1797" s="2">
        <f>IFERROR(__xludf.DUMMYFUNCTION("""COMPUTED_VALUE"""),44663.64583333333)</f>
        <v>44663.64583</v>
      </c>
      <c r="B1797" s="1">
        <f>IFERROR(__xludf.DUMMYFUNCTION("""COMPUTED_VALUE"""),4325.0)</f>
        <v>4325</v>
      </c>
      <c r="C1797" s="1">
        <f>IFERROR(__xludf.DUMMYFUNCTION("""COMPUTED_VALUE"""),4340.0)</f>
        <v>4340</v>
      </c>
      <c r="D1797" s="1">
        <f>IFERROR(__xludf.DUMMYFUNCTION("""COMPUTED_VALUE"""),4210.0)</f>
        <v>4210</v>
      </c>
      <c r="E1797" s="1">
        <f>IFERROR(__xludf.DUMMYFUNCTION("""COMPUTED_VALUE"""),4260.0)</f>
        <v>4260</v>
      </c>
      <c r="F1797" s="1">
        <f>IFERROR(__xludf.DUMMYFUNCTION("""COMPUTED_VALUE"""),283874.0)</f>
        <v>283874</v>
      </c>
    </row>
    <row r="1798">
      <c r="A1798" s="2">
        <f>IFERROR(__xludf.DUMMYFUNCTION("""COMPUTED_VALUE"""),44664.64583333333)</f>
        <v>44664.64583</v>
      </c>
      <c r="B1798" s="1">
        <f>IFERROR(__xludf.DUMMYFUNCTION("""COMPUTED_VALUE"""),4230.0)</f>
        <v>4230</v>
      </c>
      <c r="C1798" s="1">
        <f>IFERROR(__xludf.DUMMYFUNCTION("""COMPUTED_VALUE"""),4330.0)</f>
        <v>4330</v>
      </c>
      <c r="D1798" s="1">
        <f>IFERROR(__xludf.DUMMYFUNCTION("""COMPUTED_VALUE"""),4225.0)</f>
        <v>4225</v>
      </c>
      <c r="E1798" s="1">
        <f>IFERROR(__xludf.DUMMYFUNCTION("""COMPUTED_VALUE"""),4300.0)</f>
        <v>4300</v>
      </c>
      <c r="F1798" s="1">
        <f>IFERROR(__xludf.DUMMYFUNCTION("""COMPUTED_VALUE"""),181907.0)</f>
        <v>181907</v>
      </c>
    </row>
    <row r="1799">
      <c r="A1799" s="2">
        <f>IFERROR(__xludf.DUMMYFUNCTION("""COMPUTED_VALUE"""),44665.64583333333)</f>
        <v>44665.64583</v>
      </c>
      <c r="B1799" s="1">
        <f>IFERROR(__xludf.DUMMYFUNCTION("""COMPUTED_VALUE"""),4275.0)</f>
        <v>4275</v>
      </c>
      <c r="C1799" s="1">
        <f>IFERROR(__xludf.DUMMYFUNCTION("""COMPUTED_VALUE"""),4315.0)</f>
        <v>4315</v>
      </c>
      <c r="D1799" s="1">
        <f>IFERROR(__xludf.DUMMYFUNCTION("""COMPUTED_VALUE"""),4270.0)</f>
        <v>4270</v>
      </c>
      <c r="E1799" s="1">
        <f>IFERROR(__xludf.DUMMYFUNCTION("""COMPUTED_VALUE"""),4300.0)</f>
        <v>4300</v>
      </c>
      <c r="F1799" s="1">
        <f>IFERROR(__xludf.DUMMYFUNCTION("""COMPUTED_VALUE"""),142665.0)</f>
        <v>142665</v>
      </c>
    </row>
    <row r="1800">
      <c r="A1800" s="2">
        <f>IFERROR(__xludf.DUMMYFUNCTION("""COMPUTED_VALUE"""),44666.64583333333)</f>
        <v>44666.64583</v>
      </c>
      <c r="B1800" s="1">
        <f>IFERROR(__xludf.DUMMYFUNCTION("""COMPUTED_VALUE"""),4300.0)</f>
        <v>4300</v>
      </c>
      <c r="C1800" s="1">
        <f>IFERROR(__xludf.DUMMYFUNCTION("""COMPUTED_VALUE"""),4335.0)</f>
        <v>4335</v>
      </c>
      <c r="D1800" s="1">
        <f>IFERROR(__xludf.DUMMYFUNCTION("""COMPUTED_VALUE"""),4285.0)</f>
        <v>4285</v>
      </c>
      <c r="E1800" s="1">
        <f>IFERROR(__xludf.DUMMYFUNCTION("""COMPUTED_VALUE"""),4325.0)</f>
        <v>4325</v>
      </c>
      <c r="F1800" s="1">
        <f>IFERROR(__xludf.DUMMYFUNCTION("""COMPUTED_VALUE"""),163283.0)</f>
        <v>163283</v>
      </c>
    </row>
    <row r="1801">
      <c r="A1801" s="2">
        <f>IFERROR(__xludf.DUMMYFUNCTION("""COMPUTED_VALUE"""),44669.64583333333)</f>
        <v>44669.64583</v>
      </c>
      <c r="B1801" s="1">
        <f>IFERROR(__xludf.DUMMYFUNCTION("""COMPUTED_VALUE"""),4335.0)</f>
        <v>4335</v>
      </c>
      <c r="C1801" s="1">
        <f>IFERROR(__xludf.DUMMYFUNCTION("""COMPUTED_VALUE"""),4450.0)</f>
        <v>4450</v>
      </c>
      <c r="D1801" s="1">
        <f>IFERROR(__xludf.DUMMYFUNCTION("""COMPUTED_VALUE"""),4335.0)</f>
        <v>4335</v>
      </c>
      <c r="E1801" s="1">
        <f>IFERROR(__xludf.DUMMYFUNCTION("""COMPUTED_VALUE"""),4430.0)</f>
        <v>4430</v>
      </c>
      <c r="F1801" s="1">
        <f>IFERROR(__xludf.DUMMYFUNCTION("""COMPUTED_VALUE"""),803070.0)</f>
        <v>803070</v>
      </c>
    </row>
    <row r="1802">
      <c r="A1802" s="2">
        <f>IFERROR(__xludf.DUMMYFUNCTION("""COMPUTED_VALUE"""),44670.64583333333)</f>
        <v>44670.64583</v>
      </c>
      <c r="B1802" s="1">
        <f>IFERROR(__xludf.DUMMYFUNCTION("""COMPUTED_VALUE"""),4400.0)</f>
        <v>4400</v>
      </c>
      <c r="C1802" s="1">
        <f>IFERROR(__xludf.DUMMYFUNCTION("""COMPUTED_VALUE"""),4450.0)</f>
        <v>4450</v>
      </c>
      <c r="D1802" s="1">
        <f>IFERROR(__xludf.DUMMYFUNCTION("""COMPUTED_VALUE"""),4375.0)</f>
        <v>4375</v>
      </c>
      <c r="E1802" s="1">
        <f>IFERROR(__xludf.DUMMYFUNCTION("""COMPUTED_VALUE"""),4435.0)</f>
        <v>4435</v>
      </c>
      <c r="F1802" s="1">
        <f>IFERROR(__xludf.DUMMYFUNCTION("""COMPUTED_VALUE"""),383017.0)</f>
        <v>383017</v>
      </c>
    </row>
    <row r="1803">
      <c r="A1803" s="2">
        <f>IFERROR(__xludf.DUMMYFUNCTION("""COMPUTED_VALUE"""),44671.64583333333)</f>
        <v>44671.64583</v>
      </c>
      <c r="B1803" s="1">
        <f>IFERROR(__xludf.DUMMYFUNCTION("""COMPUTED_VALUE"""),4425.0)</f>
        <v>4425</v>
      </c>
      <c r="C1803" s="1">
        <f>IFERROR(__xludf.DUMMYFUNCTION("""COMPUTED_VALUE"""),4425.0)</f>
        <v>4425</v>
      </c>
      <c r="D1803" s="1">
        <f>IFERROR(__xludf.DUMMYFUNCTION("""COMPUTED_VALUE"""),4340.0)</f>
        <v>4340</v>
      </c>
      <c r="E1803" s="1">
        <f>IFERROR(__xludf.DUMMYFUNCTION("""COMPUTED_VALUE"""),4345.0)</f>
        <v>4345</v>
      </c>
      <c r="F1803" s="1">
        <f>IFERROR(__xludf.DUMMYFUNCTION("""COMPUTED_VALUE"""),381959.0)</f>
        <v>381959</v>
      </c>
    </row>
    <row r="1804">
      <c r="A1804" s="2">
        <f>IFERROR(__xludf.DUMMYFUNCTION("""COMPUTED_VALUE"""),44672.64583333333)</f>
        <v>44672.64583</v>
      </c>
      <c r="B1804" s="1">
        <f>IFERROR(__xludf.DUMMYFUNCTION("""COMPUTED_VALUE"""),4345.0)</f>
        <v>4345</v>
      </c>
      <c r="C1804" s="1">
        <f>IFERROR(__xludf.DUMMYFUNCTION("""COMPUTED_VALUE"""),4375.0)</f>
        <v>4375</v>
      </c>
      <c r="D1804" s="1">
        <f>IFERROR(__xludf.DUMMYFUNCTION("""COMPUTED_VALUE"""),4305.0)</f>
        <v>4305</v>
      </c>
      <c r="E1804" s="1">
        <f>IFERROR(__xludf.DUMMYFUNCTION("""COMPUTED_VALUE"""),4350.0)</f>
        <v>4350</v>
      </c>
      <c r="F1804" s="1">
        <f>IFERROR(__xludf.DUMMYFUNCTION("""COMPUTED_VALUE"""),256256.0)</f>
        <v>256256</v>
      </c>
    </row>
    <row r="1805">
      <c r="A1805" s="2">
        <f>IFERROR(__xludf.DUMMYFUNCTION("""COMPUTED_VALUE"""),44673.64583333333)</f>
        <v>44673.64583</v>
      </c>
      <c r="B1805" s="1">
        <f>IFERROR(__xludf.DUMMYFUNCTION("""COMPUTED_VALUE"""),4350.0)</f>
        <v>4350</v>
      </c>
      <c r="C1805" s="1">
        <f>IFERROR(__xludf.DUMMYFUNCTION("""COMPUTED_VALUE"""),4350.0)</f>
        <v>4350</v>
      </c>
      <c r="D1805" s="1">
        <f>IFERROR(__xludf.DUMMYFUNCTION("""COMPUTED_VALUE"""),4280.0)</f>
        <v>4280</v>
      </c>
      <c r="E1805" s="1">
        <f>IFERROR(__xludf.DUMMYFUNCTION("""COMPUTED_VALUE"""),4300.0)</f>
        <v>4300</v>
      </c>
      <c r="F1805" s="1">
        <f>IFERROR(__xludf.DUMMYFUNCTION("""COMPUTED_VALUE"""),173317.0)</f>
        <v>173317</v>
      </c>
    </row>
    <row r="1806">
      <c r="A1806" s="2">
        <f>IFERROR(__xludf.DUMMYFUNCTION("""COMPUTED_VALUE"""),44676.64583333333)</f>
        <v>44676.64583</v>
      </c>
      <c r="B1806" s="1">
        <f>IFERROR(__xludf.DUMMYFUNCTION("""COMPUTED_VALUE"""),4240.0)</f>
        <v>4240</v>
      </c>
      <c r="C1806" s="1">
        <f>IFERROR(__xludf.DUMMYFUNCTION("""COMPUTED_VALUE"""),4280.0)</f>
        <v>4280</v>
      </c>
      <c r="D1806" s="1">
        <f>IFERROR(__xludf.DUMMYFUNCTION("""COMPUTED_VALUE"""),4145.0)</f>
        <v>4145</v>
      </c>
      <c r="E1806" s="1">
        <f>IFERROR(__xludf.DUMMYFUNCTION("""COMPUTED_VALUE"""),4145.0)</f>
        <v>4145</v>
      </c>
      <c r="F1806" s="1">
        <f>IFERROR(__xludf.DUMMYFUNCTION("""COMPUTED_VALUE"""),323896.0)</f>
        <v>323896</v>
      </c>
    </row>
    <row r="1807">
      <c r="A1807" s="2">
        <f>IFERROR(__xludf.DUMMYFUNCTION("""COMPUTED_VALUE"""),44677.64583333333)</f>
        <v>44677.64583</v>
      </c>
      <c r="B1807" s="1">
        <f>IFERROR(__xludf.DUMMYFUNCTION("""COMPUTED_VALUE"""),4140.0)</f>
        <v>4140</v>
      </c>
      <c r="C1807" s="1">
        <f>IFERROR(__xludf.DUMMYFUNCTION("""COMPUTED_VALUE"""),4220.0)</f>
        <v>4220</v>
      </c>
      <c r="D1807" s="1">
        <f>IFERROR(__xludf.DUMMYFUNCTION("""COMPUTED_VALUE"""),4130.0)</f>
        <v>4130</v>
      </c>
      <c r="E1807" s="1">
        <f>IFERROR(__xludf.DUMMYFUNCTION("""COMPUTED_VALUE"""),4150.0)</f>
        <v>4150</v>
      </c>
      <c r="F1807" s="1">
        <f>IFERROR(__xludf.DUMMYFUNCTION("""COMPUTED_VALUE"""),200457.0)</f>
        <v>200457</v>
      </c>
    </row>
    <row r="1808">
      <c r="A1808" s="2">
        <f>IFERROR(__xludf.DUMMYFUNCTION("""COMPUTED_VALUE"""),44678.64583333333)</f>
        <v>44678.64583</v>
      </c>
      <c r="B1808" s="1">
        <f>IFERROR(__xludf.DUMMYFUNCTION("""COMPUTED_VALUE"""),4050.0)</f>
        <v>4050</v>
      </c>
      <c r="C1808" s="1">
        <f>IFERROR(__xludf.DUMMYFUNCTION("""COMPUTED_VALUE"""),4130.0)</f>
        <v>4130</v>
      </c>
      <c r="D1808" s="1">
        <f>IFERROR(__xludf.DUMMYFUNCTION("""COMPUTED_VALUE"""),4025.0)</f>
        <v>4025</v>
      </c>
      <c r="E1808" s="1">
        <f>IFERROR(__xludf.DUMMYFUNCTION("""COMPUTED_VALUE"""),4130.0)</f>
        <v>4130</v>
      </c>
      <c r="F1808" s="1">
        <f>IFERROR(__xludf.DUMMYFUNCTION("""COMPUTED_VALUE"""),152687.0)</f>
        <v>152687</v>
      </c>
    </row>
    <row r="1809">
      <c r="A1809" s="2">
        <f>IFERROR(__xludf.DUMMYFUNCTION("""COMPUTED_VALUE"""),44679.64583333333)</f>
        <v>44679.64583</v>
      </c>
      <c r="B1809" s="1">
        <f>IFERROR(__xludf.DUMMYFUNCTION("""COMPUTED_VALUE"""),4110.0)</f>
        <v>4110</v>
      </c>
      <c r="C1809" s="1">
        <f>IFERROR(__xludf.DUMMYFUNCTION("""COMPUTED_VALUE"""),4135.0)</f>
        <v>4135</v>
      </c>
      <c r="D1809" s="1">
        <f>IFERROR(__xludf.DUMMYFUNCTION("""COMPUTED_VALUE"""),4080.0)</f>
        <v>4080</v>
      </c>
      <c r="E1809" s="1">
        <f>IFERROR(__xludf.DUMMYFUNCTION("""COMPUTED_VALUE"""),4100.0)</f>
        <v>4100</v>
      </c>
      <c r="F1809" s="1">
        <f>IFERROR(__xludf.DUMMYFUNCTION("""COMPUTED_VALUE"""),148931.0)</f>
        <v>148931</v>
      </c>
    </row>
    <row r="1810">
      <c r="A1810" s="2">
        <f>IFERROR(__xludf.DUMMYFUNCTION("""COMPUTED_VALUE"""),44680.64583333333)</f>
        <v>44680.64583</v>
      </c>
      <c r="B1810" s="1">
        <f>IFERROR(__xludf.DUMMYFUNCTION("""COMPUTED_VALUE"""),4085.0)</f>
        <v>4085</v>
      </c>
      <c r="C1810" s="1">
        <f>IFERROR(__xludf.DUMMYFUNCTION("""COMPUTED_VALUE"""),4135.0)</f>
        <v>4135</v>
      </c>
      <c r="D1810" s="1">
        <f>IFERROR(__xludf.DUMMYFUNCTION("""COMPUTED_VALUE"""),4080.0)</f>
        <v>4080</v>
      </c>
      <c r="E1810" s="1">
        <f>IFERROR(__xludf.DUMMYFUNCTION("""COMPUTED_VALUE"""),4130.0)</f>
        <v>4130</v>
      </c>
      <c r="F1810" s="1">
        <f>IFERROR(__xludf.DUMMYFUNCTION("""COMPUTED_VALUE"""),129775.0)</f>
        <v>129775</v>
      </c>
    </row>
    <row r="1811">
      <c r="A1811" s="2">
        <f>IFERROR(__xludf.DUMMYFUNCTION("""COMPUTED_VALUE"""),44683.64583333333)</f>
        <v>44683.64583</v>
      </c>
      <c r="B1811" s="1">
        <f>IFERROR(__xludf.DUMMYFUNCTION("""COMPUTED_VALUE"""),4075.0)</f>
        <v>4075</v>
      </c>
      <c r="C1811" s="1">
        <f>IFERROR(__xludf.DUMMYFUNCTION("""COMPUTED_VALUE"""),4110.0)</f>
        <v>4110</v>
      </c>
      <c r="D1811" s="1">
        <f>IFERROR(__xludf.DUMMYFUNCTION("""COMPUTED_VALUE"""),4025.0)</f>
        <v>4025</v>
      </c>
      <c r="E1811" s="1">
        <f>IFERROR(__xludf.DUMMYFUNCTION("""COMPUTED_VALUE"""),4100.0)</f>
        <v>4100</v>
      </c>
      <c r="F1811" s="1">
        <f>IFERROR(__xludf.DUMMYFUNCTION("""COMPUTED_VALUE"""),140631.0)</f>
        <v>140631</v>
      </c>
    </row>
    <row r="1812">
      <c r="A1812" s="2">
        <f>IFERROR(__xludf.DUMMYFUNCTION("""COMPUTED_VALUE"""),44684.64583333333)</f>
        <v>44684.64583</v>
      </c>
      <c r="B1812" s="1">
        <f>IFERROR(__xludf.DUMMYFUNCTION("""COMPUTED_VALUE"""),4100.0)</f>
        <v>4100</v>
      </c>
      <c r="C1812" s="1">
        <f>IFERROR(__xludf.DUMMYFUNCTION("""COMPUTED_VALUE"""),4275.0)</f>
        <v>4275</v>
      </c>
      <c r="D1812" s="1">
        <f>IFERROR(__xludf.DUMMYFUNCTION("""COMPUTED_VALUE"""),4080.0)</f>
        <v>4080</v>
      </c>
      <c r="E1812" s="1">
        <f>IFERROR(__xludf.DUMMYFUNCTION("""COMPUTED_VALUE"""),4185.0)</f>
        <v>4185</v>
      </c>
      <c r="F1812" s="1">
        <f>IFERROR(__xludf.DUMMYFUNCTION("""COMPUTED_VALUE"""),436576.0)</f>
        <v>436576</v>
      </c>
    </row>
    <row r="1813">
      <c r="A1813" s="2">
        <f>IFERROR(__xludf.DUMMYFUNCTION("""COMPUTED_VALUE"""),44685.64583333333)</f>
        <v>44685.64583</v>
      </c>
      <c r="B1813" s="1">
        <f>IFERROR(__xludf.DUMMYFUNCTION("""COMPUTED_VALUE"""),4170.0)</f>
        <v>4170</v>
      </c>
      <c r="C1813" s="1">
        <f>IFERROR(__xludf.DUMMYFUNCTION("""COMPUTED_VALUE"""),4200.0)</f>
        <v>4200</v>
      </c>
      <c r="D1813" s="1">
        <f>IFERROR(__xludf.DUMMYFUNCTION("""COMPUTED_VALUE"""),4095.0)</f>
        <v>4095</v>
      </c>
      <c r="E1813" s="1">
        <f>IFERROR(__xludf.DUMMYFUNCTION("""COMPUTED_VALUE"""),4120.0)</f>
        <v>4120</v>
      </c>
      <c r="F1813" s="1">
        <f>IFERROR(__xludf.DUMMYFUNCTION("""COMPUTED_VALUE"""),191524.0)</f>
        <v>191524</v>
      </c>
    </row>
    <row r="1814">
      <c r="A1814" s="2">
        <f>IFERROR(__xludf.DUMMYFUNCTION("""COMPUTED_VALUE"""),44687.64583333333)</f>
        <v>44687.64583</v>
      </c>
      <c r="B1814" s="1">
        <f>IFERROR(__xludf.DUMMYFUNCTION("""COMPUTED_VALUE"""),4050.0)</f>
        <v>4050</v>
      </c>
      <c r="C1814" s="1">
        <f>IFERROR(__xludf.DUMMYFUNCTION("""COMPUTED_VALUE"""),4085.0)</f>
        <v>4085</v>
      </c>
      <c r="D1814" s="1">
        <f>IFERROR(__xludf.DUMMYFUNCTION("""COMPUTED_VALUE"""),4030.0)</f>
        <v>4030</v>
      </c>
      <c r="E1814" s="1">
        <f>IFERROR(__xludf.DUMMYFUNCTION("""COMPUTED_VALUE"""),4065.0)</f>
        <v>4065</v>
      </c>
      <c r="F1814" s="1">
        <f>IFERROR(__xludf.DUMMYFUNCTION("""COMPUTED_VALUE"""),125007.0)</f>
        <v>125007</v>
      </c>
    </row>
    <row r="1815">
      <c r="A1815" s="2">
        <f>IFERROR(__xludf.DUMMYFUNCTION("""COMPUTED_VALUE"""),44690.64583333333)</f>
        <v>44690.64583</v>
      </c>
      <c r="B1815" s="1">
        <f>IFERROR(__xludf.DUMMYFUNCTION("""COMPUTED_VALUE"""),4005.0)</f>
        <v>4005</v>
      </c>
      <c r="C1815" s="1">
        <f>IFERROR(__xludf.DUMMYFUNCTION("""COMPUTED_VALUE"""),4060.0)</f>
        <v>4060</v>
      </c>
      <c r="D1815" s="1">
        <f>IFERROR(__xludf.DUMMYFUNCTION("""COMPUTED_VALUE"""),3940.0)</f>
        <v>3940</v>
      </c>
      <c r="E1815" s="1">
        <f>IFERROR(__xludf.DUMMYFUNCTION("""COMPUTED_VALUE"""),4000.0)</f>
        <v>4000</v>
      </c>
      <c r="F1815" s="1">
        <f>IFERROR(__xludf.DUMMYFUNCTION("""COMPUTED_VALUE"""),177217.0)</f>
        <v>177217</v>
      </c>
    </row>
    <row r="1816">
      <c r="A1816" s="2">
        <f>IFERROR(__xludf.DUMMYFUNCTION("""COMPUTED_VALUE"""),44691.64583333333)</f>
        <v>44691.64583</v>
      </c>
      <c r="B1816" s="1">
        <f>IFERROR(__xludf.DUMMYFUNCTION("""COMPUTED_VALUE"""),3895.0)</f>
        <v>3895</v>
      </c>
      <c r="C1816" s="1">
        <f>IFERROR(__xludf.DUMMYFUNCTION("""COMPUTED_VALUE"""),3950.0)</f>
        <v>3950</v>
      </c>
      <c r="D1816" s="1">
        <f>IFERROR(__xludf.DUMMYFUNCTION("""COMPUTED_VALUE"""),3580.0)</f>
        <v>3580</v>
      </c>
      <c r="E1816" s="1">
        <f>IFERROR(__xludf.DUMMYFUNCTION("""COMPUTED_VALUE"""),3825.0)</f>
        <v>3825</v>
      </c>
      <c r="F1816" s="1">
        <f>IFERROR(__xludf.DUMMYFUNCTION("""COMPUTED_VALUE"""),459745.0)</f>
        <v>459745</v>
      </c>
    </row>
    <row r="1817">
      <c r="A1817" s="2">
        <f>IFERROR(__xludf.DUMMYFUNCTION("""COMPUTED_VALUE"""),44692.64583333333)</f>
        <v>44692.64583</v>
      </c>
      <c r="B1817" s="1">
        <f>IFERROR(__xludf.DUMMYFUNCTION("""COMPUTED_VALUE"""),3790.0)</f>
        <v>3790</v>
      </c>
      <c r="C1817" s="1">
        <f>IFERROR(__xludf.DUMMYFUNCTION("""COMPUTED_VALUE"""),3875.0)</f>
        <v>3875</v>
      </c>
      <c r="D1817" s="1">
        <f>IFERROR(__xludf.DUMMYFUNCTION("""COMPUTED_VALUE"""),3790.0)</f>
        <v>3790</v>
      </c>
      <c r="E1817" s="1">
        <f>IFERROR(__xludf.DUMMYFUNCTION("""COMPUTED_VALUE"""),3800.0)</f>
        <v>3800</v>
      </c>
      <c r="F1817" s="1">
        <f>IFERROR(__xludf.DUMMYFUNCTION("""COMPUTED_VALUE"""),130951.0)</f>
        <v>130951</v>
      </c>
    </row>
    <row r="1818">
      <c r="A1818" s="2">
        <f>IFERROR(__xludf.DUMMYFUNCTION("""COMPUTED_VALUE"""),44693.64583333333)</f>
        <v>44693.64583</v>
      </c>
      <c r="B1818" s="1">
        <f>IFERROR(__xludf.DUMMYFUNCTION("""COMPUTED_VALUE"""),3715.0)</f>
        <v>3715</v>
      </c>
      <c r="C1818" s="1">
        <f>IFERROR(__xludf.DUMMYFUNCTION("""COMPUTED_VALUE"""),3840.0)</f>
        <v>3840</v>
      </c>
      <c r="D1818" s="1">
        <f>IFERROR(__xludf.DUMMYFUNCTION("""COMPUTED_VALUE"""),3645.0)</f>
        <v>3645</v>
      </c>
      <c r="E1818" s="1">
        <f>IFERROR(__xludf.DUMMYFUNCTION("""COMPUTED_VALUE"""),3725.0)</f>
        <v>3725</v>
      </c>
      <c r="F1818" s="1">
        <f>IFERROR(__xludf.DUMMYFUNCTION("""COMPUTED_VALUE"""),226044.0)</f>
        <v>226044</v>
      </c>
    </row>
    <row r="1819">
      <c r="A1819" s="2">
        <f>IFERROR(__xludf.DUMMYFUNCTION("""COMPUTED_VALUE"""),44694.64583333333)</f>
        <v>44694.64583</v>
      </c>
      <c r="B1819" s="1">
        <f>IFERROR(__xludf.DUMMYFUNCTION("""COMPUTED_VALUE"""),3715.0)</f>
        <v>3715</v>
      </c>
      <c r="C1819" s="1">
        <f>IFERROR(__xludf.DUMMYFUNCTION("""COMPUTED_VALUE"""),3795.0)</f>
        <v>3795</v>
      </c>
      <c r="D1819" s="1">
        <f>IFERROR(__xludf.DUMMYFUNCTION("""COMPUTED_VALUE"""),3715.0)</f>
        <v>3715</v>
      </c>
      <c r="E1819" s="1">
        <f>IFERROR(__xludf.DUMMYFUNCTION("""COMPUTED_VALUE"""),3795.0)</f>
        <v>3795</v>
      </c>
      <c r="F1819" s="1">
        <f>IFERROR(__xludf.DUMMYFUNCTION("""COMPUTED_VALUE"""),125968.0)</f>
        <v>125968</v>
      </c>
    </row>
    <row r="1820">
      <c r="A1820" s="2">
        <f>IFERROR(__xludf.DUMMYFUNCTION("""COMPUTED_VALUE"""),44697.64583333333)</f>
        <v>44697.64583</v>
      </c>
      <c r="B1820" s="1">
        <f>IFERROR(__xludf.DUMMYFUNCTION("""COMPUTED_VALUE"""),3790.0)</f>
        <v>3790</v>
      </c>
      <c r="C1820" s="1">
        <f>IFERROR(__xludf.DUMMYFUNCTION("""COMPUTED_VALUE"""),4290.0)</f>
        <v>4290</v>
      </c>
      <c r="D1820" s="1">
        <f>IFERROR(__xludf.DUMMYFUNCTION("""COMPUTED_VALUE"""),3790.0)</f>
        <v>3790</v>
      </c>
      <c r="E1820" s="1">
        <f>IFERROR(__xludf.DUMMYFUNCTION("""COMPUTED_VALUE"""),3950.0)</f>
        <v>3950</v>
      </c>
      <c r="F1820" s="1">
        <f>IFERROR(__xludf.DUMMYFUNCTION("""COMPUTED_VALUE"""),2133251.0)</f>
        <v>2133251</v>
      </c>
    </row>
    <row r="1821">
      <c r="A1821" s="2">
        <f>IFERROR(__xludf.DUMMYFUNCTION("""COMPUTED_VALUE"""),44698.64583333333)</f>
        <v>44698.64583</v>
      </c>
      <c r="B1821" s="1">
        <f>IFERROR(__xludf.DUMMYFUNCTION("""COMPUTED_VALUE"""),3915.0)</f>
        <v>3915</v>
      </c>
      <c r="C1821" s="1">
        <f>IFERROR(__xludf.DUMMYFUNCTION("""COMPUTED_VALUE"""),3945.0)</f>
        <v>3945</v>
      </c>
      <c r="D1821" s="1">
        <f>IFERROR(__xludf.DUMMYFUNCTION("""COMPUTED_VALUE"""),3900.0)</f>
        <v>3900</v>
      </c>
      <c r="E1821" s="1">
        <f>IFERROR(__xludf.DUMMYFUNCTION("""COMPUTED_VALUE"""),3940.0)</f>
        <v>3940</v>
      </c>
      <c r="F1821" s="1">
        <f>IFERROR(__xludf.DUMMYFUNCTION("""COMPUTED_VALUE"""),139950.0)</f>
        <v>139950</v>
      </c>
    </row>
    <row r="1822">
      <c r="A1822" s="2">
        <f>IFERROR(__xludf.DUMMYFUNCTION("""COMPUTED_VALUE"""),44699.64583333333)</f>
        <v>44699.64583</v>
      </c>
      <c r="B1822" s="1">
        <f>IFERROR(__xludf.DUMMYFUNCTION("""COMPUTED_VALUE"""),3945.0)</f>
        <v>3945</v>
      </c>
      <c r="C1822" s="1">
        <f>IFERROR(__xludf.DUMMYFUNCTION("""COMPUTED_VALUE"""),4280.0)</f>
        <v>4280</v>
      </c>
      <c r="D1822" s="1">
        <f>IFERROR(__xludf.DUMMYFUNCTION("""COMPUTED_VALUE"""),3945.0)</f>
        <v>3945</v>
      </c>
      <c r="E1822" s="1">
        <f>IFERROR(__xludf.DUMMYFUNCTION("""COMPUTED_VALUE"""),4030.0)</f>
        <v>4030</v>
      </c>
      <c r="F1822" s="1">
        <f>IFERROR(__xludf.DUMMYFUNCTION("""COMPUTED_VALUE"""),1887395.0)</f>
        <v>1887395</v>
      </c>
    </row>
    <row r="1823">
      <c r="A1823" s="2">
        <f>IFERROR(__xludf.DUMMYFUNCTION("""COMPUTED_VALUE"""),44700.64583333333)</f>
        <v>44700.64583</v>
      </c>
      <c r="B1823" s="1">
        <f>IFERROR(__xludf.DUMMYFUNCTION("""COMPUTED_VALUE"""),3960.0)</f>
        <v>3960</v>
      </c>
      <c r="C1823" s="1">
        <f>IFERROR(__xludf.DUMMYFUNCTION("""COMPUTED_VALUE"""),4005.0)</f>
        <v>4005</v>
      </c>
      <c r="D1823" s="1">
        <f>IFERROR(__xludf.DUMMYFUNCTION("""COMPUTED_VALUE"""),3915.0)</f>
        <v>3915</v>
      </c>
      <c r="E1823" s="1">
        <f>IFERROR(__xludf.DUMMYFUNCTION("""COMPUTED_VALUE"""),3995.0)</f>
        <v>3995</v>
      </c>
      <c r="F1823" s="1">
        <f>IFERROR(__xludf.DUMMYFUNCTION("""COMPUTED_VALUE"""),139689.0)</f>
        <v>139689</v>
      </c>
    </row>
    <row r="1824">
      <c r="A1824" s="2">
        <f>IFERROR(__xludf.DUMMYFUNCTION("""COMPUTED_VALUE"""),44701.64583333333)</f>
        <v>44701.64583</v>
      </c>
      <c r="B1824" s="1">
        <f>IFERROR(__xludf.DUMMYFUNCTION("""COMPUTED_VALUE"""),3980.0)</f>
        <v>3980</v>
      </c>
      <c r="C1824" s="1">
        <f>IFERROR(__xludf.DUMMYFUNCTION("""COMPUTED_VALUE"""),4035.0)</f>
        <v>4035</v>
      </c>
      <c r="D1824" s="1">
        <f>IFERROR(__xludf.DUMMYFUNCTION("""COMPUTED_VALUE"""),3955.0)</f>
        <v>3955</v>
      </c>
      <c r="E1824" s="1">
        <f>IFERROR(__xludf.DUMMYFUNCTION("""COMPUTED_VALUE"""),3955.0)</f>
        <v>3955</v>
      </c>
      <c r="F1824" s="1">
        <f>IFERROR(__xludf.DUMMYFUNCTION("""COMPUTED_VALUE"""),219353.0)</f>
        <v>219353</v>
      </c>
    </row>
    <row r="1825">
      <c r="A1825" s="2">
        <f>IFERROR(__xludf.DUMMYFUNCTION("""COMPUTED_VALUE"""),44704.64583333333)</f>
        <v>44704.64583</v>
      </c>
      <c r="B1825" s="1">
        <f>IFERROR(__xludf.DUMMYFUNCTION("""COMPUTED_VALUE"""),4005.0)</f>
        <v>4005</v>
      </c>
      <c r="C1825" s="1">
        <f>IFERROR(__xludf.DUMMYFUNCTION("""COMPUTED_VALUE"""),4040.0)</f>
        <v>4040</v>
      </c>
      <c r="D1825" s="1">
        <f>IFERROR(__xludf.DUMMYFUNCTION("""COMPUTED_VALUE"""),3970.0)</f>
        <v>3970</v>
      </c>
      <c r="E1825" s="1">
        <f>IFERROR(__xludf.DUMMYFUNCTION("""COMPUTED_VALUE"""),4035.0)</f>
        <v>4035</v>
      </c>
      <c r="F1825" s="1">
        <f>IFERROR(__xludf.DUMMYFUNCTION("""COMPUTED_VALUE"""),166360.0)</f>
        <v>166360</v>
      </c>
    </row>
    <row r="1826">
      <c r="A1826" s="2">
        <f>IFERROR(__xludf.DUMMYFUNCTION("""COMPUTED_VALUE"""),44705.64583333333)</f>
        <v>44705.64583</v>
      </c>
      <c r="B1826" s="1">
        <f>IFERROR(__xludf.DUMMYFUNCTION("""COMPUTED_VALUE"""),4035.0)</f>
        <v>4035</v>
      </c>
      <c r="C1826" s="1">
        <f>IFERROR(__xludf.DUMMYFUNCTION("""COMPUTED_VALUE"""),4035.0)</f>
        <v>4035</v>
      </c>
      <c r="D1826" s="1">
        <f>IFERROR(__xludf.DUMMYFUNCTION("""COMPUTED_VALUE"""),3920.0)</f>
        <v>3920</v>
      </c>
      <c r="E1826" s="1">
        <f>IFERROR(__xludf.DUMMYFUNCTION("""COMPUTED_VALUE"""),3990.0)</f>
        <v>3990</v>
      </c>
      <c r="F1826" s="1">
        <f>IFERROR(__xludf.DUMMYFUNCTION("""COMPUTED_VALUE"""),150337.0)</f>
        <v>150337</v>
      </c>
    </row>
    <row r="1827">
      <c r="A1827" s="2">
        <f>IFERROR(__xludf.DUMMYFUNCTION("""COMPUTED_VALUE"""),44706.64583333333)</f>
        <v>44706.64583</v>
      </c>
      <c r="B1827" s="1">
        <f>IFERROR(__xludf.DUMMYFUNCTION("""COMPUTED_VALUE"""),3990.0)</f>
        <v>3990</v>
      </c>
      <c r="C1827" s="1">
        <f>IFERROR(__xludf.DUMMYFUNCTION("""COMPUTED_VALUE"""),4385.0)</f>
        <v>4385</v>
      </c>
      <c r="D1827" s="1">
        <f>IFERROR(__xludf.DUMMYFUNCTION("""COMPUTED_VALUE"""),3930.0)</f>
        <v>3930</v>
      </c>
      <c r="E1827" s="1">
        <f>IFERROR(__xludf.DUMMYFUNCTION("""COMPUTED_VALUE"""),4010.0)</f>
        <v>4010</v>
      </c>
      <c r="F1827" s="1">
        <f>IFERROR(__xludf.DUMMYFUNCTION("""COMPUTED_VALUE"""),4055017.0)</f>
        <v>4055017</v>
      </c>
    </row>
    <row r="1828">
      <c r="A1828" s="2">
        <f>IFERROR(__xludf.DUMMYFUNCTION("""COMPUTED_VALUE"""),44707.64583333333)</f>
        <v>44707.64583</v>
      </c>
      <c r="B1828" s="1">
        <f>IFERROR(__xludf.DUMMYFUNCTION("""COMPUTED_VALUE"""),4050.0)</f>
        <v>4050</v>
      </c>
      <c r="C1828" s="1">
        <f>IFERROR(__xludf.DUMMYFUNCTION("""COMPUTED_VALUE"""),4110.0)</f>
        <v>4110</v>
      </c>
      <c r="D1828" s="1">
        <f>IFERROR(__xludf.DUMMYFUNCTION("""COMPUTED_VALUE"""),4025.0)</f>
        <v>4025</v>
      </c>
      <c r="E1828" s="1">
        <f>IFERROR(__xludf.DUMMYFUNCTION("""COMPUTED_VALUE"""),4065.0)</f>
        <v>4065</v>
      </c>
      <c r="F1828" s="1">
        <f>IFERROR(__xludf.DUMMYFUNCTION("""COMPUTED_VALUE"""),460938.0)</f>
        <v>460938</v>
      </c>
    </row>
    <row r="1829">
      <c r="A1829" s="2">
        <f>IFERROR(__xludf.DUMMYFUNCTION("""COMPUTED_VALUE"""),44708.64583333333)</f>
        <v>44708.64583</v>
      </c>
      <c r="B1829" s="1">
        <f>IFERROR(__xludf.DUMMYFUNCTION("""COMPUTED_VALUE"""),4075.0)</f>
        <v>4075</v>
      </c>
      <c r="C1829" s="1">
        <f>IFERROR(__xludf.DUMMYFUNCTION("""COMPUTED_VALUE"""),4100.0)</f>
        <v>4100</v>
      </c>
      <c r="D1829" s="1">
        <f>IFERROR(__xludf.DUMMYFUNCTION("""COMPUTED_VALUE"""),4035.0)</f>
        <v>4035</v>
      </c>
      <c r="E1829" s="1">
        <f>IFERROR(__xludf.DUMMYFUNCTION("""COMPUTED_VALUE"""),4085.0)</f>
        <v>4085</v>
      </c>
      <c r="F1829" s="1">
        <f>IFERROR(__xludf.DUMMYFUNCTION("""COMPUTED_VALUE"""),226481.0)</f>
        <v>226481</v>
      </c>
    </row>
    <row r="1830">
      <c r="A1830" s="2">
        <f>IFERROR(__xludf.DUMMYFUNCTION("""COMPUTED_VALUE"""),44711.64583333333)</f>
        <v>44711.64583</v>
      </c>
      <c r="B1830" s="1">
        <f>IFERROR(__xludf.DUMMYFUNCTION("""COMPUTED_VALUE"""),4090.0)</f>
        <v>4090</v>
      </c>
      <c r="C1830" s="1">
        <f>IFERROR(__xludf.DUMMYFUNCTION("""COMPUTED_VALUE"""),4115.0)</f>
        <v>4115</v>
      </c>
      <c r="D1830" s="1">
        <f>IFERROR(__xludf.DUMMYFUNCTION("""COMPUTED_VALUE"""),4060.0)</f>
        <v>4060</v>
      </c>
      <c r="E1830" s="1">
        <f>IFERROR(__xludf.DUMMYFUNCTION("""COMPUTED_VALUE"""),4090.0)</f>
        <v>4090</v>
      </c>
      <c r="F1830" s="1">
        <f>IFERROR(__xludf.DUMMYFUNCTION("""COMPUTED_VALUE"""),177676.0)</f>
        <v>177676</v>
      </c>
    </row>
    <row r="1831">
      <c r="A1831" s="2">
        <f>IFERROR(__xludf.DUMMYFUNCTION("""COMPUTED_VALUE"""),44712.64583333333)</f>
        <v>44712.64583</v>
      </c>
      <c r="B1831" s="1">
        <f>IFERROR(__xludf.DUMMYFUNCTION("""COMPUTED_VALUE"""),4075.0)</f>
        <v>4075</v>
      </c>
      <c r="C1831" s="1">
        <f>IFERROR(__xludf.DUMMYFUNCTION("""COMPUTED_VALUE"""),4110.0)</f>
        <v>4110</v>
      </c>
      <c r="D1831" s="1">
        <f>IFERROR(__xludf.DUMMYFUNCTION("""COMPUTED_VALUE"""),4040.0)</f>
        <v>4040</v>
      </c>
      <c r="E1831" s="1">
        <f>IFERROR(__xludf.DUMMYFUNCTION("""COMPUTED_VALUE"""),4070.0)</f>
        <v>4070</v>
      </c>
      <c r="F1831" s="1">
        <f>IFERROR(__xludf.DUMMYFUNCTION("""COMPUTED_VALUE"""),140759.0)</f>
        <v>140759</v>
      </c>
    </row>
    <row r="1832">
      <c r="A1832" s="2">
        <f>IFERROR(__xludf.DUMMYFUNCTION("""COMPUTED_VALUE"""),44714.64583333333)</f>
        <v>44714.64583</v>
      </c>
      <c r="B1832" s="1">
        <f>IFERROR(__xludf.DUMMYFUNCTION("""COMPUTED_VALUE"""),4090.0)</f>
        <v>4090</v>
      </c>
      <c r="C1832" s="1">
        <f>IFERROR(__xludf.DUMMYFUNCTION("""COMPUTED_VALUE"""),4090.0)</f>
        <v>4090</v>
      </c>
      <c r="D1832" s="1">
        <f>IFERROR(__xludf.DUMMYFUNCTION("""COMPUTED_VALUE"""),4035.0)</f>
        <v>4035</v>
      </c>
      <c r="E1832" s="1">
        <f>IFERROR(__xludf.DUMMYFUNCTION("""COMPUTED_VALUE"""),4040.0)</f>
        <v>4040</v>
      </c>
      <c r="F1832" s="1">
        <f>IFERROR(__xludf.DUMMYFUNCTION("""COMPUTED_VALUE"""),125361.0)</f>
        <v>125361</v>
      </c>
    </row>
    <row r="1833">
      <c r="A1833" s="2">
        <f>IFERROR(__xludf.DUMMYFUNCTION("""COMPUTED_VALUE"""),44715.64583333333)</f>
        <v>44715.64583</v>
      </c>
      <c r="B1833" s="1">
        <f>IFERROR(__xludf.DUMMYFUNCTION("""COMPUTED_VALUE"""),4045.0)</f>
        <v>4045</v>
      </c>
      <c r="C1833" s="1">
        <f>IFERROR(__xludf.DUMMYFUNCTION("""COMPUTED_VALUE"""),4090.0)</f>
        <v>4090</v>
      </c>
      <c r="D1833" s="1">
        <f>IFERROR(__xludf.DUMMYFUNCTION("""COMPUTED_VALUE"""),4035.0)</f>
        <v>4035</v>
      </c>
      <c r="E1833" s="1">
        <f>IFERROR(__xludf.DUMMYFUNCTION("""COMPUTED_VALUE"""),4090.0)</f>
        <v>4090</v>
      </c>
      <c r="F1833" s="1">
        <f>IFERROR(__xludf.DUMMYFUNCTION("""COMPUTED_VALUE"""),187650.0)</f>
        <v>187650</v>
      </c>
    </row>
    <row r="1834">
      <c r="A1834" s="2">
        <f>IFERROR(__xludf.DUMMYFUNCTION("""COMPUTED_VALUE"""),44719.64583333333)</f>
        <v>44719.64583</v>
      </c>
      <c r="B1834" s="1">
        <f>IFERROR(__xludf.DUMMYFUNCTION("""COMPUTED_VALUE"""),4100.0)</f>
        <v>4100</v>
      </c>
      <c r="C1834" s="1">
        <f>IFERROR(__xludf.DUMMYFUNCTION("""COMPUTED_VALUE"""),4340.0)</f>
        <v>4340</v>
      </c>
      <c r="D1834" s="1">
        <f>IFERROR(__xludf.DUMMYFUNCTION("""COMPUTED_VALUE"""),4030.0)</f>
        <v>4030</v>
      </c>
      <c r="E1834" s="1">
        <f>IFERROR(__xludf.DUMMYFUNCTION("""COMPUTED_VALUE"""),4140.0)</f>
        <v>4140</v>
      </c>
      <c r="F1834" s="1">
        <f>IFERROR(__xludf.DUMMYFUNCTION("""COMPUTED_VALUE"""),1499305.0)</f>
        <v>1499305</v>
      </c>
    </row>
    <row r="1835">
      <c r="A1835" s="2">
        <f>IFERROR(__xludf.DUMMYFUNCTION("""COMPUTED_VALUE"""),44720.64583333333)</f>
        <v>44720.64583</v>
      </c>
      <c r="B1835" s="1">
        <f>IFERROR(__xludf.DUMMYFUNCTION("""COMPUTED_VALUE"""),4120.0)</f>
        <v>4120</v>
      </c>
      <c r="C1835" s="1">
        <f>IFERROR(__xludf.DUMMYFUNCTION("""COMPUTED_VALUE"""),4125.0)</f>
        <v>4125</v>
      </c>
      <c r="D1835" s="1">
        <f>IFERROR(__xludf.DUMMYFUNCTION("""COMPUTED_VALUE"""),4050.0)</f>
        <v>4050</v>
      </c>
      <c r="E1835" s="1">
        <f>IFERROR(__xludf.DUMMYFUNCTION("""COMPUTED_VALUE"""),4060.0)</f>
        <v>4060</v>
      </c>
      <c r="F1835" s="1">
        <f>IFERROR(__xludf.DUMMYFUNCTION("""COMPUTED_VALUE"""),250709.0)</f>
        <v>250709</v>
      </c>
    </row>
    <row r="1836">
      <c r="A1836" s="2">
        <f>IFERROR(__xludf.DUMMYFUNCTION("""COMPUTED_VALUE"""),44721.64583333333)</f>
        <v>44721.64583</v>
      </c>
      <c r="B1836" s="1">
        <f>IFERROR(__xludf.DUMMYFUNCTION("""COMPUTED_VALUE"""),4050.0)</f>
        <v>4050</v>
      </c>
      <c r="C1836" s="1">
        <f>IFERROR(__xludf.DUMMYFUNCTION("""COMPUTED_VALUE"""),4065.0)</f>
        <v>4065</v>
      </c>
      <c r="D1836" s="1">
        <f>IFERROR(__xludf.DUMMYFUNCTION("""COMPUTED_VALUE"""),3985.0)</f>
        <v>3985</v>
      </c>
      <c r="E1836" s="1">
        <f>IFERROR(__xludf.DUMMYFUNCTION("""COMPUTED_VALUE"""),4015.0)</f>
        <v>4015</v>
      </c>
      <c r="F1836" s="1">
        <f>IFERROR(__xludf.DUMMYFUNCTION("""COMPUTED_VALUE"""),233995.0)</f>
        <v>233995</v>
      </c>
    </row>
    <row r="1837">
      <c r="A1837" s="2">
        <f>IFERROR(__xludf.DUMMYFUNCTION("""COMPUTED_VALUE"""),44722.64583333333)</f>
        <v>44722.64583</v>
      </c>
      <c r="B1837" s="1">
        <f>IFERROR(__xludf.DUMMYFUNCTION("""COMPUTED_VALUE"""),3960.0)</f>
        <v>3960</v>
      </c>
      <c r="C1837" s="1">
        <f>IFERROR(__xludf.DUMMYFUNCTION("""COMPUTED_VALUE"""),4005.0)</f>
        <v>4005</v>
      </c>
      <c r="D1837" s="1">
        <f>IFERROR(__xludf.DUMMYFUNCTION("""COMPUTED_VALUE"""),3950.0)</f>
        <v>3950</v>
      </c>
      <c r="E1837" s="1">
        <f>IFERROR(__xludf.DUMMYFUNCTION("""COMPUTED_VALUE"""),3995.0)</f>
        <v>3995</v>
      </c>
      <c r="F1837" s="1">
        <f>IFERROR(__xludf.DUMMYFUNCTION("""COMPUTED_VALUE"""),146297.0)</f>
        <v>146297</v>
      </c>
    </row>
    <row r="1838">
      <c r="A1838" s="2">
        <f>IFERROR(__xludf.DUMMYFUNCTION("""COMPUTED_VALUE"""),44725.64583333333)</f>
        <v>44725.64583</v>
      </c>
      <c r="B1838" s="1">
        <f>IFERROR(__xludf.DUMMYFUNCTION("""COMPUTED_VALUE"""),3865.0)</f>
        <v>3865</v>
      </c>
      <c r="C1838" s="1">
        <f>IFERROR(__xludf.DUMMYFUNCTION("""COMPUTED_VALUE"""),4030.0)</f>
        <v>4030</v>
      </c>
      <c r="D1838" s="1">
        <f>IFERROR(__xludf.DUMMYFUNCTION("""COMPUTED_VALUE"""),3740.0)</f>
        <v>3740</v>
      </c>
      <c r="E1838" s="1">
        <f>IFERROR(__xludf.DUMMYFUNCTION("""COMPUTED_VALUE"""),3740.0)</f>
        <v>3740</v>
      </c>
      <c r="F1838" s="1">
        <f>IFERROR(__xludf.DUMMYFUNCTION("""COMPUTED_VALUE"""),452906.0)</f>
        <v>452906</v>
      </c>
    </row>
    <row r="1839">
      <c r="A1839" s="2">
        <f>IFERROR(__xludf.DUMMYFUNCTION("""COMPUTED_VALUE"""),44726.64583333333)</f>
        <v>44726.64583</v>
      </c>
      <c r="B1839" s="1">
        <f>IFERROR(__xludf.DUMMYFUNCTION("""COMPUTED_VALUE"""),3620.0)</f>
        <v>3620</v>
      </c>
      <c r="C1839" s="1">
        <f>IFERROR(__xludf.DUMMYFUNCTION("""COMPUTED_VALUE"""),3685.0)</f>
        <v>3685</v>
      </c>
      <c r="D1839" s="1">
        <f>IFERROR(__xludf.DUMMYFUNCTION("""COMPUTED_VALUE"""),3585.0)</f>
        <v>3585</v>
      </c>
      <c r="E1839" s="1">
        <f>IFERROR(__xludf.DUMMYFUNCTION("""COMPUTED_VALUE"""),3635.0)</f>
        <v>3635</v>
      </c>
      <c r="F1839" s="1">
        <f>IFERROR(__xludf.DUMMYFUNCTION("""COMPUTED_VALUE"""),333165.0)</f>
        <v>333165</v>
      </c>
    </row>
    <row r="1840">
      <c r="A1840" s="2">
        <f>IFERROR(__xludf.DUMMYFUNCTION("""COMPUTED_VALUE"""),44727.64583333333)</f>
        <v>44727.64583</v>
      </c>
      <c r="B1840" s="1">
        <f>IFERROR(__xludf.DUMMYFUNCTION("""COMPUTED_VALUE"""),3570.0)</f>
        <v>3570</v>
      </c>
      <c r="C1840" s="1">
        <f>IFERROR(__xludf.DUMMYFUNCTION("""COMPUTED_VALUE"""),3630.0)</f>
        <v>3630</v>
      </c>
      <c r="D1840" s="1">
        <f>IFERROR(__xludf.DUMMYFUNCTION("""COMPUTED_VALUE"""),3430.0)</f>
        <v>3430</v>
      </c>
      <c r="E1840" s="1">
        <f>IFERROR(__xludf.DUMMYFUNCTION("""COMPUTED_VALUE"""),3455.0)</f>
        <v>3455</v>
      </c>
      <c r="F1840" s="1">
        <f>IFERROR(__xludf.DUMMYFUNCTION("""COMPUTED_VALUE"""),390359.0)</f>
        <v>390359</v>
      </c>
    </row>
    <row r="1841">
      <c r="A1841" s="2">
        <f>IFERROR(__xludf.DUMMYFUNCTION("""COMPUTED_VALUE"""),44728.64583333333)</f>
        <v>44728.64583</v>
      </c>
      <c r="B1841" s="1">
        <f>IFERROR(__xludf.DUMMYFUNCTION("""COMPUTED_VALUE"""),3465.0)</f>
        <v>3465</v>
      </c>
      <c r="C1841" s="1">
        <f>IFERROR(__xludf.DUMMYFUNCTION("""COMPUTED_VALUE"""),3775.0)</f>
        <v>3775</v>
      </c>
      <c r="D1841" s="1">
        <f>IFERROR(__xludf.DUMMYFUNCTION("""COMPUTED_VALUE"""),3465.0)</f>
        <v>3465</v>
      </c>
      <c r="E1841" s="1">
        <f>IFERROR(__xludf.DUMMYFUNCTION("""COMPUTED_VALUE"""),3600.0)</f>
        <v>3600</v>
      </c>
      <c r="F1841" s="1">
        <f>IFERROR(__xludf.DUMMYFUNCTION("""COMPUTED_VALUE"""),656724.0)</f>
        <v>656724</v>
      </c>
    </row>
    <row r="1842">
      <c r="A1842" s="2">
        <f>IFERROR(__xludf.DUMMYFUNCTION("""COMPUTED_VALUE"""),44729.64583333333)</f>
        <v>44729.64583</v>
      </c>
      <c r="B1842" s="1">
        <f>IFERROR(__xludf.DUMMYFUNCTION("""COMPUTED_VALUE"""),3445.0)</f>
        <v>3445</v>
      </c>
      <c r="C1842" s="1">
        <f>IFERROR(__xludf.DUMMYFUNCTION("""COMPUTED_VALUE"""),3730.0)</f>
        <v>3730</v>
      </c>
      <c r="D1842" s="1">
        <f>IFERROR(__xludf.DUMMYFUNCTION("""COMPUTED_VALUE"""),3395.0)</f>
        <v>3395</v>
      </c>
      <c r="E1842" s="1">
        <f>IFERROR(__xludf.DUMMYFUNCTION("""COMPUTED_VALUE"""),3685.0)</f>
        <v>3685</v>
      </c>
      <c r="F1842" s="1">
        <f>IFERROR(__xludf.DUMMYFUNCTION("""COMPUTED_VALUE"""),843144.0)</f>
        <v>843144</v>
      </c>
    </row>
    <row r="1843">
      <c r="A1843" s="2">
        <f>IFERROR(__xludf.DUMMYFUNCTION("""COMPUTED_VALUE"""),44732.64583333333)</f>
        <v>44732.64583</v>
      </c>
      <c r="B1843" s="1">
        <f>IFERROR(__xludf.DUMMYFUNCTION("""COMPUTED_VALUE"""),3685.0)</f>
        <v>3685</v>
      </c>
      <c r="C1843" s="1">
        <f>IFERROR(__xludf.DUMMYFUNCTION("""COMPUTED_VALUE"""),3720.0)</f>
        <v>3720</v>
      </c>
      <c r="D1843" s="1">
        <f>IFERROR(__xludf.DUMMYFUNCTION("""COMPUTED_VALUE"""),3450.0)</f>
        <v>3450</v>
      </c>
      <c r="E1843" s="1">
        <f>IFERROR(__xludf.DUMMYFUNCTION("""COMPUTED_VALUE"""),3490.0)</f>
        <v>3490</v>
      </c>
      <c r="F1843" s="1">
        <f>IFERROR(__xludf.DUMMYFUNCTION("""COMPUTED_VALUE"""),446041.0)</f>
        <v>446041</v>
      </c>
    </row>
    <row r="1844">
      <c r="A1844" s="2">
        <f>IFERROR(__xludf.DUMMYFUNCTION("""COMPUTED_VALUE"""),44733.64583333333)</f>
        <v>44733.64583</v>
      </c>
      <c r="B1844" s="1">
        <f>IFERROR(__xludf.DUMMYFUNCTION("""COMPUTED_VALUE"""),3460.0)</f>
        <v>3460</v>
      </c>
      <c r="C1844" s="1">
        <f>IFERROR(__xludf.DUMMYFUNCTION("""COMPUTED_VALUE"""),3585.0)</f>
        <v>3585</v>
      </c>
      <c r="D1844" s="1">
        <f>IFERROR(__xludf.DUMMYFUNCTION("""COMPUTED_VALUE"""),3370.0)</f>
        <v>3370</v>
      </c>
      <c r="E1844" s="1">
        <f>IFERROR(__xludf.DUMMYFUNCTION("""COMPUTED_VALUE"""),3465.0)</f>
        <v>3465</v>
      </c>
      <c r="F1844" s="1">
        <f>IFERROR(__xludf.DUMMYFUNCTION("""COMPUTED_VALUE"""),811163.0)</f>
        <v>811163</v>
      </c>
    </row>
    <row r="1845">
      <c r="A1845" s="2">
        <f>IFERROR(__xludf.DUMMYFUNCTION("""COMPUTED_VALUE"""),44734.64583333333)</f>
        <v>44734.64583</v>
      </c>
      <c r="B1845" s="1">
        <f>IFERROR(__xludf.DUMMYFUNCTION("""COMPUTED_VALUE"""),3470.0)</f>
        <v>3470</v>
      </c>
      <c r="C1845" s="1">
        <f>IFERROR(__xludf.DUMMYFUNCTION("""COMPUTED_VALUE"""),3485.0)</f>
        <v>3485</v>
      </c>
      <c r="D1845" s="1">
        <f>IFERROR(__xludf.DUMMYFUNCTION("""COMPUTED_VALUE"""),3125.0)</f>
        <v>3125</v>
      </c>
      <c r="E1845" s="1">
        <f>IFERROR(__xludf.DUMMYFUNCTION("""COMPUTED_VALUE"""),3165.0)</f>
        <v>3165</v>
      </c>
      <c r="F1845" s="1">
        <f>IFERROR(__xludf.DUMMYFUNCTION("""COMPUTED_VALUE"""),425298.0)</f>
        <v>425298</v>
      </c>
    </row>
    <row r="1846">
      <c r="A1846" s="2">
        <f>IFERROR(__xludf.DUMMYFUNCTION("""COMPUTED_VALUE"""),44735.64583333333)</f>
        <v>44735.64583</v>
      </c>
      <c r="B1846" s="1">
        <f>IFERROR(__xludf.DUMMYFUNCTION("""COMPUTED_VALUE"""),3150.0)</f>
        <v>3150</v>
      </c>
      <c r="C1846" s="1">
        <f>IFERROR(__xludf.DUMMYFUNCTION("""COMPUTED_VALUE"""),3190.0)</f>
        <v>3190</v>
      </c>
      <c r="D1846" s="1">
        <f>IFERROR(__xludf.DUMMYFUNCTION("""COMPUTED_VALUE"""),2850.0)</f>
        <v>2850</v>
      </c>
      <c r="E1846" s="1">
        <f>IFERROR(__xludf.DUMMYFUNCTION("""COMPUTED_VALUE"""),2850.0)</f>
        <v>2850</v>
      </c>
      <c r="F1846" s="1">
        <f>IFERROR(__xludf.DUMMYFUNCTION("""COMPUTED_VALUE"""),766575.0)</f>
        <v>766575</v>
      </c>
    </row>
    <row r="1847">
      <c r="A1847" s="2">
        <f>IFERROR(__xludf.DUMMYFUNCTION("""COMPUTED_VALUE"""),44736.64583333333)</f>
        <v>44736.64583</v>
      </c>
      <c r="B1847" s="1">
        <f>IFERROR(__xludf.DUMMYFUNCTION("""COMPUTED_VALUE"""),2795.0)</f>
        <v>2795</v>
      </c>
      <c r="C1847" s="1">
        <f>IFERROR(__xludf.DUMMYFUNCTION("""COMPUTED_VALUE"""),3050.0)</f>
        <v>3050</v>
      </c>
      <c r="D1847" s="1">
        <f>IFERROR(__xludf.DUMMYFUNCTION("""COMPUTED_VALUE"""),2795.0)</f>
        <v>2795</v>
      </c>
      <c r="E1847" s="1">
        <f>IFERROR(__xludf.DUMMYFUNCTION("""COMPUTED_VALUE"""),3050.0)</f>
        <v>3050</v>
      </c>
      <c r="F1847" s="1">
        <f>IFERROR(__xludf.DUMMYFUNCTION("""COMPUTED_VALUE"""),624093.0)</f>
        <v>624093</v>
      </c>
    </row>
    <row r="1848">
      <c r="A1848" s="2">
        <f>IFERROR(__xludf.DUMMYFUNCTION("""COMPUTED_VALUE"""),44739.64583333333)</f>
        <v>44739.64583</v>
      </c>
      <c r="B1848" s="1">
        <f>IFERROR(__xludf.DUMMYFUNCTION("""COMPUTED_VALUE"""),3090.0)</f>
        <v>3090</v>
      </c>
      <c r="C1848" s="1">
        <f>IFERROR(__xludf.DUMMYFUNCTION("""COMPUTED_VALUE"""),3255.0)</f>
        <v>3255</v>
      </c>
      <c r="D1848" s="1">
        <f>IFERROR(__xludf.DUMMYFUNCTION("""COMPUTED_VALUE"""),3070.0)</f>
        <v>3070</v>
      </c>
      <c r="E1848" s="1">
        <f>IFERROR(__xludf.DUMMYFUNCTION("""COMPUTED_VALUE"""),3220.0)</f>
        <v>3220</v>
      </c>
      <c r="F1848" s="1">
        <f>IFERROR(__xludf.DUMMYFUNCTION("""COMPUTED_VALUE"""),372599.0)</f>
        <v>372599</v>
      </c>
    </row>
    <row r="1849">
      <c r="A1849" s="2">
        <f>IFERROR(__xludf.DUMMYFUNCTION("""COMPUTED_VALUE"""),44740.64583333333)</f>
        <v>44740.64583</v>
      </c>
      <c r="B1849" s="1">
        <f>IFERROR(__xludf.DUMMYFUNCTION("""COMPUTED_VALUE"""),3180.0)</f>
        <v>3180</v>
      </c>
      <c r="C1849" s="1">
        <f>IFERROR(__xludf.DUMMYFUNCTION("""COMPUTED_VALUE"""),3300.0)</f>
        <v>3300</v>
      </c>
      <c r="D1849" s="1">
        <f>IFERROR(__xludf.DUMMYFUNCTION("""COMPUTED_VALUE"""),3085.0)</f>
        <v>3085</v>
      </c>
      <c r="E1849" s="1">
        <f>IFERROR(__xludf.DUMMYFUNCTION("""COMPUTED_VALUE"""),3220.0)</f>
        <v>3220</v>
      </c>
      <c r="F1849" s="1">
        <f>IFERROR(__xludf.DUMMYFUNCTION("""COMPUTED_VALUE"""),445275.0)</f>
        <v>445275</v>
      </c>
    </row>
    <row r="1850">
      <c r="A1850" s="2">
        <f>IFERROR(__xludf.DUMMYFUNCTION("""COMPUTED_VALUE"""),44741.64583333333)</f>
        <v>44741.64583</v>
      </c>
      <c r="B1850" s="1">
        <f>IFERROR(__xludf.DUMMYFUNCTION("""COMPUTED_VALUE"""),3150.0)</f>
        <v>3150</v>
      </c>
      <c r="C1850" s="1">
        <f>IFERROR(__xludf.DUMMYFUNCTION("""COMPUTED_VALUE"""),3225.0)</f>
        <v>3225</v>
      </c>
      <c r="D1850" s="1">
        <f>IFERROR(__xludf.DUMMYFUNCTION("""COMPUTED_VALUE"""),3130.0)</f>
        <v>3130</v>
      </c>
      <c r="E1850" s="1">
        <f>IFERROR(__xludf.DUMMYFUNCTION("""COMPUTED_VALUE"""),3210.0)</f>
        <v>3210</v>
      </c>
      <c r="F1850" s="1">
        <f>IFERROR(__xludf.DUMMYFUNCTION("""COMPUTED_VALUE"""),149252.0)</f>
        <v>149252</v>
      </c>
    </row>
    <row r="1851">
      <c r="A1851" s="2">
        <f>IFERROR(__xludf.DUMMYFUNCTION("""COMPUTED_VALUE"""),44742.64583333333)</f>
        <v>44742.64583</v>
      </c>
      <c r="B1851" s="1">
        <f>IFERROR(__xludf.DUMMYFUNCTION("""COMPUTED_VALUE"""),3190.0)</f>
        <v>3190</v>
      </c>
      <c r="C1851" s="1">
        <f>IFERROR(__xludf.DUMMYFUNCTION("""COMPUTED_VALUE"""),3195.0)</f>
        <v>3195</v>
      </c>
      <c r="D1851" s="1">
        <f>IFERROR(__xludf.DUMMYFUNCTION("""COMPUTED_VALUE"""),3050.0)</f>
        <v>3050</v>
      </c>
      <c r="E1851" s="1">
        <f>IFERROR(__xludf.DUMMYFUNCTION("""COMPUTED_VALUE"""),3085.0)</f>
        <v>3085</v>
      </c>
      <c r="F1851" s="1">
        <f>IFERROR(__xludf.DUMMYFUNCTION("""COMPUTED_VALUE"""),156618.0)</f>
        <v>156618</v>
      </c>
    </row>
    <row r="1852">
      <c r="A1852" s="2">
        <f>IFERROR(__xludf.DUMMYFUNCTION("""COMPUTED_VALUE"""),44743.64583333333)</f>
        <v>44743.64583</v>
      </c>
      <c r="B1852" s="1">
        <f>IFERROR(__xludf.DUMMYFUNCTION("""COMPUTED_VALUE"""),3085.0)</f>
        <v>3085</v>
      </c>
      <c r="C1852" s="1">
        <f>IFERROR(__xludf.DUMMYFUNCTION("""COMPUTED_VALUE"""),3210.0)</f>
        <v>3210</v>
      </c>
      <c r="D1852" s="1">
        <f>IFERROR(__xludf.DUMMYFUNCTION("""COMPUTED_VALUE"""),2960.0)</f>
        <v>2960</v>
      </c>
      <c r="E1852" s="1">
        <f>IFERROR(__xludf.DUMMYFUNCTION("""COMPUTED_VALUE"""),2960.0)</f>
        <v>2960</v>
      </c>
      <c r="F1852" s="1">
        <f>IFERROR(__xludf.DUMMYFUNCTION("""COMPUTED_VALUE"""),186850.0)</f>
        <v>186850</v>
      </c>
    </row>
    <row r="1853">
      <c r="A1853" s="2">
        <f>IFERROR(__xludf.DUMMYFUNCTION("""COMPUTED_VALUE"""),44746.64583333333)</f>
        <v>44746.64583</v>
      </c>
      <c r="B1853" s="1">
        <f>IFERROR(__xludf.DUMMYFUNCTION("""COMPUTED_VALUE"""),3000.0)</f>
        <v>3000</v>
      </c>
      <c r="C1853" s="1">
        <f>IFERROR(__xludf.DUMMYFUNCTION("""COMPUTED_VALUE"""),3035.0)</f>
        <v>3035</v>
      </c>
      <c r="D1853" s="1">
        <f>IFERROR(__xludf.DUMMYFUNCTION("""COMPUTED_VALUE"""),2880.0)</f>
        <v>2880</v>
      </c>
      <c r="E1853" s="1">
        <f>IFERROR(__xludf.DUMMYFUNCTION("""COMPUTED_VALUE"""),2990.0)</f>
        <v>2990</v>
      </c>
      <c r="F1853" s="1">
        <f>IFERROR(__xludf.DUMMYFUNCTION("""COMPUTED_VALUE"""),134049.0)</f>
        <v>134049</v>
      </c>
    </row>
    <row r="1854">
      <c r="A1854" s="2">
        <f>IFERROR(__xludf.DUMMYFUNCTION("""COMPUTED_VALUE"""),44747.64583333333)</f>
        <v>44747.64583</v>
      </c>
      <c r="B1854" s="1">
        <f>IFERROR(__xludf.DUMMYFUNCTION("""COMPUTED_VALUE"""),2950.0)</f>
        <v>2950</v>
      </c>
      <c r="C1854" s="1">
        <f>IFERROR(__xludf.DUMMYFUNCTION("""COMPUTED_VALUE"""),3090.0)</f>
        <v>3090</v>
      </c>
      <c r="D1854" s="1">
        <f>IFERROR(__xludf.DUMMYFUNCTION("""COMPUTED_VALUE"""),2950.0)</f>
        <v>2950</v>
      </c>
      <c r="E1854" s="1">
        <f>IFERROR(__xludf.DUMMYFUNCTION("""COMPUTED_VALUE"""),3085.0)</f>
        <v>3085</v>
      </c>
      <c r="F1854" s="1">
        <f>IFERROR(__xludf.DUMMYFUNCTION("""COMPUTED_VALUE"""),146005.0)</f>
        <v>146005</v>
      </c>
    </row>
    <row r="1855">
      <c r="A1855" s="2">
        <f>IFERROR(__xludf.DUMMYFUNCTION("""COMPUTED_VALUE"""),44748.64583333333)</f>
        <v>44748.64583</v>
      </c>
      <c r="B1855" s="1">
        <f>IFERROR(__xludf.DUMMYFUNCTION("""COMPUTED_VALUE"""),3085.0)</f>
        <v>3085</v>
      </c>
      <c r="C1855" s="1">
        <f>IFERROR(__xludf.DUMMYFUNCTION("""COMPUTED_VALUE"""),3160.0)</f>
        <v>3160</v>
      </c>
      <c r="D1855" s="1">
        <f>IFERROR(__xludf.DUMMYFUNCTION("""COMPUTED_VALUE"""),3025.0)</f>
        <v>3025</v>
      </c>
      <c r="E1855" s="1">
        <f>IFERROR(__xludf.DUMMYFUNCTION("""COMPUTED_VALUE"""),3140.0)</f>
        <v>3140</v>
      </c>
      <c r="F1855" s="1">
        <f>IFERROR(__xludf.DUMMYFUNCTION("""COMPUTED_VALUE"""),193359.0)</f>
        <v>193359</v>
      </c>
    </row>
    <row r="1856">
      <c r="A1856" s="2">
        <f>IFERROR(__xludf.DUMMYFUNCTION("""COMPUTED_VALUE"""),44749.64583333333)</f>
        <v>44749.64583</v>
      </c>
      <c r="B1856" s="1">
        <f>IFERROR(__xludf.DUMMYFUNCTION("""COMPUTED_VALUE"""),3165.0)</f>
        <v>3165</v>
      </c>
      <c r="C1856" s="1">
        <f>IFERROR(__xludf.DUMMYFUNCTION("""COMPUTED_VALUE"""),3180.0)</f>
        <v>3180</v>
      </c>
      <c r="D1856" s="1">
        <f>IFERROR(__xludf.DUMMYFUNCTION("""COMPUTED_VALUE"""),3115.0)</f>
        <v>3115</v>
      </c>
      <c r="E1856" s="1">
        <f>IFERROR(__xludf.DUMMYFUNCTION("""COMPUTED_VALUE"""),3140.0)</f>
        <v>3140</v>
      </c>
      <c r="F1856" s="1">
        <f>IFERROR(__xludf.DUMMYFUNCTION("""COMPUTED_VALUE"""),172606.0)</f>
        <v>172606</v>
      </c>
    </row>
    <row r="1857">
      <c r="A1857" s="2">
        <f>IFERROR(__xludf.DUMMYFUNCTION("""COMPUTED_VALUE"""),44750.64583333333)</f>
        <v>44750.64583</v>
      </c>
      <c r="B1857" s="1">
        <f>IFERROR(__xludf.DUMMYFUNCTION("""COMPUTED_VALUE"""),3170.0)</f>
        <v>3170</v>
      </c>
      <c r="C1857" s="1">
        <f>IFERROR(__xludf.DUMMYFUNCTION("""COMPUTED_VALUE"""),3195.0)</f>
        <v>3195</v>
      </c>
      <c r="D1857" s="1">
        <f>IFERROR(__xludf.DUMMYFUNCTION("""COMPUTED_VALUE"""),3110.0)</f>
        <v>3110</v>
      </c>
      <c r="E1857" s="1">
        <f>IFERROR(__xludf.DUMMYFUNCTION("""COMPUTED_VALUE"""),3110.0)</f>
        <v>3110</v>
      </c>
      <c r="F1857" s="1">
        <f>IFERROR(__xludf.DUMMYFUNCTION("""COMPUTED_VALUE"""),132286.0)</f>
        <v>132286</v>
      </c>
    </row>
    <row r="1858">
      <c r="A1858" s="2">
        <f>IFERROR(__xludf.DUMMYFUNCTION("""COMPUTED_VALUE"""),44753.64583333333)</f>
        <v>44753.64583</v>
      </c>
      <c r="B1858" s="1">
        <f>IFERROR(__xludf.DUMMYFUNCTION("""COMPUTED_VALUE"""),3110.0)</f>
        <v>3110</v>
      </c>
      <c r="C1858" s="1">
        <f>IFERROR(__xludf.DUMMYFUNCTION("""COMPUTED_VALUE"""),3180.0)</f>
        <v>3180</v>
      </c>
      <c r="D1858" s="1">
        <f>IFERROR(__xludf.DUMMYFUNCTION("""COMPUTED_VALUE"""),3105.0)</f>
        <v>3105</v>
      </c>
      <c r="E1858" s="1">
        <f>IFERROR(__xludf.DUMMYFUNCTION("""COMPUTED_VALUE"""),3180.0)</f>
        <v>3180</v>
      </c>
      <c r="F1858" s="1">
        <f>IFERROR(__xludf.DUMMYFUNCTION("""COMPUTED_VALUE"""),105853.0)</f>
        <v>105853</v>
      </c>
    </row>
    <row r="1859">
      <c r="A1859" s="2">
        <f>IFERROR(__xludf.DUMMYFUNCTION("""COMPUTED_VALUE"""),44754.64583333333)</f>
        <v>44754.64583</v>
      </c>
      <c r="B1859" s="1">
        <f>IFERROR(__xludf.DUMMYFUNCTION("""COMPUTED_VALUE"""),3170.0)</f>
        <v>3170</v>
      </c>
      <c r="C1859" s="1">
        <f>IFERROR(__xludf.DUMMYFUNCTION("""COMPUTED_VALUE"""),3170.0)</f>
        <v>3170</v>
      </c>
      <c r="D1859" s="1">
        <f>IFERROR(__xludf.DUMMYFUNCTION("""COMPUTED_VALUE"""),3075.0)</f>
        <v>3075</v>
      </c>
      <c r="E1859" s="1">
        <f>IFERROR(__xludf.DUMMYFUNCTION("""COMPUTED_VALUE"""),3115.0)</f>
        <v>3115</v>
      </c>
      <c r="F1859" s="1">
        <f>IFERROR(__xludf.DUMMYFUNCTION("""COMPUTED_VALUE"""),120621.0)</f>
        <v>120621</v>
      </c>
    </row>
    <row r="1860">
      <c r="A1860" s="2">
        <f>IFERROR(__xludf.DUMMYFUNCTION("""COMPUTED_VALUE"""),44755.64583333333)</f>
        <v>44755.64583</v>
      </c>
      <c r="B1860" s="1">
        <f>IFERROR(__xludf.DUMMYFUNCTION("""COMPUTED_VALUE"""),3135.0)</f>
        <v>3135</v>
      </c>
      <c r="C1860" s="1">
        <f>IFERROR(__xludf.DUMMYFUNCTION("""COMPUTED_VALUE"""),3690.0)</f>
        <v>3690</v>
      </c>
      <c r="D1860" s="1">
        <f>IFERROR(__xludf.DUMMYFUNCTION("""COMPUTED_VALUE"""),3115.0)</f>
        <v>3115</v>
      </c>
      <c r="E1860" s="1">
        <f>IFERROR(__xludf.DUMMYFUNCTION("""COMPUTED_VALUE"""),3290.0)</f>
        <v>3290</v>
      </c>
      <c r="F1860" s="1">
        <f>IFERROR(__xludf.DUMMYFUNCTION("""COMPUTED_VALUE"""),5480665.0)</f>
        <v>5480665</v>
      </c>
    </row>
    <row r="1861">
      <c r="A1861" s="2">
        <f>IFERROR(__xludf.DUMMYFUNCTION("""COMPUTED_VALUE"""),44756.64583333333)</f>
        <v>44756.64583</v>
      </c>
      <c r="B1861" s="1">
        <f>IFERROR(__xludf.DUMMYFUNCTION("""COMPUTED_VALUE"""),3310.0)</f>
        <v>3310</v>
      </c>
      <c r="C1861" s="1">
        <f>IFERROR(__xludf.DUMMYFUNCTION("""COMPUTED_VALUE"""),3345.0)</f>
        <v>3345</v>
      </c>
      <c r="D1861" s="1">
        <f>IFERROR(__xludf.DUMMYFUNCTION("""COMPUTED_VALUE"""),3240.0)</f>
        <v>3240</v>
      </c>
      <c r="E1861" s="1">
        <f>IFERROR(__xludf.DUMMYFUNCTION("""COMPUTED_VALUE"""),3285.0)</f>
        <v>3285</v>
      </c>
      <c r="F1861" s="1">
        <f>IFERROR(__xludf.DUMMYFUNCTION("""COMPUTED_VALUE"""),545455.0)</f>
        <v>545455</v>
      </c>
    </row>
    <row r="1862">
      <c r="A1862" s="2">
        <f>IFERROR(__xludf.DUMMYFUNCTION("""COMPUTED_VALUE"""),44757.64583333333)</f>
        <v>44757.64583</v>
      </c>
      <c r="B1862" s="1">
        <f>IFERROR(__xludf.DUMMYFUNCTION("""COMPUTED_VALUE"""),3285.0)</f>
        <v>3285</v>
      </c>
      <c r="C1862" s="1">
        <f>IFERROR(__xludf.DUMMYFUNCTION("""COMPUTED_VALUE"""),3285.0)</f>
        <v>3285</v>
      </c>
      <c r="D1862" s="1">
        <f>IFERROR(__xludf.DUMMYFUNCTION("""COMPUTED_VALUE"""),3130.0)</f>
        <v>3130</v>
      </c>
      <c r="E1862" s="1">
        <f>IFERROR(__xludf.DUMMYFUNCTION("""COMPUTED_VALUE"""),3130.0)</f>
        <v>3130</v>
      </c>
      <c r="F1862" s="1">
        <f>IFERROR(__xludf.DUMMYFUNCTION("""COMPUTED_VALUE"""),436133.0)</f>
        <v>436133</v>
      </c>
    </row>
    <row r="1863">
      <c r="A1863" s="2">
        <f>IFERROR(__xludf.DUMMYFUNCTION("""COMPUTED_VALUE"""),44760.64583333333)</f>
        <v>44760.64583</v>
      </c>
      <c r="B1863" s="1">
        <f>IFERROR(__xludf.DUMMYFUNCTION("""COMPUTED_VALUE"""),3175.0)</f>
        <v>3175</v>
      </c>
      <c r="C1863" s="1">
        <f>IFERROR(__xludf.DUMMYFUNCTION("""COMPUTED_VALUE"""),3230.0)</f>
        <v>3230</v>
      </c>
      <c r="D1863" s="1">
        <f>IFERROR(__xludf.DUMMYFUNCTION("""COMPUTED_VALUE"""),3165.0)</f>
        <v>3165</v>
      </c>
      <c r="E1863" s="1">
        <f>IFERROR(__xludf.DUMMYFUNCTION("""COMPUTED_VALUE"""),3230.0)</f>
        <v>3230</v>
      </c>
      <c r="F1863" s="1">
        <f>IFERROR(__xludf.DUMMYFUNCTION("""COMPUTED_VALUE"""),230460.0)</f>
        <v>230460</v>
      </c>
    </row>
    <row r="1864">
      <c r="A1864" s="2">
        <f>IFERROR(__xludf.DUMMYFUNCTION("""COMPUTED_VALUE"""),44761.64583333333)</f>
        <v>44761.64583</v>
      </c>
      <c r="B1864" s="1">
        <f>IFERROR(__xludf.DUMMYFUNCTION("""COMPUTED_VALUE"""),3235.0)</f>
        <v>3235</v>
      </c>
      <c r="C1864" s="1">
        <f>IFERROR(__xludf.DUMMYFUNCTION("""COMPUTED_VALUE"""),3255.0)</f>
        <v>3255</v>
      </c>
      <c r="D1864" s="1">
        <f>IFERROR(__xludf.DUMMYFUNCTION("""COMPUTED_VALUE"""),3195.0)</f>
        <v>3195</v>
      </c>
      <c r="E1864" s="1">
        <f>IFERROR(__xludf.DUMMYFUNCTION("""COMPUTED_VALUE"""),3230.0)</f>
        <v>3230</v>
      </c>
      <c r="F1864" s="1">
        <f>IFERROR(__xludf.DUMMYFUNCTION("""COMPUTED_VALUE"""),180333.0)</f>
        <v>180333</v>
      </c>
    </row>
    <row r="1865">
      <c r="A1865" s="2">
        <f>IFERROR(__xludf.DUMMYFUNCTION("""COMPUTED_VALUE"""),44762.64583333333)</f>
        <v>44762.64583</v>
      </c>
      <c r="B1865" s="1">
        <f>IFERROR(__xludf.DUMMYFUNCTION("""COMPUTED_VALUE"""),3290.0)</f>
        <v>3290</v>
      </c>
      <c r="C1865" s="1">
        <f>IFERROR(__xludf.DUMMYFUNCTION("""COMPUTED_VALUE"""),3300.0)</f>
        <v>3300</v>
      </c>
      <c r="D1865" s="1">
        <f>IFERROR(__xludf.DUMMYFUNCTION("""COMPUTED_VALUE"""),3240.0)</f>
        <v>3240</v>
      </c>
      <c r="E1865" s="1">
        <f>IFERROR(__xludf.DUMMYFUNCTION("""COMPUTED_VALUE"""),3265.0)</f>
        <v>3265</v>
      </c>
      <c r="F1865" s="1">
        <f>IFERROR(__xludf.DUMMYFUNCTION("""COMPUTED_VALUE"""),220087.0)</f>
        <v>220087</v>
      </c>
    </row>
    <row r="1866">
      <c r="A1866" s="2">
        <f>IFERROR(__xludf.DUMMYFUNCTION("""COMPUTED_VALUE"""),44763.64583333333)</f>
        <v>44763.64583</v>
      </c>
      <c r="B1866" s="1">
        <f>IFERROR(__xludf.DUMMYFUNCTION("""COMPUTED_VALUE"""),3270.0)</f>
        <v>3270</v>
      </c>
      <c r="C1866" s="1">
        <f>IFERROR(__xludf.DUMMYFUNCTION("""COMPUTED_VALUE"""),3305.0)</f>
        <v>3305</v>
      </c>
      <c r="D1866" s="1">
        <f>IFERROR(__xludf.DUMMYFUNCTION("""COMPUTED_VALUE"""),3255.0)</f>
        <v>3255</v>
      </c>
      <c r="E1866" s="1">
        <f>IFERROR(__xludf.DUMMYFUNCTION("""COMPUTED_VALUE"""),3280.0)</f>
        <v>3280</v>
      </c>
      <c r="F1866" s="1">
        <f>IFERROR(__xludf.DUMMYFUNCTION("""COMPUTED_VALUE"""),218808.0)</f>
        <v>218808</v>
      </c>
    </row>
    <row r="1867">
      <c r="A1867" s="2">
        <f>IFERROR(__xludf.DUMMYFUNCTION("""COMPUTED_VALUE"""),44764.64583333333)</f>
        <v>44764.64583</v>
      </c>
      <c r="B1867" s="1">
        <f>IFERROR(__xludf.DUMMYFUNCTION("""COMPUTED_VALUE"""),3280.0)</f>
        <v>3280</v>
      </c>
      <c r="C1867" s="1">
        <f>IFERROR(__xludf.DUMMYFUNCTION("""COMPUTED_VALUE"""),3295.0)</f>
        <v>3295</v>
      </c>
      <c r="D1867" s="1">
        <f>IFERROR(__xludf.DUMMYFUNCTION("""COMPUTED_VALUE"""),3240.0)</f>
        <v>3240</v>
      </c>
      <c r="E1867" s="1">
        <f>IFERROR(__xludf.DUMMYFUNCTION("""COMPUTED_VALUE"""),3270.0)</f>
        <v>3270</v>
      </c>
      <c r="F1867" s="1">
        <f>IFERROR(__xludf.DUMMYFUNCTION("""COMPUTED_VALUE"""),167465.0)</f>
        <v>167465</v>
      </c>
    </row>
    <row r="1868">
      <c r="A1868" s="2">
        <f>IFERROR(__xludf.DUMMYFUNCTION("""COMPUTED_VALUE"""),44767.64583333333)</f>
        <v>44767.64583</v>
      </c>
      <c r="B1868" s="1">
        <f>IFERROR(__xludf.DUMMYFUNCTION("""COMPUTED_VALUE"""),3220.0)</f>
        <v>3220</v>
      </c>
      <c r="C1868" s="1">
        <f>IFERROR(__xludf.DUMMYFUNCTION("""COMPUTED_VALUE"""),3270.0)</f>
        <v>3270</v>
      </c>
      <c r="D1868" s="1">
        <f>IFERROR(__xludf.DUMMYFUNCTION("""COMPUTED_VALUE"""),3215.0)</f>
        <v>3215</v>
      </c>
      <c r="E1868" s="1">
        <f>IFERROR(__xludf.DUMMYFUNCTION("""COMPUTED_VALUE"""),3270.0)</f>
        <v>3270</v>
      </c>
      <c r="F1868" s="1">
        <f>IFERROR(__xludf.DUMMYFUNCTION("""COMPUTED_VALUE"""),162044.0)</f>
        <v>162044</v>
      </c>
    </row>
    <row r="1869">
      <c r="A1869" s="2">
        <f>IFERROR(__xludf.DUMMYFUNCTION("""COMPUTED_VALUE"""),44768.64583333333)</f>
        <v>44768.64583</v>
      </c>
      <c r="B1869" s="1">
        <f>IFERROR(__xludf.DUMMYFUNCTION("""COMPUTED_VALUE"""),3240.0)</f>
        <v>3240</v>
      </c>
      <c r="C1869" s="1">
        <f>IFERROR(__xludf.DUMMYFUNCTION("""COMPUTED_VALUE"""),3345.0)</f>
        <v>3345</v>
      </c>
      <c r="D1869" s="1">
        <f>IFERROR(__xludf.DUMMYFUNCTION("""COMPUTED_VALUE"""),3235.0)</f>
        <v>3235</v>
      </c>
      <c r="E1869" s="1">
        <f>IFERROR(__xludf.DUMMYFUNCTION("""COMPUTED_VALUE"""),3310.0)</f>
        <v>3310</v>
      </c>
      <c r="F1869" s="1">
        <f>IFERROR(__xludf.DUMMYFUNCTION("""COMPUTED_VALUE"""),357397.0)</f>
        <v>357397</v>
      </c>
    </row>
    <row r="1870">
      <c r="A1870" s="2">
        <f>IFERROR(__xludf.DUMMYFUNCTION("""COMPUTED_VALUE"""),44769.64583333333)</f>
        <v>44769.64583</v>
      </c>
      <c r="B1870" s="1">
        <f>IFERROR(__xludf.DUMMYFUNCTION("""COMPUTED_VALUE"""),3285.0)</f>
        <v>3285</v>
      </c>
      <c r="C1870" s="1">
        <f>IFERROR(__xludf.DUMMYFUNCTION("""COMPUTED_VALUE"""),3310.0)</f>
        <v>3310</v>
      </c>
      <c r="D1870" s="1">
        <f>IFERROR(__xludf.DUMMYFUNCTION("""COMPUTED_VALUE"""),3260.0)</f>
        <v>3260</v>
      </c>
      <c r="E1870" s="1">
        <f>IFERROR(__xludf.DUMMYFUNCTION("""COMPUTED_VALUE"""),3275.0)</f>
        <v>3275</v>
      </c>
      <c r="F1870" s="1">
        <f>IFERROR(__xludf.DUMMYFUNCTION("""COMPUTED_VALUE"""),127627.0)</f>
        <v>127627</v>
      </c>
    </row>
    <row r="1871">
      <c r="A1871" s="2">
        <f>IFERROR(__xludf.DUMMYFUNCTION("""COMPUTED_VALUE"""),44770.64583333333)</f>
        <v>44770.64583</v>
      </c>
      <c r="B1871" s="1">
        <f>IFERROR(__xludf.DUMMYFUNCTION("""COMPUTED_VALUE"""),3300.0)</f>
        <v>3300</v>
      </c>
      <c r="C1871" s="1">
        <f>IFERROR(__xludf.DUMMYFUNCTION("""COMPUTED_VALUE"""),3315.0)</f>
        <v>3315</v>
      </c>
      <c r="D1871" s="1">
        <f>IFERROR(__xludf.DUMMYFUNCTION("""COMPUTED_VALUE"""),3245.0)</f>
        <v>3245</v>
      </c>
      <c r="E1871" s="1">
        <f>IFERROR(__xludf.DUMMYFUNCTION("""COMPUTED_VALUE"""),3285.0)</f>
        <v>3285</v>
      </c>
      <c r="F1871" s="1">
        <f>IFERROR(__xludf.DUMMYFUNCTION("""COMPUTED_VALUE"""),150549.0)</f>
        <v>150549</v>
      </c>
    </row>
    <row r="1872">
      <c r="A1872" s="2">
        <f>IFERROR(__xludf.DUMMYFUNCTION("""COMPUTED_VALUE"""),44771.64583333333)</f>
        <v>44771.64583</v>
      </c>
      <c r="B1872" s="1">
        <f>IFERROR(__xludf.DUMMYFUNCTION("""COMPUTED_VALUE"""),3295.0)</f>
        <v>3295</v>
      </c>
      <c r="C1872" s="1">
        <f>IFERROR(__xludf.DUMMYFUNCTION("""COMPUTED_VALUE"""),3310.0)</f>
        <v>3310</v>
      </c>
      <c r="D1872" s="1">
        <f>IFERROR(__xludf.DUMMYFUNCTION("""COMPUTED_VALUE"""),3280.0)</f>
        <v>3280</v>
      </c>
      <c r="E1872" s="1">
        <f>IFERROR(__xludf.DUMMYFUNCTION("""COMPUTED_VALUE"""),3300.0)</f>
        <v>3300</v>
      </c>
      <c r="F1872" s="1">
        <f>IFERROR(__xludf.DUMMYFUNCTION("""COMPUTED_VALUE"""),133919.0)</f>
        <v>133919</v>
      </c>
    </row>
    <row r="1873">
      <c r="A1873" s="2">
        <f>IFERROR(__xludf.DUMMYFUNCTION("""COMPUTED_VALUE"""),44774.64583333333)</f>
        <v>44774.64583</v>
      </c>
      <c r="B1873" s="1">
        <f>IFERROR(__xludf.DUMMYFUNCTION("""COMPUTED_VALUE"""),3300.0)</f>
        <v>3300</v>
      </c>
      <c r="C1873" s="1">
        <f>IFERROR(__xludf.DUMMYFUNCTION("""COMPUTED_VALUE"""),3455.0)</f>
        <v>3455</v>
      </c>
      <c r="D1873" s="1">
        <f>IFERROR(__xludf.DUMMYFUNCTION("""COMPUTED_VALUE"""),3265.0)</f>
        <v>3265</v>
      </c>
      <c r="E1873" s="1">
        <f>IFERROR(__xludf.DUMMYFUNCTION("""COMPUTED_VALUE"""),3365.0)</f>
        <v>3365</v>
      </c>
      <c r="F1873" s="1">
        <f>IFERROR(__xludf.DUMMYFUNCTION("""COMPUTED_VALUE"""),737580.0)</f>
        <v>737580</v>
      </c>
    </row>
    <row r="1874">
      <c r="A1874" s="2">
        <f>IFERROR(__xludf.DUMMYFUNCTION("""COMPUTED_VALUE"""),44775.64583333333)</f>
        <v>44775.64583</v>
      </c>
      <c r="B1874" s="1">
        <f>IFERROR(__xludf.DUMMYFUNCTION("""COMPUTED_VALUE"""),3330.0)</f>
        <v>3330</v>
      </c>
      <c r="C1874" s="1">
        <f>IFERROR(__xludf.DUMMYFUNCTION("""COMPUTED_VALUE"""),3380.0)</f>
        <v>3380</v>
      </c>
      <c r="D1874" s="1">
        <f>IFERROR(__xludf.DUMMYFUNCTION("""COMPUTED_VALUE"""),3290.0)</f>
        <v>3290</v>
      </c>
      <c r="E1874" s="1">
        <f>IFERROR(__xludf.DUMMYFUNCTION("""COMPUTED_VALUE"""),3345.0)</f>
        <v>3345</v>
      </c>
      <c r="F1874" s="1">
        <f>IFERROR(__xludf.DUMMYFUNCTION("""COMPUTED_VALUE"""),269599.0)</f>
        <v>269599</v>
      </c>
    </row>
    <row r="1875">
      <c r="A1875" s="2">
        <f>IFERROR(__xludf.DUMMYFUNCTION("""COMPUTED_VALUE"""),44776.64583333333)</f>
        <v>44776.64583</v>
      </c>
      <c r="B1875" s="1">
        <f>IFERROR(__xludf.DUMMYFUNCTION("""COMPUTED_VALUE"""),3345.0)</f>
        <v>3345</v>
      </c>
      <c r="C1875" s="1">
        <f>IFERROR(__xludf.DUMMYFUNCTION("""COMPUTED_VALUE"""),3475.0)</f>
        <v>3475</v>
      </c>
      <c r="D1875" s="1">
        <f>IFERROR(__xludf.DUMMYFUNCTION("""COMPUTED_VALUE"""),3310.0)</f>
        <v>3310</v>
      </c>
      <c r="E1875" s="1">
        <f>IFERROR(__xludf.DUMMYFUNCTION("""COMPUTED_VALUE"""),3390.0)</f>
        <v>3390</v>
      </c>
      <c r="F1875" s="1">
        <f>IFERROR(__xludf.DUMMYFUNCTION("""COMPUTED_VALUE"""),721003.0)</f>
        <v>721003</v>
      </c>
    </row>
    <row r="1876">
      <c r="A1876" s="2">
        <f>IFERROR(__xludf.DUMMYFUNCTION("""COMPUTED_VALUE"""),44777.64583333333)</f>
        <v>44777.64583</v>
      </c>
      <c r="B1876" s="1">
        <f>IFERROR(__xludf.DUMMYFUNCTION("""COMPUTED_VALUE"""),3400.0)</f>
        <v>3400</v>
      </c>
      <c r="C1876" s="1">
        <f>IFERROR(__xludf.DUMMYFUNCTION("""COMPUTED_VALUE"""),3425.0)</f>
        <v>3425</v>
      </c>
      <c r="D1876" s="1">
        <f>IFERROR(__xludf.DUMMYFUNCTION("""COMPUTED_VALUE"""),3370.0)</f>
        <v>3370</v>
      </c>
      <c r="E1876" s="1">
        <f>IFERROR(__xludf.DUMMYFUNCTION("""COMPUTED_VALUE"""),3405.0)</f>
        <v>3405</v>
      </c>
      <c r="F1876" s="1">
        <f>IFERROR(__xludf.DUMMYFUNCTION("""COMPUTED_VALUE"""),237287.0)</f>
        <v>237287</v>
      </c>
    </row>
    <row r="1877">
      <c r="A1877" s="2">
        <f>IFERROR(__xludf.DUMMYFUNCTION("""COMPUTED_VALUE"""),44778.64583333333)</f>
        <v>44778.64583</v>
      </c>
      <c r="B1877" s="1">
        <f>IFERROR(__xludf.DUMMYFUNCTION("""COMPUTED_VALUE"""),3405.0)</f>
        <v>3405</v>
      </c>
      <c r="C1877" s="1">
        <f>IFERROR(__xludf.DUMMYFUNCTION("""COMPUTED_VALUE"""),3410.0)</f>
        <v>3410</v>
      </c>
      <c r="D1877" s="1">
        <f>IFERROR(__xludf.DUMMYFUNCTION("""COMPUTED_VALUE"""),3380.0)</f>
        <v>3380</v>
      </c>
      <c r="E1877" s="1">
        <f>IFERROR(__xludf.DUMMYFUNCTION("""COMPUTED_VALUE"""),3390.0)</f>
        <v>3390</v>
      </c>
      <c r="F1877" s="1">
        <f>IFERROR(__xludf.DUMMYFUNCTION("""COMPUTED_VALUE"""),153009.0)</f>
        <v>153009</v>
      </c>
    </row>
    <row r="1878">
      <c r="A1878" s="2">
        <f>IFERROR(__xludf.DUMMYFUNCTION("""COMPUTED_VALUE"""),44781.64583333333)</f>
        <v>44781.64583</v>
      </c>
      <c r="B1878" s="1">
        <f>IFERROR(__xludf.DUMMYFUNCTION("""COMPUTED_VALUE"""),3390.0)</f>
        <v>3390</v>
      </c>
      <c r="C1878" s="1">
        <f>IFERROR(__xludf.DUMMYFUNCTION("""COMPUTED_VALUE"""),3400.0)</f>
        <v>3400</v>
      </c>
      <c r="D1878" s="1">
        <f>IFERROR(__xludf.DUMMYFUNCTION("""COMPUTED_VALUE"""),3330.0)</f>
        <v>3330</v>
      </c>
      <c r="E1878" s="1">
        <f>IFERROR(__xludf.DUMMYFUNCTION("""COMPUTED_VALUE"""),3400.0)</f>
        <v>3400</v>
      </c>
      <c r="F1878" s="1">
        <f>IFERROR(__xludf.DUMMYFUNCTION("""COMPUTED_VALUE"""),218976.0)</f>
        <v>218976</v>
      </c>
    </row>
    <row r="1879">
      <c r="A1879" s="2">
        <f>IFERROR(__xludf.DUMMYFUNCTION("""COMPUTED_VALUE"""),44782.64583333333)</f>
        <v>44782.64583</v>
      </c>
      <c r="B1879" s="1">
        <f>IFERROR(__xludf.DUMMYFUNCTION("""COMPUTED_VALUE"""),3395.0)</f>
        <v>3395</v>
      </c>
      <c r="C1879" s="1">
        <f>IFERROR(__xludf.DUMMYFUNCTION("""COMPUTED_VALUE"""),3445.0)</f>
        <v>3445</v>
      </c>
      <c r="D1879" s="1">
        <f>IFERROR(__xludf.DUMMYFUNCTION("""COMPUTED_VALUE"""),3355.0)</f>
        <v>3355</v>
      </c>
      <c r="E1879" s="1">
        <f>IFERROR(__xludf.DUMMYFUNCTION("""COMPUTED_VALUE"""),3430.0)</f>
        <v>3430</v>
      </c>
      <c r="F1879" s="1">
        <f>IFERROR(__xludf.DUMMYFUNCTION("""COMPUTED_VALUE"""),300405.0)</f>
        <v>300405</v>
      </c>
    </row>
    <row r="1880">
      <c r="A1880" s="2">
        <f>IFERROR(__xludf.DUMMYFUNCTION("""COMPUTED_VALUE"""),44783.64583333333)</f>
        <v>44783.64583</v>
      </c>
      <c r="B1880" s="1">
        <f>IFERROR(__xludf.DUMMYFUNCTION("""COMPUTED_VALUE"""),3420.0)</f>
        <v>3420</v>
      </c>
      <c r="C1880" s="1">
        <f>IFERROR(__xludf.DUMMYFUNCTION("""COMPUTED_VALUE"""),3420.0)</f>
        <v>3420</v>
      </c>
      <c r="D1880" s="1">
        <f>IFERROR(__xludf.DUMMYFUNCTION("""COMPUTED_VALUE"""),3335.0)</f>
        <v>3335</v>
      </c>
      <c r="E1880" s="1">
        <f>IFERROR(__xludf.DUMMYFUNCTION("""COMPUTED_VALUE"""),3375.0)</f>
        <v>3375</v>
      </c>
      <c r="F1880" s="1">
        <f>IFERROR(__xludf.DUMMYFUNCTION("""COMPUTED_VALUE"""),361539.0)</f>
        <v>361539</v>
      </c>
    </row>
    <row r="1881">
      <c r="A1881" s="2">
        <f>IFERROR(__xludf.DUMMYFUNCTION("""COMPUTED_VALUE"""),44784.64583333333)</f>
        <v>44784.64583</v>
      </c>
      <c r="B1881" s="1">
        <f>IFERROR(__xludf.DUMMYFUNCTION("""COMPUTED_VALUE"""),3400.0)</f>
        <v>3400</v>
      </c>
      <c r="C1881" s="1">
        <f>IFERROR(__xludf.DUMMYFUNCTION("""COMPUTED_VALUE"""),3405.0)</f>
        <v>3405</v>
      </c>
      <c r="D1881" s="1">
        <f>IFERROR(__xludf.DUMMYFUNCTION("""COMPUTED_VALUE"""),3350.0)</f>
        <v>3350</v>
      </c>
      <c r="E1881" s="1">
        <f>IFERROR(__xludf.DUMMYFUNCTION("""COMPUTED_VALUE"""),3405.0)</f>
        <v>3405</v>
      </c>
      <c r="F1881" s="1">
        <f>IFERROR(__xludf.DUMMYFUNCTION("""COMPUTED_VALUE"""),194425.0)</f>
        <v>194425</v>
      </c>
    </row>
    <row r="1882">
      <c r="A1882" s="2">
        <f>IFERROR(__xludf.DUMMYFUNCTION("""COMPUTED_VALUE"""),44785.64583333333)</f>
        <v>44785.64583</v>
      </c>
      <c r="B1882" s="1">
        <f>IFERROR(__xludf.DUMMYFUNCTION("""COMPUTED_VALUE"""),3400.0)</f>
        <v>3400</v>
      </c>
      <c r="C1882" s="1">
        <f>IFERROR(__xludf.DUMMYFUNCTION("""COMPUTED_VALUE"""),3430.0)</f>
        <v>3430</v>
      </c>
      <c r="D1882" s="1">
        <f>IFERROR(__xludf.DUMMYFUNCTION("""COMPUTED_VALUE"""),3380.0)</f>
        <v>3380</v>
      </c>
      <c r="E1882" s="1">
        <f>IFERROR(__xludf.DUMMYFUNCTION("""COMPUTED_VALUE"""),3420.0)</f>
        <v>3420</v>
      </c>
      <c r="F1882" s="1">
        <f>IFERROR(__xludf.DUMMYFUNCTION("""COMPUTED_VALUE"""),172757.0)</f>
        <v>172757</v>
      </c>
    </row>
    <row r="1883">
      <c r="A1883" s="2">
        <f>IFERROR(__xludf.DUMMYFUNCTION("""COMPUTED_VALUE"""),44789.64583333333)</f>
        <v>44789.64583</v>
      </c>
      <c r="B1883" s="1">
        <f>IFERROR(__xludf.DUMMYFUNCTION("""COMPUTED_VALUE"""),3450.0)</f>
        <v>3450</v>
      </c>
      <c r="C1883" s="1">
        <f>IFERROR(__xludf.DUMMYFUNCTION("""COMPUTED_VALUE"""),3450.0)</f>
        <v>3450</v>
      </c>
      <c r="D1883" s="1">
        <f>IFERROR(__xludf.DUMMYFUNCTION("""COMPUTED_VALUE"""),3380.0)</f>
        <v>3380</v>
      </c>
      <c r="E1883" s="1">
        <f>IFERROR(__xludf.DUMMYFUNCTION("""COMPUTED_VALUE"""),3435.0)</f>
        <v>3435</v>
      </c>
      <c r="F1883" s="1">
        <f>IFERROR(__xludf.DUMMYFUNCTION("""COMPUTED_VALUE"""),170965.0)</f>
        <v>170965</v>
      </c>
    </row>
    <row r="1884">
      <c r="A1884" s="2">
        <f>IFERROR(__xludf.DUMMYFUNCTION("""COMPUTED_VALUE"""),44790.64583333333)</f>
        <v>44790.64583</v>
      </c>
      <c r="B1884" s="1">
        <f>IFERROR(__xludf.DUMMYFUNCTION("""COMPUTED_VALUE"""),3390.0)</f>
        <v>3390</v>
      </c>
      <c r="C1884" s="1">
        <f>IFERROR(__xludf.DUMMYFUNCTION("""COMPUTED_VALUE"""),3430.0)</f>
        <v>3430</v>
      </c>
      <c r="D1884" s="1">
        <f>IFERROR(__xludf.DUMMYFUNCTION("""COMPUTED_VALUE"""),3365.0)</f>
        <v>3365</v>
      </c>
      <c r="E1884" s="1">
        <f>IFERROR(__xludf.DUMMYFUNCTION("""COMPUTED_VALUE"""),3400.0)</f>
        <v>3400</v>
      </c>
      <c r="F1884" s="1">
        <f>IFERROR(__xludf.DUMMYFUNCTION("""COMPUTED_VALUE"""),227751.0)</f>
        <v>227751</v>
      </c>
    </row>
    <row r="1885">
      <c r="A1885" s="2">
        <f>IFERROR(__xludf.DUMMYFUNCTION("""COMPUTED_VALUE"""),44791.64583333333)</f>
        <v>44791.64583</v>
      </c>
      <c r="B1885" s="1">
        <f>IFERROR(__xludf.DUMMYFUNCTION("""COMPUTED_VALUE"""),3350.0)</f>
        <v>3350</v>
      </c>
      <c r="C1885" s="1">
        <f>IFERROR(__xludf.DUMMYFUNCTION("""COMPUTED_VALUE"""),3400.0)</f>
        <v>3400</v>
      </c>
      <c r="D1885" s="1">
        <f>IFERROR(__xludf.DUMMYFUNCTION("""COMPUTED_VALUE"""),3305.0)</f>
        <v>3305</v>
      </c>
      <c r="E1885" s="1">
        <f>IFERROR(__xludf.DUMMYFUNCTION("""COMPUTED_VALUE"""),3400.0)</f>
        <v>3400</v>
      </c>
      <c r="F1885" s="1">
        <f>IFERROR(__xludf.DUMMYFUNCTION("""COMPUTED_VALUE"""),282490.0)</f>
        <v>282490</v>
      </c>
    </row>
    <row r="1886">
      <c r="A1886" s="2">
        <f>IFERROR(__xludf.DUMMYFUNCTION("""COMPUTED_VALUE"""),44792.64583333333)</f>
        <v>44792.64583</v>
      </c>
      <c r="B1886" s="1">
        <f>IFERROR(__xludf.DUMMYFUNCTION("""COMPUTED_VALUE"""),3365.0)</f>
        <v>3365</v>
      </c>
      <c r="C1886" s="1">
        <f>IFERROR(__xludf.DUMMYFUNCTION("""COMPUTED_VALUE"""),3415.0)</f>
        <v>3415</v>
      </c>
      <c r="D1886" s="1">
        <f>IFERROR(__xludf.DUMMYFUNCTION("""COMPUTED_VALUE"""),3360.0)</f>
        <v>3360</v>
      </c>
      <c r="E1886" s="1">
        <f>IFERROR(__xludf.DUMMYFUNCTION("""COMPUTED_VALUE"""),3380.0)</f>
        <v>3380</v>
      </c>
      <c r="F1886" s="1">
        <f>IFERROR(__xludf.DUMMYFUNCTION("""COMPUTED_VALUE"""),159143.0)</f>
        <v>159143</v>
      </c>
    </row>
    <row r="1887">
      <c r="A1887" s="2">
        <f>IFERROR(__xludf.DUMMYFUNCTION("""COMPUTED_VALUE"""),44795.64583333333)</f>
        <v>44795.64583</v>
      </c>
      <c r="B1887" s="1">
        <f>IFERROR(__xludf.DUMMYFUNCTION("""COMPUTED_VALUE"""),3365.0)</f>
        <v>3365</v>
      </c>
      <c r="C1887" s="1">
        <f>IFERROR(__xludf.DUMMYFUNCTION("""COMPUTED_VALUE"""),3365.0)</f>
        <v>3365</v>
      </c>
      <c r="D1887" s="1">
        <f>IFERROR(__xludf.DUMMYFUNCTION("""COMPUTED_VALUE"""),3250.0)</f>
        <v>3250</v>
      </c>
      <c r="E1887" s="1">
        <f>IFERROR(__xludf.DUMMYFUNCTION("""COMPUTED_VALUE"""),3250.0)</f>
        <v>3250</v>
      </c>
      <c r="F1887" s="1">
        <f>IFERROR(__xludf.DUMMYFUNCTION("""COMPUTED_VALUE"""),184116.0)</f>
        <v>184116</v>
      </c>
    </row>
    <row r="1888">
      <c r="A1888" s="2">
        <f>IFERROR(__xludf.DUMMYFUNCTION("""COMPUTED_VALUE"""),44796.64583333333)</f>
        <v>44796.64583</v>
      </c>
      <c r="B1888" s="1">
        <f>IFERROR(__xludf.DUMMYFUNCTION("""COMPUTED_VALUE"""),3200.0)</f>
        <v>3200</v>
      </c>
      <c r="C1888" s="1">
        <f>IFERROR(__xludf.DUMMYFUNCTION("""COMPUTED_VALUE"""),3225.0)</f>
        <v>3225</v>
      </c>
      <c r="D1888" s="1">
        <f>IFERROR(__xludf.DUMMYFUNCTION("""COMPUTED_VALUE"""),3090.0)</f>
        <v>3090</v>
      </c>
      <c r="E1888" s="1">
        <f>IFERROR(__xludf.DUMMYFUNCTION("""COMPUTED_VALUE"""),3125.0)</f>
        <v>3125</v>
      </c>
      <c r="F1888" s="1">
        <f>IFERROR(__xludf.DUMMYFUNCTION("""COMPUTED_VALUE"""),301200.0)</f>
        <v>301200</v>
      </c>
    </row>
    <row r="1889">
      <c r="A1889" s="2">
        <f>IFERROR(__xludf.DUMMYFUNCTION("""COMPUTED_VALUE"""),44797.64583333333)</f>
        <v>44797.64583</v>
      </c>
      <c r="B1889" s="1">
        <f>IFERROR(__xludf.DUMMYFUNCTION("""COMPUTED_VALUE"""),3130.0)</f>
        <v>3130</v>
      </c>
      <c r="C1889" s="1">
        <f>IFERROR(__xludf.DUMMYFUNCTION("""COMPUTED_VALUE"""),3170.0)</f>
        <v>3170</v>
      </c>
      <c r="D1889" s="1">
        <f>IFERROR(__xludf.DUMMYFUNCTION("""COMPUTED_VALUE"""),3075.0)</f>
        <v>3075</v>
      </c>
      <c r="E1889" s="1">
        <f>IFERROR(__xludf.DUMMYFUNCTION("""COMPUTED_VALUE"""),3115.0)</f>
        <v>3115</v>
      </c>
      <c r="F1889" s="1">
        <f>IFERROR(__xludf.DUMMYFUNCTION("""COMPUTED_VALUE"""),153552.0)</f>
        <v>153552</v>
      </c>
    </row>
    <row r="1890">
      <c r="A1890" s="2">
        <f>IFERROR(__xludf.DUMMYFUNCTION("""COMPUTED_VALUE"""),44798.64583333333)</f>
        <v>44798.64583</v>
      </c>
      <c r="B1890" s="1">
        <f>IFERROR(__xludf.DUMMYFUNCTION("""COMPUTED_VALUE"""),3120.0)</f>
        <v>3120</v>
      </c>
      <c r="C1890" s="1">
        <f>IFERROR(__xludf.DUMMYFUNCTION("""COMPUTED_VALUE"""),3235.0)</f>
        <v>3235</v>
      </c>
      <c r="D1890" s="1">
        <f>IFERROR(__xludf.DUMMYFUNCTION("""COMPUTED_VALUE"""),3120.0)</f>
        <v>3120</v>
      </c>
      <c r="E1890" s="1">
        <f>IFERROR(__xludf.DUMMYFUNCTION("""COMPUTED_VALUE"""),3230.0)</f>
        <v>3230</v>
      </c>
      <c r="F1890" s="1">
        <f>IFERROR(__xludf.DUMMYFUNCTION("""COMPUTED_VALUE"""),188189.0)</f>
        <v>188189</v>
      </c>
    </row>
    <row r="1891">
      <c r="A1891" s="2">
        <f>IFERROR(__xludf.DUMMYFUNCTION("""COMPUTED_VALUE"""),44799.64583333333)</f>
        <v>44799.64583</v>
      </c>
      <c r="B1891" s="1">
        <f>IFERROR(__xludf.DUMMYFUNCTION("""COMPUTED_VALUE"""),3245.0)</f>
        <v>3245</v>
      </c>
      <c r="C1891" s="1">
        <f>IFERROR(__xludf.DUMMYFUNCTION("""COMPUTED_VALUE"""),3265.0)</f>
        <v>3265</v>
      </c>
      <c r="D1891" s="1">
        <f>IFERROR(__xludf.DUMMYFUNCTION("""COMPUTED_VALUE"""),3185.0)</f>
        <v>3185</v>
      </c>
      <c r="E1891" s="1">
        <f>IFERROR(__xludf.DUMMYFUNCTION("""COMPUTED_VALUE"""),3230.0)</f>
        <v>3230</v>
      </c>
      <c r="F1891" s="1">
        <f>IFERROR(__xludf.DUMMYFUNCTION("""COMPUTED_VALUE"""),131267.0)</f>
        <v>131267</v>
      </c>
    </row>
    <row r="1892">
      <c r="A1892" s="2">
        <f>IFERROR(__xludf.DUMMYFUNCTION("""COMPUTED_VALUE"""),44802.64583333333)</f>
        <v>44802.64583</v>
      </c>
      <c r="B1892" s="1">
        <f>IFERROR(__xludf.DUMMYFUNCTION("""COMPUTED_VALUE"""),3065.0)</f>
        <v>3065</v>
      </c>
      <c r="C1892" s="1">
        <f>IFERROR(__xludf.DUMMYFUNCTION("""COMPUTED_VALUE"""),3190.0)</f>
        <v>3190</v>
      </c>
      <c r="D1892" s="1">
        <f>IFERROR(__xludf.DUMMYFUNCTION("""COMPUTED_VALUE"""),3060.0)</f>
        <v>3060</v>
      </c>
      <c r="E1892" s="1">
        <f>IFERROR(__xludf.DUMMYFUNCTION("""COMPUTED_VALUE"""),3140.0)</f>
        <v>3140</v>
      </c>
      <c r="F1892" s="1">
        <f>IFERROR(__xludf.DUMMYFUNCTION("""COMPUTED_VALUE"""),215746.0)</f>
        <v>215746</v>
      </c>
    </row>
    <row r="1893">
      <c r="A1893" s="2">
        <f>IFERROR(__xludf.DUMMYFUNCTION("""COMPUTED_VALUE"""),44803.64583333333)</f>
        <v>44803.64583</v>
      </c>
      <c r="B1893" s="1">
        <f>IFERROR(__xludf.DUMMYFUNCTION("""COMPUTED_VALUE"""),3110.0)</f>
        <v>3110</v>
      </c>
      <c r="C1893" s="1">
        <f>IFERROR(__xludf.DUMMYFUNCTION("""COMPUTED_VALUE"""),3145.0)</f>
        <v>3145</v>
      </c>
      <c r="D1893" s="1">
        <f>IFERROR(__xludf.DUMMYFUNCTION("""COMPUTED_VALUE"""),3105.0)</f>
        <v>3105</v>
      </c>
      <c r="E1893" s="1">
        <f>IFERROR(__xludf.DUMMYFUNCTION("""COMPUTED_VALUE"""),3140.0)</f>
        <v>3140</v>
      </c>
      <c r="F1893" s="1">
        <f>IFERROR(__xludf.DUMMYFUNCTION("""COMPUTED_VALUE"""),121258.0)</f>
        <v>121258</v>
      </c>
    </row>
    <row r="1894">
      <c r="A1894" s="2">
        <f>IFERROR(__xludf.DUMMYFUNCTION("""COMPUTED_VALUE"""),44804.64583333333)</f>
        <v>44804.64583</v>
      </c>
      <c r="B1894" s="1">
        <f>IFERROR(__xludf.DUMMYFUNCTION("""COMPUTED_VALUE"""),3155.0)</f>
        <v>3155</v>
      </c>
      <c r="C1894" s="1">
        <f>IFERROR(__xludf.DUMMYFUNCTION("""COMPUTED_VALUE"""),3240.0)</f>
        <v>3240</v>
      </c>
      <c r="D1894" s="1">
        <f>IFERROR(__xludf.DUMMYFUNCTION("""COMPUTED_VALUE"""),3120.0)</f>
        <v>3120</v>
      </c>
      <c r="E1894" s="1">
        <f>IFERROR(__xludf.DUMMYFUNCTION("""COMPUTED_VALUE"""),3185.0)</f>
        <v>3185</v>
      </c>
      <c r="F1894" s="1">
        <f>IFERROR(__xludf.DUMMYFUNCTION("""COMPUTED_VALUE"""),132108.0)</f>
        <v>132108</v>
      </c>
    </row>
    <row r="1895">
      <c r="A1895" s="2">
        <f>IFERROR(__xludf.DUMMYFUNCTION("""COMPUTED_VALUE"""),44805.64583333333)</f>
        <v>44805.64583</v>
      </c>
      <c r="B1895" s="1">
        <f>IFERROR(__xludf.DUMMYFUNCTION("""COMPUTED_VALUE"""),3150.0)</f>
        <v>3150</v>
      </c>
      <c r="C1895" s="1">
        <f>IFERROR(__xludf.DUMMYFUNCTION("""COMPUTED_VALUE"""),3200.0)</f>
        <v>3200</v>
      </c>
      <c r="D1895" s="1">
        <f>IFERROR(__xludf.DUMMYFUNCTION("""COMPUTED_VALUE"""),3050.0)</f>
        <v>3050</v>
      </c>
      <c r="E1895" s="1">
        <f>IFERROR(__xludf.DUMMYFUNCTION("""COMPUTED_VALUE"""),3090.0)</f>
        <v>3090</v>
      </c>
      <c r="F1895" s="1">
        <f>IFERROR(__xludf.DUMMYFUNCTION("""COMPUTED_VALUE"""),132942.0)</f>
        <v>132942</v>
      </c>
    </row>
    <row r="1896">
      <c r="A1896" s="2">
        <f>IFERROR(__xludf.DUMMYFUNCTION("""COMPUTED_VALUE"""),44806.64583333333)</f>
        <v>44806.64583</v>
      </c>
      <c r="B1896" s="1">
        <f>IFERROR(__xludf.DUMMYFUNCTION("""COMPUTED_VALUE"""),3100.0)</f>
        <v>3100</v>
      </c>
      <c r="C1896" s="1">
        <f>IFERROR(__xludf.DUMMYFUNCTION("""COMPUTED_VALUE"""),3135.0)</f>
        <v>3135</v>
      </c>
      <c r="D1896" s="1">
        <f>IFERROR(__xludf.DUMMYFUNCTION("""COMPUTED_VALUE"""),3085.0)</f>
        <v>3085</v>
      </c>
      <c r="E1896" s="1">
        <f>IFERROR(__xludf.DUMMYFUNCTION("""COMPUTED_VALUE"""),3090.0)</f>
        <v>3090</v>
      </c>
      <c r="F1896" s="1">
        <f>IFERROR(__xludf.DUMMYFUNCTION("""COMPUTED_VALUE"""),89786.0)</f>
        <v>89786</v>
      </c>
    </row>
    <row r="1897">
      <c r="A1897" s="2">
        <f>IFERROR(__xludf.DUMMYFUNCTION("""COMPUTED_VALUE"""),44809.64583333333)</f>
        <v>44809.64583</v>
      </c>
      <c r="B1897" s="1">
        <f>IFERROR(__xludf.DUMMYFUNCTION("""COMPUTED_VALUE"""),3050.0)</f>
        <v>3050</v>
      </c>
      <c r="C1897" s="1">
        <f>IFERROR(__xludf.DUMMYFUNCTION("""COMPUTED_VALUE"""),3095.0)</f>
        <v>3095</v>
      </c>
      <c r="D1897" s="1">
        <f>IFERROR(__xludf.DUMMYFUNCTION("""COMPUTED_VALUE"""),3040.0)</f>
        <v>3040</v>
      </c>
      <c r="E1897" s="1">
        <f>IFERROR(__xludf.DUMMYFUNCTION("""COMPUTED_VALUE"""),3065.0)</f>
        <v>3065</v>
      </c>
      <c r="F1897" s="1">
        <f>IFERROR(__xludf.DUMMYFUNCTION("""COMPUTED_VALUE"""),112087.0)</f>
        <v>112087</v>
      </c>
    </row>
    <row r="1898">
      <c r="A1898" s="2">
        <f>IFERROR(__xludf.DUMMYFUNCTION("""COMPUTED_VALUE"""),44810.64583333333)</f>
        <v>44810.64583</v>
      </c>
      <c r="B1898" s="1">
        <f>IFERROR(__xludf.DUMMYFUNCTION("""COMPUTED_VALUE"""),3065.0)</f>
        <v>3065</v>
      </c>
      <c r="C1898" s="1">
        <f>IFERROR(__xludf.DUMMYFUNCTION("""COMPUTED_VALUE"""),3110.0)</f>
        <v>3110</v>
      </c>
      <c r="D1898" s="1">
        <f>IFERROR(__xludf.DUMMYFUNCTION("""COMPUTED_VALUE"""),3060.0)</f>
        <v>3060</v>
      </c>
      <c r="E1898" s="1">
        <f>IFERROR(__xludf.DUMMYFUNCTION("""COMPUTED_VALUE"""),3090.0)</f>
        <v>3090</v>
      </c>
      <c r="F1898" s="1">
        <f>IFERROR(__xludf.DUMMYFUNCTION("""COMPUTED_VALUE"""),81143.0)</f>
        <v>81143</v>
      </c>
    </row>
    <row r="1899">
      <c r="A1899" s="2">
        <f>IFERROR(__xludf.DUMMYFUNCTION("""COMPUTED_VALUE"""),44811.64583333333)</f>
        <v>44811.64583</v>
      </c>
      <c r="B1899" s="1">
        <f>IFERROR(__xludf.DUMMYFUNCTION("""COMPUTED_VALUE"""),3065.0)</f>
        <v>3065</v>
      </c>
      <c r="C1899" s="1">
        <f>IFERROR(__xludf.DUMMYFUNCTION("""COMPUTED_VALUE"""),3095.0)</f>
        <v>3095</v>
      </c>
      <c r="D1899" s="1">
        <f>IFERROR(__xludf.DUMMYFUNCTION("""COMPUTED_VALUE"""),3030.0)</f>
        <v>3030</v>
      </c>
      <c r="E1899" s="1">
        <f>IFERROR(__xludf.DUMMYFUNCTION("""COMPUTED_VALUE"""),3070.0)</f>
        <v>3070</v>
      </c>
      <c r="F1899" s="1">
        <f>IFERROR(__xludf.DUMMYFUNCTION("""COMPUTED_VALUE"""),137953.0)</f>
        <v>137953</v>
      </c>
    </row>
    <row r="1900">
      <c r="A1900" s="2">
        <f>IFERROR(__xludf.DUMMYFUNCTION("""COMPUTED_VALUE"""),44812.64583333333)</f>
        <v>44812.64583</v>
      </c>
      <c r="B1900" s="1">
        <f>IFERROR(__xludf.DUMMYFUNCTION("""COMPUTED_VALUE"""),3070.0)</f>
        <v>3070</v>
      </c>
      <c r="C1900" s="1">
        <f>IFERROR(__xludf.DUMMYFUNCTION("""COMPUTED_VALUE"""),3110.0)</f>
        <v>3110</v>
      </c>
      <c r="D1900" s="1">
        <f>IFERROR(__xludf.DUMMYFUNCTION("""COMPUTED_VALUE"""),3065.0)</f>
        <v>3065</v>
      </c>
      <c r="E1900" s="1">
        <f>IFERROR(__xludf.DUMMYFUNCTION("""COMPUTED_VALUE"""),3090.0)</f>
        <v>3090</v>
      </c>
      <c r="F1900" s="1">
        <f>IFERROR(__xludf.DUMMYFUNCTION("""COMPUTED_VALUE"""),97521.0)</f>
        <v>97521</v>
      </c>
    </row>
    <row r="1901">
      <c r="A1901" s="2">
        <f>IFERROR(__xludf.DUMMYFUNCTION("""COMPUTED_VALUE"""),44817.64583333333)</f>
        <v>44817.64583</v>
      </c>
      <c r="B1901" s="1">
        <f>IFERROR(__xludf.DUMMYFUNCTION("""COMPUTED_VALUE"""),3100.0)</f>
        <v>3100</v>
      </c>
      <c r="C1901" s="1">
        <f>IFERROR(__xludf.DUMMYFUNCTION("""COMPUTED_VALUE"""),3175.0)</f>
        <v>3175</v>
      </c>
      <c r="D1901" s="1">
        <f>IFERROR(__xludf.DUMMYFUNCTION("""COMPUTED_VALUE"""),3095.0)</f>
        <v>3095</v>
      </c>
      <c r="E1901" s="1">
        <f>IFERROR(__xludf.DUMMYFUNCTION("""COMPUTED_VALUE"""),3145.0)</f>
        <v>3145</v>
      </c>
      <c r="F1901" s="1">
        <f>IFERROR(__xludf.DUMMYFUNCTION("""COMPUTED_VALUE"""),151632.0)</f>
        <v>151632</v>
      </c>
    </row>
    <row r="1902">
      <c r="A1902" s="2">
        <f>IFERROR(__xludf.DUMMYFUNCTION("""COMPUTED_VALUE"""),44818.64583333333)</f>
        <v>44818.64583</v>
      </c>
      <c r="B1902" s="1">
        <f>IFERROR(__xludf.DUMMYFUNCTION("""COMPUTED_VALUE"""),3015.0)</f>
        <v>3015</v>
      </c>
      <c r="C1902" s="1">
        <f>IFERROR(__xludf.DUMMYFUNCTION("""COMPUTED_VALUE"""),3090.0)</f>
        <v>3090</v>
      </c>
      <c r="D1902" s="1">
        <f>IFERROR(__xludf.DUMMYFUNCTION("""COMPUTED_VALUE"""),3015.0)</f>
        <v>3015</v>
      </c>
      <c r="E1902" s="1">
        <f>IFERROR(__xludf.DUMMYFUNCTION("""COMPUTED_VALUE"""),3065.0)</f>
        <v>3065</v>
      </c>
      <c r="F1902" s="1">
        <f>IFERROR(__xludf.DUMMYFUNCTION("""COMPUTED_VALUE"""),147655.0)</f>
        <v>147655</v>
      </c>
    </row>
    <row r="1903">
      <c r="A1903" s="2">
        <f>IFERROR(__xludf.DUMMYFUNCTION("""COMPUTED_VALUE"""),44819.64583333333)</f>
        <v>44819.64583</v>
      </c>
      <c r="B1903" s="1">
        <f>IFERROR(__xludf.DUMMYFUNCTION("""COMPUTED_VALUE"""),3090.0)</f>
        <v>3090</v>
      </c>
      <c r="C1903" s="1">
        <f>IFERROR(__xludf.DUMMYFUNCTION("""COMPUTED_VALUE"""),3125.0)</f>
        <v>3125</v>
      </c>
      <c r="D1903" s="1">
        <f>IFERROR(__xludf.DUMMYFUNCTION("""COMPUTED_VALUE"""),3045.0)</f>
        <v>3045</v>
      </c>
      <c r="E1903" s="1">
        <f>IFERROR(__xludf.DUMMYFUNCTION("""COMPUTED_VALUE"""),3065.0)</f>
        <v>3065</v>
      </c>
      <c r="F1903" s="1">
        <f>IFERROR(__xludf.DUMMYFUNCTION("""COMPUTED_VALUE"""),142304.0)</f>
        <v>142304</v>
      </c>
    </row>
    <row r="1904">
      <c r="A1904" s="2">
        <f>IFERROR(__xludf.DUMMYFUNCTION("""COMPUTED_VALUE"""),44820.64583333333)</f>
        <v>44820.64583</v>
      </c>
      <c r="B1904" s="1">
        <f>IFERROR(__xludf.DUMMYFUNCTION("""COMPUTED_VALUE"""),3065.0)</f>
        <v>3065</v>
      </c>
      <c r="C1904" s="1">
        <f>IFERROR(__xludf.DUMMYFUNCTION("""COMPUTED_VALUE"""),3090.0)</f>
        <v>3090</v>
      </c>
      <c r="D1904" s="1">
        <f>IFERROR(__xludf.DUMMYFUNCTION("""COMPUTED_VALUE"""),3030.0)</f>
        <v>3030</v>
      </c>
      <c r="E1904" s="1">
        <f>IFERROR(__xludf.DUMMYFUNCTION("""COMPUTED_VALUE"""),3045.0)</f>
        <v>3045</v>
      </c>
      <c r="F1904" s="1">
        <f>IFERROR(__xludf.DUMMYFUNCTION("""COMPUTED_VALUE"""),75823.0)</f>
        <v>75823</v>
      </c>
    </row>
    <row r="1905">
      <c r="A1905" s="2">
        <f>IFERROR(__xludf.DUMMYFUNCTION("""COMPUTED_VALUE"""),44823.64583333333)</f>
        <v>44823.64583</v>
      </c>
      <c r="B1905" s="1">
        <f>IFERROR(__xludf.DUMMYFUNCTION("""COMPUTED_VALUE"""),3030.0)</f>
        <v>3030</v>
      </c>
      <c r="C1905" s="1">
        <f>IFERROR(__xludf.DUMMYFUNCTION("""COMPUTED_VALUE"""),3050.0)</f>
        <v>3050</v>
      </c>
      <c r="D1905" s="1">
        <f>IFERROR(__xludf.DUMMYFUNCTION("""COMPUTED_VALUE"""),2915.0)</f>
        <v>2915</v>
      </c>
      <c r="E1905" s="1">
        <f>IFERROR(__xludf.DUMMYFUNCTION("""COMPUTED_VALUE"""),2915.0)</f>
        <v>2915</v>
      </c>
      <c r="F1905" s="1">
        <f>IFERROR(__xludf.DUMMYFUNCTION("""COMPUTED_VALUE"""),136082.0)</f>
        <v>136082</v>
      </c>
    </row>
    <row r="1906">
      <c r="A1906" s="2">
        <f>IFERROR(__xludf.DUMMYFUNCTION("""COMPUTED_VALUE"""),44824.64583333333)</f>
        <v>44824.64583</v>
      </c>
      <c r="B1906" s="1">
        <f>IFERROR(__xludf.DUMMYFUNCTION("""COMPUTED_VALUE"""),2910.0)</f>
        <v>2910</v>
      </c>
      <c r="C1906" s="1">
        <f>IFERROR(__xludf.DUMMYFUNCTION("""COMPUTED_VALUE"""),3200.0)</f>
        <v>3200</v>
      </c>
      <c r="D1906" s="1">
        <f>IFERROR(__xludf.DUMMYFUNCTION("""COMPUTED_VALUE"""),2910.0)</f>
        <v>2910</v>
      </c>
      <c r="E1906" s="1">
        <f>IFERROR(__xludf.DUMMYFUNCTION("""COMPUTED_VALUE"""),3015.0)</f>
        <v>3015</v>
      </c>
      <c r="F1906" s="1">
        <f>IFERROR(__xludf.DUMMYFUNCTION("""COMPUTED_VALUE"""),555836.0)</f>
        <v>555836</v>
      </c>
    </row>
    <row r="1907">
      <c r="A1907" s="2">
        <f>IFERROR(__xludf.DUMMYFUNCTION("""COMPUTED_VALUE"""),44825.64583333333)</f>
        <v>44825.64583</v>
      </c>
      <c r="B1907" s="1">
        <f>IFERROR(__xludf.DUMMYFUNCTION("""COMPUTED_VALUE"""),2985.0)</f>
        <v>2985</v>
      </c>
      <c r="C1907" s="1">
        <f>IFERROR(__xludf.DUMMYFUNCTION("""COMPUTED_VALUE"""),3035.0)</f>
        <v>3035</v>
      </c>
      <c r="D1907" s="1">
        <f>IFERROR(__xludf.DUMMYFUNCTION("""COMPUTED_VALUE"""),2970.0)</f>
        <v>2970</v>
      </c>
      <c r="E1907" s="1">
        <f>IFERROR(__xludf.DUMMYFUNCTION("""COMPUTED_VALUE"""),3035.0)</f>
        <v>3035</v>
      </c>
      <c r="F1907" s="1">
        <f>IFERROR(__xludf.DUMMYFUNCTION("""COMPUTED_VALUE"""),89998.0)</f>
        <v>89998</v>
      </c>
    </row>
    <row r="1908">
      <c r="A1908" s="2">
        <f>IFERROR(__xludf.DUMMYFUNCTION("""COMPUTED_VALUE"""),44826.64583333333)</f>
        <v>44826.64583</v>
      </c>
      <c r="B1908" s="1">
        <f>IFERROR(__xludf.DUMMYFUNCTION("""COMPUTED_VALUE"""),2995.0)</f>
        <v>2995</v>
      </c>
      <c r="C1908" s="1">
        <f>IFERROR(__xludf.DUMMYFUNCTION("""COMPUTED_VALUE"""),3025.0)</f>
        <v>3025</v>
      </c>
      <c r="D1908" s="1">
        <f>IFERROR(__xludf.DUMMYFUNCTION("""COMPUTED_VALUE"""),2895.0)</f>
        <v>2895</v>
      </c>
      <c r="E1908" s="1">
        <f>IFERROR(__xludf.DUMMYFUNCTION("""COMPUTED_VALUE"""),2960.0)</f>
        <v>2960</v>
      </c>
      <c r="F1908" s="1">
        <f>IFERROR(__xludf.DUMMYFUNCTION("""COMPUTED_VALUE"""),105696.0)</f>
        <v>105696</v>
      </c>
    </row>
    <row r="1909">
      <c r="A1909" s="2">
        <f>IFERROR(__xludf.DUMMYFUNCTION("""COMPUTED_VALUE"""),44827.64583333333)</f>
        <v>44827.64583</v>
      </c>
      <c r="B1909" s="1">
        <f>IFERROR(__xludf.DUMMYFUNCTION("""COMPUTED_VALUE"""),2915.0)</f>
        <v>2915</v>
      </c>
      <c r="C1909" s="1">
        <f>IFERROR(__xludf.DUMMYFUNCTION("""COMPUTED_VALUE"""),2960.0)</f>
        <v>2960</v>
      </c>
      <c r="D1909" s="1">
        <f>IFERROR(__xludf.DUMMYFUNCTION("""COMPUTED_VALUE"""),2810.0)</f>
        <v>2810</v>
      </c>
      <c r="E1909" s="1">
        <f>IFERROR(__xludf.DUMMYFUNCTION("""COMPUTED_VALUE"""),2810.0)</f>
        <v>2810</v>
      </c>
      <c r="F1909" s="1">
        <f>IFERROR(__xludf.DUMMYFUNCTION("""COMPUTED_VALUE"""),170142.0)</f>
        <v>170142</v>
      </c>
    </row>
    <row r="1910">
      <c r="A1910" s="2">
        <f>IFERROR(__xludf.DUMMYFUNCTION("""COMPUTED_VALUE"""),44830.64583333333)</f>
        <v>44830.64583</v>
      </c>
      <c r="B1910" s="1">
        <f>IFERROR(__xludf.DUMMYFUNCTION("""COMPUTED_VALUE"""),2750.0)</f>
        <v>2750</v>
      </c>
      <c r="C1910" s="1">
        <f>IFERROR(__xludf.DUMMYFUNCTION("""COMPUTED_VALUE"""),2800.0)</f>
        <v>2800</v>
      </c>
      <c r="D1910" s="1">
        <f>IFERROR(__xludf.DUMMYFUNCTION("""COMPUTED_VALUE"""),2545.0)</f>
        <v>2545</v>
      </c>
      <c r="E1910" s="1">
        <f>IFERROR(__xludf.DUMMYFUNCTION("""COMPUTED_VALUE"""),2560.0)</f>
        <v>2560</v>
      </c>
      <c r="F1910" s="1">
        <f>IFERROR(__xludf.DUMMYFUNCTION("""COMPUTED_VALUE"""),539061.0)</f>
        <v>539061</v>
      </c>
    </row>
    <row r="1911">
      <c r="A1911" s="2">
        <f>IFERROR(__xludf.DUMMYFUNCTION("""COMPUTED_VALUE"""),44831.64583333333)</f>
        <v>44831.64583</v>
      </c>
      <c r="B1911" s="1">
        <f>IFERROR(__xludf.DUMMYFUNCTION("""COMPUTED_VALUE"""),2545.0)</f>
        <v>2545</v>
      </c>
      <c r="C1911" s="1">
        <f>IFERROR(__xludf.DUMMYFUNCTION("""COMPUTED_VALUE"""),2795.0)</f>
        <v>2795</v>
      </c>
      <c r="D1911" s="1">
        <f>IFERROR(__xludf.DUMMYFUNCTION("""COMPUTED_VALUE"""),2530.0)</f>
        <v>2530</v>
      </c>
      <c r="E1911" s="1">
        <f>IFERROR(__xludf.DUMMYFUNCTION("""COMPUTED_VALUE"""),2570.0)</f>
        <v>2570</v>
      </c>
      <c r="F1911" s="1">
        <f>IFERROR(__xludf.DUMMYFUNCTION("""COMPUTED_VALUE"""),1504833.0)</f>
        <v>1504833</v>
      </c>
    </row>
    <row r="1912">
      <c r="A1912" s="2">
        <f>IFERROR(__xludf.DUMMYFUNCTION("""COMPUTED_VALUE"""),44832.64583333333)</f>
        <v>44832.64583</v>
      </c>
      <c r="B1912" s="1">
        <f>IFERROR(__xludf.DUMMYFUNCTION("""COMPUTED_VALUE"""),2545.0)</f>
        <v>2545</v>
      </c>
      <c r="C1912" s="1">
        <f>IFERROR(__xludf.DUMMYFUNCTION("""COMPUTED_VALUE"""),2620.0)</f>
        <v>2620</v>
      </c>
      <c r="D1912" s="1">
        <f>IFERROR(__xludf.DUMMYFUNCTION("""COMPUTED_VALUE"""),2425.0)</f>
        <v>2425</v>
      </c>
      <c r="E1912" s="1">
        <f>IFERROR(__xludf.DUMMYFUNCTION("""COMPUTED_VALUE"""),2455.0)</f>
        <v>2455</v>
      </c>
      <c r="F1912" s="1">
        <f>IFERROR(__xludf.DUMMYFUNCTION("""COMPUTED_VALUE"""),356797.0)</f>
        <v>356797</v>
      </c>
    </row>
    <row r="1913">
      <c r="A1913" s="2">
        <f>IFERROR(__xludf.DUMMYFUNCTION("""COMPUTED_VALUE"""),44833.64583333333)</f>
        <v>44833.64583</v>
      </c>
      <c r="B1913" s="1">
        <f>IFERROR(__xludf.DUMMYFUNCTION("""COMPUTED_VALUE"""),2480.0)</f>
        <v>2480</v>
      </c>
      <c r="C1913" s="1">
        <f>IFERROR(__xludf.DUMMYFUNCTION("""COMPUTED_VALUE"""),2725.0)</f>
        <v>2725</v>
      </c>
      <c r="D1913" s="1">
        <f>IFERROR(__xludf.DUMMYFUNCTION("""COMPUTED_VALUE"""),2480.0)</f>
        <v>2480</v>
      </c>
      <c r="E1913" s="1">
        <f>IFERROR(__xludf.DUMMYFUNCTION("""COMPUTED_VALUE"""),2540.0)</f>
        <v>2540</v>
      </c>
      <c r="F1913" s="1">
        <f>IFERROR(__xludf.DUMMYFUNCTION("""COMPUTED_VALUE"""),754057.0)</f>
        <v>754057</v>
      </c>
    </row>
    <row r="1914">
      <c r="A1914" s="2">
        <f>IFERROR(__xludf.DUMMYFUNCTION("""COMPUTED_VALUE"""),44834.64583333333)</f>
        <v>44834.64583</v>
      </c>
      <c r="B1914" s="1">
        <f>IFERROR(__xludf.DUMMYFUNCTION("""COMPUTED_VALUE"""),2460.0)</f>
        <v>2460</v>
      </c>
      <c r="C1914" s="1">
        <f>IFERROR(__xludf.DUMMYFUNCTION("""COMPUTED_VALUE"""),2565.0)</f>
        <v>2565</v>
      </c>
      <c r="D1914" s="1">
        <f>IFERROR(__xludf.DUMMYFUNCTION("""COMPUTED_VALUE"""),2460.0)</f>
        <v>2460</v>
      </c>
      <c r="E1914" s="1">
        <f>IFERROR(__xludf.DUMMYFUNCTION("""COMPUTED_VALUE"""),2565.0)</f>
        <v>2565</v>
      </c>
      <c r="F1914" s="1">
        <f>IFERROR(__xludf.DUMMYFUNCTION("""COMPUTED_VALUE"""),134655.0)</f>
        <v>134655</v>
      </c>
    </row>
    <row r="1915">
      <c r="A1915" s="2">
        <f>IFERROR(__xludf.DUMMYFUNCTION("""COMPUTED_VALUE"""),44838.64583333333)</f>
        <v>44838.64583</v>
      </c>
      <c r="B1915" s="1">
        <f>IFERROR(__xludf.DUMMYFUNCTION("""COMPUTED_VALUE"""),2595.0)</f>
        <v>2595</v>
      </c>
      <c r="C1915" s="1">
        <f>IFERROR(__xludf.DUMMYFUNCTION("""COMPUTED_VALUE"""),2650.0)</f>
        <v>2650</v>
      </c>
      <c r="D1915" s="1">
        <f>IFERROR(__xludf.DUMMYFUNCTION("""COMPUTED_VALUE"""),2575.0)</f>
        <v>2575</v>
      </c>
      <c r="E1915" s="1">
        <f>IFERROR(__xludf.DUMMYFUNCTION("""COMPUTED_VALUE"""),2650.0)</f>
        <v>2650</v>
      </c>
      <c r="F1915" s="1">
        <f>IFERROR(__xludf.DUMMYFUNCTION("""COMPUTED_VALUE"""),137416.0)</f>
        <v>137416</v>
      </c>
    </row>
    <row r="1916">
      <c r="A1916" s="2">
        <f>IFERROR(__xludf.DUMMYFUNCTION("""COMPUTED_VALUE"""),44839.64583333333)</f>
        <v>44839.64583</v>
      </c>
      <c r="B1916" s="1">
        <f>IFERROR(__xludf.DUMMYFUNCTION("""COMPUTED_VALUE"""),2665.0)</f>
        <v>2665</v>
      </c>
      <c r="C1916" s="1">
        <f>IFERROR(__xludf.DUMMYFUNCTION("""COMPUTED_VALUE"""),2720.0)</f>
        <v>2720</v>
      </c>
      <c r="D1916" s="1">
        <f>IFERROR(__xludf.DUMMYFUNCTION("""COMPUTED_VALUE"""),2575.0)</f>
        <v>2575</v>
      </c>
      <c r="E1916" s="1">
        <f>IFERROR(__xludf.DUMMYFUNCTION("""COMPUTED_VALUE"""),2655.0)</f>
        <v>2655</v>
      </c>
      <c r="F1916" s="1">
        <f>IFERROR(__xludf.DUMMYFUNCTION("""COMPUTED_VALUE"""),143829.0)</f>
        <v>143829</v>
      </c>
    </row>
    <row r="1917">
      <c r="A1917" s="2">
        <f>IFERROR(__xludf.DUMMYFUNCTION("""COMPUTED_VALUE"""),44840.64583333333)</f>
        <v>44840.64583</v>
      </c>
      <c r="B1917" s="1">
        <f>IFERROR(__xludf.DUMMYFUNCTION("""COMPUTED_VALUE"""),2650.0)</f>
        <v>2650</v>
      </c>
      <c r="C1917" s="1">
        <f>IFERROR(__xludf.DUMMYFUNCTION("""COMPUTED_VALUE"""),2800.0)</f>
        <v>2800</v>
      </c>
      <c r="D1917" s="1">
        <f>IFERROR(__xludf.DUMMYFUNCTION("""COMPUTED_VALUE"""),2650.0)</f>
        <v>2650</v>
      </c>
      <c r="E1917" s="1">
        <f>IFERROR(__xludf.DUMMYFUNCTION("""COMPUTED_VALUE"""),2785.0)</f>
        <v>2785</v>
      </c>
      <c r="F1917" s="1">
        <f>IFERROR(__xludf.DUMMYFUNCTION("""COMPUTED_VALUE"""),737697.0)</f>
        <v>737697</v>
      </c>
    </row>
    <row r="1918">
      <c r="A1918" s="2">
        <f>IFERROR(__xludf.DUMMYFUNCTION("""COMPUTED_VALUE"""),44841.64583333333)</f>
        <v>44841.64583</v>
      </c>
      <c r="B1918" s="1">
        <f>IFERROR(__xludf.DUMMYFUNCTION("""COMPUTED_VALUE"""),2765.0)</f>
        <v>2765</v>
      </c>
      <c r="C1918" s="1">
        <f>IFERROR(__xludf.DUMMYFUNCTION("""COMPUTED_VALUE"""),2775.0)</f>
        <v>2775</v>
      </c>
      <c r="D1918" s="1">
        <f>IFERROR(__xludf.DUMMYFUNCTION("""COMPUTED_VALUE"""),2720.0)</f>
        <v>2720</v>
      </c>
      <c r="E1918" s="1">
        <f>IFERROR(__xludf.DUMMYFUNCTION("""COMPUTED_VALUE"""),2760.0)</f>
        <v>2760</v>
      </c>
      <c r="F1918" s="1">
        <f>IFERROR(__xludf.DUMMYFUNCTION("""COMPUTED_VALUE"""),120452.0)</f>
        <v>120452</v>
      </c>
    </row>
    <row r="1919">
      <c r="A1919" s="2">
        <f>IFERROR(__xludf.DUMMYFUNCTION("""COMPUTED_VALUE"""),44845.64583333333)</f>
        <v>44845.64583</v>
      </c>
      <c r="B1919" s="1">
        <f>IFERROR(__xludf.DUMMYFUNCTION("""COMPUTED_VALUE"""),2680.0)</f>
        <v>2680</v>
      </c>
      <c r="C1919" s="1">
        <f>IFERROR(__xludf.DUMMYFUNCTION("""COMPUTED_VALUE"""),2720.0)</f>
        <v>2720</v>
      </c>
      <c r="D1919" s="1">
        <f>IFERROR(__xludf.DUMMYFUNCTION("""COMPUTED_VALUE"""),2560.0)</f>
        <v>2560</v>
      </c>
      <c r="E1919" s="1">
        <f>IFERROR(__xludf.DUMMYFUNCTION("""COMPUTED_VALUE"""),2600.0)</f>
        <v>2600</v>
      </c>
      <c r="F1919" s="1">
        <f>IFERROR(__xludf.DUMMYFUNCTION("""COMPUTED_VALUE"""),197426.0)</f>
        <v>197426</v>
      </c>
    </row>
    <row r="1920">
      <c r="A1920" s="2">
        <f>IFERROR(__xludf.DUMMYFUNCTION("""COMPUTED_VALUE"""),44846.64583333333)</f>
        <v>44846.64583</v>
      </c>
      <c r="B1920" s="1">
        <f>IFERROR(__xludf.DUMMYFUNCTION("""COMPUTED_VALUE"""),2565.0)</f>
        <v>2565</v>
      </c>
      <c r="C1920" s="1">
        <f>IFERROR(__xludf.DUMMYFUNCTION("""COMPUTED_VALUE"""),2610.0)</f>
        <v>2610</v>
      </c>
      <c r="D1920" s="1">
        <f>IFERROR(__xludf.DUMMYFUNCTION("""COMPUTED_VALUE"""),2490.0)</f>
        <v>2490</v>
      </c>
      <c r="E1920" s="1">
        <f>IFERROR(__xludf.DUMMYFUNCTION("""COMPUTED_VALUE"""),2510.0)</f>
        <v>2510</v>
      </c>
      <c r="F1920" s="1">
        <f>IFERROR(__xludf.DUMMYFUNCTION("""COMPUTED_VALUE"""),233575.0)</f>
        <v>233575</v>
      </c>
    </row>
    <row r="1921">
      <c r="A1921" s="2">
        <f>IFERROR(__xludf.DUMMYFUNCTION("""COMPUTED_VALUE"""),44847.64583333333)</f>
        <v>44847.64583</v>
      </c>
      <c r="B1921" s="1">
        <f>IFERROR(__xludf.DUMMYFUNCTION("""COMPUTED_VALUE"""),2510.0)</f>
        <v>2510</v>
      </c>
      <c r="C1921" s="1">
        <f>IFERROR(__xludf.DUMMYFUNCTION("""COMPUTED_VALUE"""),2540.0)</f>
        <v>2540</v>
      </c>
      <c r="D1921" s="1">
        <f>IFERROR(__xludf.DUMMYFUNCTION("""COMPUTED_VALUE"""),2360.0)</f>
        <v>2360</v>
      </c>
      <c r="E1921" s="1">
        <f>IFERROR(__xludf.DUMMYFUNCTION("""COMPUTED_VALUE"""),2360.0)</f>
        <v>2360</v>
      </c>
      <c r="F1921" s="1">
        <f>IFERROR(__xludf.DUMMYFUNCTION("""COMPUTED_VALUE"""),220056.0)</f>
        <v>220056</v>
      </c>
    </row>
    <row r="1922">
      <c r="A1922" s="2">
        <f>IFERROR(__xludf.DUMMYFUNCTION("""COMPUTED_VALUE"""),44848.64583333333)</f>
        <v>44848.64583</v>
      </c>
      <c r="B1922" s="1">
        <f>IFERROR(__xludf.DUMMYFUNCTION("""COMPUTED_VALUE"""),2400.0)</f>
        <v>2400</v>
      </c>
      <c r="C1922" s="1">
        <f>IFERROR(__xludf.DUMMYFUNCTION("""COMPUTED_VALUE"""),2480.0)</f>
        <v>2480</v>
      </c>
      <c r="D1922" s="1">
        <f>IFERROR(__xludf.DUMMYFUNCTION("""COMPUTED_VALUE"""),2395.0)</f>
        <v>2395</v>
      </c>
      <c r="E1922" s="1">
        <f>IFERROR(__xludf.DUMMYFUNCTION("""COMPUTED_VALUE"""),2480.0)</f>
        <v>2480</v>
      </c>
      <c r="F1922" s="1">
        <f>IFERROR(__xludf.DUMMYFUNCTION("""COMPUTED_VALUE"""),118731.0)</f>
        <v>118731</v>
      </c>
    </row>
    <row r="1923">
      <c r="A1923" s="2">
        <f>IFERROR(__xludf.DUMMYFUNCTION("""COMPUTED_VALUE"""),44851.64583333333)</f>
        <v>44851.64583</v>
      </c>
      <c r="B1923" s="1">
        <f>IFERROR(__xludf.DUMMYFUNCTION("""COMPUTED_VALUE"""),2415.0)</f>
        <v>2415</v>
      </c>
      <c r="C1923" s="1">
        <f>IFERROR(__xludf.DUMMYFUNCTION("""COMPUTED_VALUE"""),2645.0)</f>
        <v>2645</v>
      </c>
      <c r="D1923" s="1">
        <f>IFERROR(__xludf.DUMMYFUNCTION("""COMPUTED_VALUE"""),2415.0)</f>
        <v>2415</v>
      </c>
      <c r="E1923" s="1">
        <f>IFERROR(__xludf.DUMMYFUNCTION("""COMPUTED_VALUE"""),2610.0)</f>
        <v>2610</v>
      </c>
      <c r="F1923" s="1">
        <f>IFERROR(__xludf.DUMMYFUNCTION("""COMPUTED_VALUE"""),566684.0)</f>
        <v>566684</v>
      </c>
    </row>
    <row r="1924">
      <c r="A1924" s="2">
        <f>IFERROR(__xludf.DUMMYFUNCTION("""COMPUTED_VALUE"""),44852.64583333333)</f>
        <v>44852.64583</v>
      </c>
      <c r="B1924" s="1">
        <f>IFERROR(__xludf.DUMMYFUNCTION("""COMPUTED_VALUE"""),2635.0)</f>
        <v>2635</v>
      </c>
      <c r="C1924" s="1">
        <f>IFERROR(__xludf.DUMMYFUNCTION("""COMPUTED_VALUE"""),2735.0)</f>
        <v>2735</v>
      </c>
      <c r="D1924" s="1">
        <f>IFERROR(__xludf.DUMMYFUNCTION("""COMPUTED_VALUE"""),2605.0)</f>
        <v>2605</v>
      </c>
      <c r="E1924" s="1">
        <f>IFERROR(__xludf.DUMMYFUNCTION("""COMPUTED_VALUE"""),2700.0)</f>
        <v>2700</v>
      </c>
      <c r="F1924" s="1">
        <f>IFERROR(__xludf.DUMMYFUNCTION("""COMPUTED_VALUE"""),474045.0)</f>
        <v>474045</v>
      </c>
    </row>
    <row r="1925">
      <c r="A1925" s="2">
        <f>IFERROR(__xludf.DUMMYFUNCTION("""COMPUTED_VALUE"""),44853.64583333333)</f>
        <v>44853.64583</v>
      </c>
      <c r="B1925" s="1">
        <f>IFERROR(__xludf.DUMMYFUNCTION("""COMPUTED_VALUE"""),2695.0)</f>
        <v>2695</v>
      </c>
      <c r="C1925" s="1">
        <f>IFERROR(__xludf.DUMMYFUNCTION("""COMPUTED_VALUE"""),2715.0)</f>
        <v>2715</v>
      </c>
      <c r="D1925" s="1">
        <f>IFERROR(__xludf.DUMMYFUNCTION("""COMPUTED_VALUE"""),2665.0)</f>
        <v>2665</v>
      </c>
      <c r="E1925" s="1">
        <f>IFERROR(__xludf.DUMMYFUNCTION("""COMPUTED_VALUE"""),2705.0)</f>
        <v>2705</v>
      </c>
      <c r="F1925" s="1">
        <f>IFERROR(__xludf.DUMMYFUNCTION("""COMPUTED_VALUE"""),150221.0)</f>
        <v>150221</v>
      </c>
    </row>
    <row r="1926">
      <c r="A1926" s="2">
        <f>IFERROR(__xludf.DUMMYFUNCTION("""COMPUTED_VALUE"""),44854.64583333333)</f>
        <v>44854.64583</v>
      </c>
      <c r="B1926" s="1">
        <f>IFERROR(__xludf.DUMMYFUNCTION("""COMPUTED_VALUE"""),2685.0)</f>
        <v>2685</v>
      </c>
      <c r="C1926" s="1">
        <f>IFERROR(__xludf.DUMMYFUNCTION("""COMPUTED_VALUE"""),2700.0)</f>
        <v>2700</v>
      </c>
      <c r="D1926" s="1">
        <f>IFERROR(__xludf.DUMMYFUNCTION("""COMPUTED_VALUE"""),2600.0)</f>
        <v>2600</v>
      </c>
      <c r="E1926" s="1">
        <f>IFERROR(__xludf.DUMMYFUNCTION("""COMPUTED_VALUE"""),2640.0)</f>
        <v>2640</v>
      </c>
      <c r="F1926" s="1">
        <f>IFERROR(__xludf.DUMMYFUNCTION("""COMPUTED_VALUE"""),122001.0)</f>
        <v>122001</v>
      </c>
    </row>
    <row r="1927">
      <c r="A1927" s="2">
        <f>IFERROR(__xludf.DUMMYFUNCTION("""COMPUTED_VALUE"""),44855.64583333333)</f>
        <v>44855.64583</v>
      </c>
      <c r="B1927" s="1">
        <f>IFERROR(__xludf.DUMMYFUNCTION("""COMPUTED_VALUE"""),2600.0)</f>
        <v>2600</v>
      </c>
      <c r="C1927" s="1">
        <f>IFERROR(__xludf.DUMMYFUNCTION("""COMPUTED_VALUE"""),2620.0)</f>
        <v>2620</v>
      </c>
      <c r="D1927" s="1">
        <f>IFERROR(__xludf.DUMMYFUNCTION("""COMPUTED_VALUE"""),2565.0)</f>
        <v>2565</v>
      </c>
      <c r="E1927" s="1">
        <f>IFERROR(__xludf.DUMMYFUNCTION("""COMPUTED_VALUE"""),2590.0)</f>
        <v>2590</v>
      </c>
      <c r="F1927" s="1">
        <f>IFERROR(__xludf.DUMMYFUNCTION("""COMPUTED_VALUE"""),72626.0)</f>
        <v>72626</v>
      </c>
    </row>
    <row r="1928">
      <c r="A1928" s="2">
        <f>IFERROR(__xludf.DUMMYFUNCTION("""COMPUTED_VALUE"""),44858.64583333333)</f>
        <v>44858.64583</v>
      </c>
      <c r="B1928" s="1">
        <f>IFERROR(__xludf.DUMMYFUNCTION("""COMPUTED_VALUE"""),2630.0)</f>
        <v>2630</v>
      </c>
      <c r="C1928" s="1">
        <f>IFERROR(__xludf.DUMMYFUNCTION("""COMPUTED_VALUE"""),2650.0)</f>
        <v>2650</v>
      </c>
      <c r="D1928" s="1">
        <f>IFERROR(__xludf.DUMMYFUNCTION("""COMPUTED_VALUE"""),2580.0)</f>
        <v>2580</v>
      </c>
      <c r="E1928" s="1">
        <f>IFERROR(__xludf.DUMMYFUNCTION("""COMPUTED_VALUE"""),2620.0)</f>
        <v>2620</v>
      </c>
      <c r="F1928" s="1">
        <f>IFERROR(__xludf.DUMMYFUNCTION("""COMPUTED_VALUE"""),131370.0)</f>
        <v>131370</v>
      </c>
    </row>
    <row r="1929">
      <c r="A1929" s="2">
        <f>IFERROR(__xludf.DUMMYFUNCTION("""COMPUTED_VALUE"""),44859.64583333333)</f>
        <v>44859.64583</v>
      </c>
      <c r="B1929" s="1">
        <f>IFERROR(__xludf.DUMMYFUNCTION("""COMPUTED_VALUE"""),2600.0)</f>
        <v>2600</v>
      </c>
      <c r="C1929" s="1">
        <f>IFERROR(__xludf.DUMMYFUNCTION("""COMPUTED_VALUE"""),2670.0)</f>
        <v>2670</v>
      </c>
      <c r="D1929" s="1">
        <f>IFERROR(__xludf.DUMMYFUNCTION("""COMPUTED_VALUE"""),2600.0)</f>
        <v>2600</v>
      </c>
      <c r="E1929" s="1">
        <f>IFERROR(__xludf.DUMMYFUNCTION("""COMPUTED_VALUE"""),2670.0)</f>
        <v>2670</v>
      </c>
      <c r="F1929" s="1">
        <f>IFERROR(__xludf.DUMMYFUNCTION("""COMPUTED_VALUE"""),113067.0)</f>
        <v>113067</v>
      </c>
    </row>
    <row r="1930">
      <c r="A1930" s="2">
        <f>IFERROR(__xludf.DUMMYFUNCTION("""COMPUTED_VALUE"""),44860.64583333333)</f>
        <v>44860.64583</v>
      </c>
      <c r="B1930" s="1">
        <f>IFERROR(__xludf.DUMMYFUNCTION("""COMPUTED_VALUE"""),2670.0)</f>
        <v>2670</v>
      </c>
      <c r="C1930" s="1">
        <f>IFERROR(__xludf.DUMMYFUNCTION("""COMPUTED_VALUE"""),2675.0)</f>
        <v>2675</v>
      </c>
      <c r="D1930" s="1">
        <f>IFERROR(__xludf.DUMMYFUNCTION("""COMPUTED_VALUE"""),2610.0)</f>
        <v>2610</v>
      </c>
      <c r="E1930" s="1">
        <f>IFERROR(__xludf.DUMMYFUNCTION("""COMPUTED_VALUE"""),2670.0)</f>
        <v>2670</v>
      </c>
      <c r="F1930" s="1">
        <f>IFERROR(__xludf.DUMMYFUNCTION("""COMPUTED_VALUE"""),149396.0)</f>
        <v>149396</v>
      </c>
    </row>
    <row r="1931">
      <c r="A1931" s="2">
        <f>IFERROR(__xludf.DUMMYFUNCTION("""COMPUTED_VALUE"""),44861.64583333333)</f>
        <v>44861.64583</v>
      </c>
      <c r="B1931" s="1">
        <f>IFERROR(__xludf.DUMMYFUNCTION("""COMPUTED_VALUE"""),2640.0)</f>
        <v>2640</v>
      </c>
      <c r="C1931" s="1">
        <f>IFERROR(__xludf.DUMMYFUNCTION("""COMPUTED_VALUE"""),2680.0)</f>
        <v>2680</v>
      </c>
      <c r="D1931" s="1">
        <f>IFERROR(__xludf.DUMMYFUNCTION("""COMPUTED_VALUE"""),2635.0)</f>
        <v>2635</v>
      </c>
      <c r="E1931" s="1">
        <f>IFERROR(__xludf.DUMMYFUNCTION("""COMPUTED_VALUE"""),2675.0)</f>
        <v>2675</v>
      </c>
      <c r="F1931" s="1">
        <f>IFERROR(__xludf.DUMMYFUNCTION("""COMPUTED_VALUE"""),118653.0)</f>
        <v>118653</v>
      </c>
    </row>
    <row r="1932">
      <c r="A1932" s="2">
        <f>IFERROR(__xludf.DUMMYFUNCTION("""COMPUTED_VALUE"""),44862.64583333333)</f>
        <v>44862.64583</v>
      </c>
      <c r="B1932" s="1">
        <f>IFERROR(__xludf.DUMMYFUNCTION("""COMPUTED_VALUE"""),2650.0)</f>
        <v>2650</v>
      </c>
      <c r="C1932" s="1">
        <f>IFERROR(__xludf.DUMMYFUNCTION("""COMPUTED_VALUE"""),2765.0)</f>
        <v>2765</v>
      </c>
      <c r="D1932" s="1">
        <f>IFERROR(__xludf.DUMMYFUNCTION("""COMPUTED_VALUE"""),2620.0)</f>
        <v>2620</v>
      </c>
      <c r="E1932" s="1">
        <f>IFERROR(__xludf.DUMMYFUNCTION("""COMPUTED_VALUE"""),2675.0)</f>
        <v>2675</v>
      </c>
      <c r="F1932" s="1">
        <f>IFERROR(__xludf.DUMMYFUNCTION("""COMPUTED_VALUE"""),332522.0)</f>
        <v>332522</v>
      </c>
    </row>
    <row r="1933">
      <c r="A1933" s="2">
        <f>IFERROR(__xludf.DUMMYFUNCTION("""COMPUTED_VALUE"""),44865.64583333333)</f>
        <v>44865.64583</v>
      </c>
      <c r="B1933" s="1">
        <f>IFERROR(__xludf.DUMMYFUNCTION("""COMPUTED_VALUE"""),2705.0)</f>
        <v>2705</v>
      </c>
      <c r="C1933" s="1">
        <f>IFERROR(__xludf.DUMMYFUNCTION("""COMPUTED_VALUE"""),2740.0)</f>
        <v>2740</v>
      </c>
      <c r="D1933" s="1">
        <f>IFERROR(__xludf.DUMMYFUNCTION("""COMPUTED_VALUE"""),2655.0)</f>
        <v>2655</v>
      </c>
      <c r="E1933" s="1">
        <f>IFERROR(__xludf.DUMMYFUNCTION("""COMPUTED_VALUE"""),2710.0)</f>
        <v>2710</v>
      </c>
      <c r="F1933" s="1">
        <f>IFERROR(__xludf.DUMMYFUNCTION("""COMPUTED_VALUE"""),195386.0)</f>
        <v>195386</v>
      </c>
    </row>
    <row r="1934">
      <c r="A1934" s="2">
        <f>IFERROR(__xludf.DUMMYFUNCTION("""COMPUTED_VALUE"""),44866.64583333333)</f>
        <v>44866.64583</v>
      </c>
      <c r="B1934" s="1">
        <f>IFERROR(__xludf.DUMMYFUNCTION("""COMPUTED_VALUE"""),2690.0)</f>
        <v>2690</v>
      </c>
      <c r="C1934" s="1">
        <f>IFERROR(__xludf.DUMMYFUNCTION("""COMPUTED_VALUE"""),2745.0)</f>
        <v>2745</v>
      </c>
      <c r="D1934" s="1">
        <f>IFERROR(__xludf.DUMMYFUNCTION("""COMPUTED_VALUE"""),2680.0)</f>
        <v>2680</v>
      </c>
      <c r="E1934" s="1">
        <f>IFERROR(__xludf.DUMMYFUNCTION("""COMPUTED_VALUE"""),2740.0)</f>
        <v>2740</v>
      </c>
      <c r="F1934" s="1">
        <f>IFERROR(__xludf.DUMMYFUNCTION("""COMPUTED_VALUE"""),94133.0)</f>
        <v>94133</v>
      </c>
    </row>
    <row r="1935">
      <c r="A1935" s="2">
        <f>IFERROR(__xludf.DUMMYFUNCTION("""COMPUTED_VALUE"""),44867.64583333333)</f>
        <v>44867.64583</v>
      </c>
      <c r="B1935" s="1">
        <f>IFERROR(__xludf.DUMMYFUNCTION("""COMPUTED_VALUE"""),2735.0)</f>
        <v>2735</v>
      </c>
      <c r="C1935" s="1">
        <f>IFERROR(__xludf.DUMMYFUNCTION("""COMPUTED_VALUE"""),2755.0)</f>
        <v>2755</v>
      </c>
      <c r="D1935" s="1">
        <f>IFERROR(__xludf.DUMMYFUNCTION("""COMPUTED_VALUE"""),2695.0)</f>
        <v>2695</v>
      </c>
      <c r="E1935" s="1">
        <f>IFERROR(__xludf.DUMMYFUNCTION("""COMPUTED_VALUE"""),2755.0)</f>
        <v>2755</v>
      </c>
      <c r="F1935" s="1">
        <f>IFERROR(__xludf.DUMMYFUNCTION("""COMPUTED_VALUE"""),87815.0)</f>
        <v>87815</v>
      </c>
    </row>
    <row r="1936">
      <c r="A1936" s="2">
        <f>IFERROR(__xludf.DUMMYFUNCTION("""COMPUTED_VALUE"""),44868.64583333333)</f>
        <v>44868.64583</v>
      </c>
      <c r="B1936" s="1">
        <f>IFERROR(__xludf.DUMMYFUNCTION("""COMPUTED_VALUE"""),2705.0)</f>
        <v>2705</v>
      </c>
      <c r="C1936" s="1">
        <f>IFERROR(__xludf.DUMMYFUNCTION("""COMPUTED_VALUE"""),2735.0)</f>
        <v>2735</v>
      </c>
      <c r="D1936" s="1">
        <f>IFERROR(__xludf.DUMMYFUNCTION("""COMPUTED_VALUE"""),2665.0)</f>
        <v>2665</v>
      </c>
      <c r="E1936" s="1">
        <f>IFERROR(__xludf.DUMMYFUNCTION("""COMPUTED_VALUE"""),2720.0)</f>
        <v>2720</v>
      </c>
      <c r="F1936" s="1">
        <f>IFERROR(__xludf.DUMMYFUNCTION("""COMPUTED_VALUE"""),87582.0)</f>
        <v>87582</v>
      </c>
    </row>
    <row r="1937">
      <c r="A1937" s="2">
        <f>IFERROR(__xludf.DUMMYFUNCTION("""COMPUTED_VALUE"""),44869.64583333333)</f>
        <v>44869.64583</v>
      </c>
      <c r="B1937" s="1">
        <f>IFERROR(__xludf.DUMMYFUNCTION("""COMPUTED_VALUE"""),2720.0)</f>
        <v>2720</v>
      </c>
      <c r="C1937" s="1">
        <f>IFERROR(__xludf.DUMMYFUNCTION("""COMPUTED_VALUE"""),2740.0)</f>
        <v>2740</v>
      </c>
      <c r="D1937" s="1">
        <f>IFERROR(__xludf.DUMMYFUNCTION("""COMPUTED_VALUE"""),2635.0)</f>
        <v>2635</v>
      </c>
      <c r="E1937" s="1">
        <f>IFERROR(__xludf.DUMMYFUNCTION("""COMPUTED_VALUE"""),2720.0)</f>
        <v>2720</v>
      </c>
      <c r="F1937" s="1">
        <f>IFERROR(__xludf.DUMMYFUNCTION("""COMPUTED_VALUE"""),129057.0)</f>
        <v>129057</v>
      </c>
    </row>
    <row r="1938">
      <c r="A1938" s="2">
        <f>IFERROR(__xludf.DUMMYFUNCTION("""COMPUTED_VALUE"""),44872.64583333333)</f>
        <v>44872.64583</v>
      </c>
      <c r="B1938" s="1">
        <f>IFERROR(__xludf.DUMMYFUNCTION("""COMPUTED_VALUE"""),2720.0)</f>
        <v>2720</v>
      </c>
      <c r="C1938" s="1">
        <f>IFERROR(__xludf.DUMMYFUNCTION("""COMPUTED_VALUE"""),2895.0)</f>
        <v>2895</v>
      </c>
      <c r="D1938" s="1">
        <f>IFERROR(__xludf.DUMMYFUNCTION("""COMPUTED_VALUE"""),2690.0)</f>
        <v>2690</v>
      </c>
      <c r="E1938" s="1">
        <f>IFERROR(__xludf.DUMMYFUNCTION("""COMPUTED_VALUE"""),2870.0)</f>
        <v>2870</v>
      </c>
      <c r="F1938" s="1">
        <f>IFERROR(__xludf.DUMMYFUNCTION("""COMPUTED_VALUE"""),2268844.0)</f>
        <v>2268844</v>
      </c>
    </row>
    <row r="1939">
      <c r="A1939" s="2">
        <f>IFERROR(__xludf.DUMMYFUNCTION("""COMPUTED_VALUE"""),44873.64583333333)</f>
        <v>44873.64583</v>
      </c>
      <c r="B1939" s="1">
        <f>IFERROR(__xludf.DUMMYFUNCTION("""COMPUTED_VALUE"""),2820.0)</f>
        <v>2820</v>
      </c>
      <c r="C1939" s="1">
        <f>IFERROR(__xludf.DUMMYFUNCTION("""COMPUTED_VALUE"""),2915.0)</f>
        <v>2915</v>
      </c>
      <c r="D1939" s="1">
        <f>IFERROR(__xludf.DUMMYFUNCTION("""COMPUTED_VALUE"""),2790.0)</f>
        <v>2790</v>
      </c>
      <c r="E1939" s="1">
        <f>IFERROR(__xludf.DUMMYFUNCTION("""COMPUTED_VALUE"""),2910.0)</f>
        <v>2910</v>
      </c>
      <c r="F1939" s="1">
        <f>IFERROR(__xludf.DUMMYFUNCTION("""COMPUTED_VALUE"""),627285.0)</f>
        <v>627285</v>
      </c>
    </row>
    <row r="1940">
      <c r="A1940" s="2">
        <f>IFERROR(__xludf.DUMMYFUNCTION("""COMPUTED_VALUE"""),44874.64583333333)</f>
        <v>44874.64583</v>
      </c>
      <c r="B1940" s="1">
        <f>IFERROR(__xludf.DUMMYFUNCTION("""COMPUTED_VALUE"""),2865.0)</f>
        <v>2865</v>
      </c>
      <c r="C1940" s="1">
        <f>IFERROR(__xludf.DUMMYFUNCTION("""COMPUTED_VALUE"""),2900.0)</f>
        <v>2900</v>
      </c>
      <c r="D1940" s="1">
        <f>IFERROR(__xludf.DUMMYFUNCTION("""COMPUTED_VALUE"""),2835.0)</f>
        <v>2835</v>
      </c>
      <c r="E1940" s="1">
        <f>IFERROR(__xludf.DUMMYFUNCTION("""COMPUTED_VALUE"""),2850.0)</f>
        <v>2850</v>
      </c>
      <c r="F1940" s="1">
        <f>IFERROR(__xludf.DUMMYFUNCTION("""COMPUTED_VALUE"""),251574.0)</f>
        <v>251574</v>
      </c>
    </row>
    <row r="1941">
      <c r="A1941" s="2">
        <f>IFERROR(__xludf.DUMMYFUNCTION("""COMPUTED_VALUE"""),44875.64583333333)</f>
        <v>44875.64583</v>
      </c>
      <c r="B1941" s="1">
        <f>IFERROR(__xludf.DUMMYFUNCTION("""COMPUTED_VALUE"""),2800.0)</f>
        <v>2800</v>
      </c>
      <c r="C1941" s="1">
        <f>IFERROR(__xludf.DUMMYFUNCTION("""COMPUTED_VALUE"""),2830.0)</f>
        <v>2830</v>
      </c>
      <c r="D1941" s="1">
        <f>IFERROR(__xludf.DUMMYFUNCTION("""COMPUTED_VALUE"""),2755.0)</f>
        <v>2755</v>
      </c>
      <c r="E1941" s="1">
        <f>IFERROR(__xludf.DUMMYFUNCTION("""COMPUTED_VALUE"""),2760.0)</f>
        <v>2760</v>
      </c>
      <c r="F1941" s="1">
        <f>IFERROR(__xludf.DUMMYFUNCTION("""COMPUTED_VALUE"""),259468.0)</f>
        <v>259468</v>
      </c>
    </row>
    <row r="1942">
      <c r="A1942" s="2">
        <f>IFERROR(__xludf.DUMMYFUNCTION("""COMPUTED_VALUE"""),44876.64583333333)</f>
        <v>44876.64583</v>
      </c>
      <c r="B1942" s="1">
        <f>IFERROR(__xludf.DUMMYFUNCTION("""COMPUTED_VALUE"""),2825.0)</f>
        <v>2825</v>
      </c>
      <c r="C1942" s="1">
        <f>IFERROR(__xludf.DUMMYFUNCTION("""COMPUTED_VALUE"""),2940.0)</f>
        <v>2940</v>
      </c>
      <c r="D1942" s="1">
        <f>IFERROR(__xludf.DUMMYFUNCTION("""COMPUTED_VALUE"""),2660.0)</f>
        <v>2660</v>
      </c>
      <c r="E1942" s="1">
        <f>IFERROR(__xludf.DUMMYFUNCTION("""COMPUTED_VALUE"""),2915.0)</f>
        <v>2915</v>
      </c>
      <c r="F1942" s="1">
        <f>IFERROR(__xludf.DUMMYFUNCTION("""COMPUTED_VALUE"""),824956.0)</f>
        <v>824956</v>
      </c>
    </row>
    <row r="1943">
      <c r="A1943" s="2">
        <f>IFERROR(__xludf.DUMMYFUNCTION("""COMPUTED_VALUE"""),44879.64583333333)</f>
        <v>44879.64583</v>
      </c>
      <c r="B1943" s="1">
        <f>IFERROR(__xludf.DUMMYFUNCTION("""COMPUTED_VALUE"""),2915.0)</f>
        <v>2915</v>
      </c>
      <c r="C1943" s="1">
        <f>IFERROR(__xludf.DUMMYFUNCTION("""COMPUTED_VALUE"""),3360.0)</f>
        <v>3360</v>
      </c>
      <c r="D1943" s="1">
        <f>IFERROR(__xludf.DUMMYFUNCTION("""COMPUTED_VALUE"""),2915.0)</f>
        <v>2915</v>
      </c>
      <c r="E1943" s="1">
        <f>IFERROR(__xludf.DUMMYFUNCTION("""COMPUTED_VALUE"""),3155.0)</f>
        <v>3155</v>
      </c>
      <c r="F1943" s="1">
        <f>IFERROR(__xludf.DUMMYFUNCTION("""COMPUTED_VALUE"""),9274667.0)</f>
        <v>9274667</v>
      </c>
    </row>
    <row r="1944">
      <c r="A1944" s="2">
        <f>IFERROR(__xludf.DUMMYFUNCTION("""COMPUTED_VALUE"""),44880.64583333333)</f>
        <v>44880.64583</v>
      </c>
      <c r="B1944" s="1">
        <f>IFERROR(__xludf.DUMMYFUNCTION("""COMPUTED_VALUE"""),3120.0)</f>
        <v>3120</v>
      </c>
      <c r="C1944" s="1">
        <f>IFERROR(__xludf.DUMMYFUNCTION("""COMPUTED_VALUE"""),3160.0)</f>
        <v>3160</v>
      </c>
      <c r="D1944" s="1">
        <f>IFERROR(__xludf.DUMMYFUNCTION("""COMPUTED_VALUE"""),3055.0)</f>
        <v>3055</v>
      </c>
      <c r="E1944" s="1">
        <f>IFERROR(__xludf.DUMMYFUNCTION("""COMPUTED_VALUE"""),3150.0)</f>
        <v>3150</v>
      </c>
      <c r="F1944" s="1">
        <f>IFERROR(__xludf.DUMMYFUNCTION("""COMPUTED_VALUE"""),948220.0)</f>
        <v>948220</v>
      </c>
    </row>
    <row r="1945">
      <c r="A1945" s="2">
        <f>IFERROR(__xludf.DUMMYFUNCTION("""COMPUTED_VALUE"""),44881.64583333333)</f>
        <v>44881.64583</v>
      </c>
      <c r="B1945" s="1">
        <f>IFERROR(__xludf.DUMMYFUNCTION("""COMPUTED_VALUE"""),3120.0)</f>
        <v>3120</v>
      </c>
      <c r="C1945" s="1">
        <f>IFERROR(__xludf.DUMMYFUNCTION("""COMPUTED_VALUE"""),3120.0)</f>
        <v>3120</v>
      </c>
      <c r="D1945" s="1">
        <f>IFERROR(__xludf.DUMMYFUNCTION("""COMPUTED_VALUE"""),3020.0)</f>
        <v>3020</v>
      </c>
      <c r="E1945" s="1">
        <f>IFERROR(__xludf.DUMMYFUNCTION("""COMPUTED_VALUE"""),3075.0)</f>
        <v>3075</v>
      </c>
      <c r="F1945" s="1">
        <f>IFERROR(__xludf.DUMMYFUNCTION("""COMPUTED_VALUE"""),700071.0)</f>
        <v>700071</v>
      </c>
    </row>
    <row r="1946">
      <c r="A1946" s="2">
        <f>IFERROR(__xludf.DUMMYFUNCTION("""COMPUTED_VALUE"""),44882.64583333333)</f>
        <v>44882.64583</v>
      </c>
      <c r="B1946" s="1">
        <f>IFERROR(__xludf.DUMMYFUNCTION("""COMPUTED_VALUE"""),3065.0)</f>
        <v>3065</v>
      </c>
      <c r="C1946" s="1">
        <f>IFERROR(__xludf.DUMMYFUNCTION("""COMPUTED_VALUE"""),3065.0)</f>
        <v>3065</v>
      </c>
      <c r="D1946" s="1">
        <f>IFERROR(__xludf.DUMMYFUNCTION("""COMPUTED_VALUE"""),2950.0)</f>
        <v>2950</v>
      </c>
      <c r="E1946" s="1">
        <f>IFERROR(__xludf.DUMMYFUNCTION("""COMPUTED_VALUE"""),2990.0)</f>
        <v>2990</v>
      </c>
      <c r="F1946" s="1">
        <f>IFERROR(__xludf.DUMMYFUNCTION("""COMPUTED_VALUE"""),389306.0)</f>
        <v>389306</v>
      </c>
    </row>
    <row r="1947">
      <c r="A1947" s="2">
        <f>IFERROR(__xludf.DUMMYFUNCTION("""COMPUTED_VALUE"""),44883.64583333333)</f>
        <v>44883.64583</v>
      </c>
      <c r="B1947" s="1">
        <f>IFERROR(__xludf.DUMMYFUNCTION("""COMPUTED_VALUE"""),2990.0)</f>
        <v>2990</v>
      </c>
      <c r="C1947" s="1">
        <f>IFERROR(__xludf.DUMMYFUNCTION("""COMPUTED_VALUE"""),3020.0)</f>
        <v>3020</v>
      </c>
      <c r="D1947" s="1">
        <f>IFERROR(__xludf.DUMMYFUNCTION("""COMPUTED_VALUE"""),2895.0)</f>
        <v>2895</v>
      </c>
      <c r="E1947" s="1">
        <f>IFERROR(__xludf.DUMMYFUNCTION("""COMPUTED_VALUE"""),2980.0)</f>
        <v>2980</v>
      </c>
      <c r="F1947" s="1">
        <f>IFERROR(__xludf.DUMMYFUNCTION("""COMPUTED_VALUE"""),375360.0)</f>
        <v>375360</v>
      </c>
    </row>
    <row r="1948">
      <c r="A1948" s="2">
        <f>IFERROR(__xludf.DUMMYFUNCTION("""COMPUTED_VALUE"""),44886.64583333333)</f>
        <v>44886.64583</v>
      </c>
      <c r="B1948" s="1">
        <f>IFERROR(__xludf.DUMMYFUNCTION("""COMPUTED_VALUE"""),2955.0)</f>
        <v>2955</v>
      </c>
      <c r="C1948" s="1">
        <f>IFERROR(__xludf.DUMMYFUNCTION("""COMPUTED_VALUE"""),2980.0)</f>
        <v>2980</v>
      </c>
      <c r="D1948" s="1">
        <f>IFERROR(__xludf.DUMMYFUNCTION("""COMPUTED_VALUE"""),2850.0)</f>
        <v>2850</v>
      </c>
      <c r="E1948" s="1">
        <f>IFERROR(__xludf.DUMMYFUNCTION("""COMPUTED_VALUE"""),2925.0)</f>
        <v>2925</v>
      </c>
      <c r="F1948" s="1">
        <f>IFERROR(__xludf.DUMMYFUNCTION("""COMPUTED_VALUE"""),199767.0)</f>
        <v>199767</v>
      </c>
    </row>
    <row r="1949">
      <c r="A1949" s="2">
        <f>IFERROR(__xludf.DUMMYFUNCTION("""COMPUTED_VALUE"""),44887.64583333333)</f>
        <v>44887.64583</v>
      </c>
      <c r="B1949" s="1">
        <f>IFERROR(__xludf.DUMMYFUNCTION("""COMPUTED_VALUE"""),2865.0)</f>
        <v>2865</v>
      </c>
      <c r="C1949" s="1">
        <f>IFERROR(__xludf.DUMMYFUNCTION("""COMPUTED_VALUE"""),2925.0)</f>
        <v>2925</v>
      </c>
      <c r="D1949" s="1">
        <f>IFERROR(__xludf.DUMMYFUNCTION("""COMPUTED_VALUE"""),2845.0)</f>
        <v>2845</v>
      </c>
      <c r="E1949" s="1">
        <f>IFERROR(__xludf.DUMMYFUNCTION("""COMPUTED_VALUE"""),2910.0)</f>
        <v>2910</v>
      </c>
      <c r="F1949" s="1">
        <f>IFERROR(__xludf.DUMMYFUNCTION("""COMPUTED_VALUE"""),251337.0)</f>
        <v>251337</v>
      </c>
    </row>
    <row r="1950">
      <c r="A1950" s="2">
        <f>IFERROR(__xludf.DUMMYFUNCTION("""COMPUTED_VALUE"""),44888.64583333333)</f>
        <v>44888.64583</v>
      </c>
      <c r="B1950" s="1">
        <f>IFERROR(__xludf.DUMMYFUNCTION("""COMPUTED_VALUE"""),2925.0)</f>
        <v>2925</v>
      </c>
      <c r="C1950" s="1">
        <f>IFERROR(__xludf.DUMMYFUNCTION("""COMPUTED_VALUE"""),2940.0)</f>
        <v>2940</v>
      </c>
      <c r="D1950" s="1">
        <f>IFERROR(__xludf.DUMMYFUNCTION("""COMPUTED_VALUE"""),2900.0)</f>
        <v>2900</v>
      </c>
      <c r="E1950" s="1">
        <f>IFERROR(__xludf.DUMMYFUNCTION("""COMPUTED_VALUE"""),2915.0)</f>
        <v>2915</v>
      </c>
      <c r="F1950" s="1">
        <f>IFERROR(__xludf.DUMMYFUNCTION("""COMPUTED_VALUE"""),156696.0)</f>
        <v>156696</v>
      </c>
    </row>
    <row r="1951">
      <c r="A1951" s="2">
        <f>IFERROR(__xludf.DUMMYFUNCTION("""COMPUTED_VALUE"""),44889.64583333333)</f>
        <v>44889.64583</v>
      </c>
      <c r="B1951" s="1">
        <f>IFERROR(__xludf.DUMMYFUNCTION("""COMPUTED_VALUE"""),2940.0)</f>
        <v>2940</v>
      </c>
      <c r="C1951" s="1">
        <f>IFERROR(__xludf.DUMMYFUNCTION("""COMPUTED_VALUE"""),3045.0)</f>
        <v>3045</v>
      </c>
      <c r="D1951" s="1">
        <f>IFERROR(__xludf.DUMMYFUNCTION("""COMPUTED_VALUE"""),2920.0)</f>
        <v>2920</v>
      </c>
      <c r="E1951" s="1">
        <f>IFERROR(__xludf.DUMMYFUNCTION("""COMPUTED_VALUE"""),3020.0)</f>
        <v>3020</v>
      </c>
      <c r="F1951" s="1">
        <f>IFERROR(__xludf.DUMMYFUNCTION("""COMPUTED_VALUE"""),802715.0)</f>
        <v>802715</v>
      </c>
    </row>
    <row r="1952">
      <c r="A1952" s="2">
        <f>IFERROR(__xludf.DUMMYFUNCTION("""COMPUTED_VALUE"""),44890.64583333333)</f>
        <v>44890.64583</v>
      </c>
      <c r="B1952" s="1">
        <f>IFERROR(__xludf.DUMMYFUNCTION("""COMPUTED_VALUE"""),3025.0)</f>
        <v>3025</v>
      </c>
      <c r="C1952" s="1">
        <f>IFERROR(__xludf.DUMMYFUNCTION("""COMPUTED_VALUE"""),3040.0)</f>
        <v>3040</v>
      </c>
      <c r="D1952" s="1">
        <f>IFERROR(__xludf.DUMMYFUNCTION("""COMPUTED_VALUE"""),2940.0)</f>
        <v>2940</v>
      </c>
      <c r="E1952" s="1">
        <f>IFERROR(__xludf.DUMMYFUNCTION("""COMPUTED_VALUE"""),2980.0)</f>
        <v>2980</v>
      </c>
      <c r="F1952" s="1">
        <f>IFERROR(__xludf.DUMMYFUNCTION("""COMPUTED_VALUE"""),236331.0)</f>
        <v>236331</v>
      </c>
    </row>
    <row r="1953">
      <c r="A1953" s="2">
        <f>IFERROR(__xludf.DUMMYFUNCTION("""COMPUTED_VALUE"""),44893.64583333333)</f>
        <v>44893.64583</v>
      </c>
      <c r="B1953" s="1">
        <f>IFERROR(__xludf.DUMMYFUNCTION("""COMPUTED_VALUE"""),2940.0)</f>
        <v>2940</v>
      </c>
      <c r="C1953" s="1">
        <f>IFERROR(__xludf.DUMMYFUNCTION("""COMPUTED_VALUE"""),2955.0)</f>
        <v>2955</v>
      </c>
      <c r="D1953" s="1">
        <f>IFERROR(__xludf.DUMMYFUNCTION("""COMPUTED_VALUE"""),2870.0)</f>
        <v>2870</v>
      </c>
      <c r="E1953" s="1">
        <f>IFERROR(__xludf.DUMMYFUNCTION("""COMPUTED_VALUE"""),2870.0)</f>
        <v>2870</v>
      </c>
      <c r="F1953" s="1">
        <f>IFERROR(__xludf.DUMMYFUNCTION("""COMPUTED_VALUE"""),235929.0)</f>
        <v>235929</v>
      </c>
    </row>
    <row r="1954">
      <c r="A1954" s="2">
        <f>IFERROR(__xludf.DUMMYFUNCTION("""COMPUTED_VALUE"""),44894.64583333333)</f>
        <v>44894.64583</v>
      </c>
      <c r="B1954" s="1">
        <f>IFERROR(__xludf.DUMMYFUNCTION("""COMPUTED_VALUE"""),2845.0)</f>
        <v>2845</v>
      </c>
      <c r="C1954" s="1">
        <f>IFERROR(__xludf.DUMMYFUNCTION("""COMPUTED_VALUE"""),2905.0)</f>
        <v>2905</v>
      </c>
      <c r="D1954" s="1">
        <f>IFERROR(__xludf.DUMMYFUNCTION("""COMPUTED_VALUE"""),2820.0)</f>
        <v>2820</v>
      </c>
      <c r="E1954" s="1">
        <f>IFERROR(__xludf.DUMMYFUNCTION("""COMPUTED_VALUE"""),2870.0)</f>
        <v>2870</v>
      </c>
      <c r="F1954" s="1">
        <f>IFERROR(__xludf.DUMMYFUNCTION("""COMPUTED_VALUE"""),134660.0)</f>
        <v>134660</v>
      </c>
    </row>
    <row r="1955">
      <c r="A1955" s="2">
        <f>IFERROR(__xludf.DUMMYFUNCTION("""COMPUTED_VALUE"""),44895.64583333333)</f>
        <v>44895.64583</v>
      </c>
      <c r="B1955" s="1">
        <f>IFERROR(__xludf.DUMMYFUNCTION("""COMPUTED_VALUE"""),2875.0)</f>
        <v>2875</v>
      </c>
      <c r="C1955" s="1">
        <f>IFERROR(__xludf.DUMMYFUNCTION("""COMPUTED_VALUE"""),2910.0)</f>
        <v>2910</v>
      </c>
      <c r="D1955" s="1">
        <f>IFERROR(__xludf.DUMMYFUNCTION("""COMPUTED_VALUE"""),2870.0)</f>
        <v>2870</v>
      </c>
      <c r="E1955" s="1">
        <f>IFERROR(__xludf.DUMMYFUNCTION("""COMPUTED_VALUE"""),2905.0)</f>
        <v>2905</v>
      </c>
      <c r="F1955" s="1">
        <f>IFERROR(__xludf.DUMMYFUNCTION("""COMPUTED_VALUE"""),93932.0)</f>
        <v>93932</v>
      </c>
    </row>
    <row r="1956">
      <c r="A1956" s="2">
        <f>IFERROR(__xludf.DUMMYFUNCTION("""COMPUTED_VALUE"""),44896.64583333333)</f>
        <v>44896.64583</v>
      </c>
      <c r="B1956" s="1">
        <f>IFERROR(__xludf.DUMMYFUNCTION("""COMPUTED_VALUE"""),2935.0)</f>
        <v>2935</v>
      </c>
      <c r="C1956" s="1">
        <f>IFERROR(__xludf.DUMMYFUNCTION("""COMPUTED_VALUE"""),2990.0)</f>
        <v>2990</v>
      </c>
      <c r="D1956" s="1">
        <f>IFERROR(__xludf.DUMMYFUNCTION("""COMPUTED_VALUE"""),2930.0)</f>
        <v>2930</v>
      </c>
      <c r="E1956" s="1">
        <f>IFERROR(__xludf.DUMMYFUNCTION("""COMPUTED_VALUE"""),2955.0)</f>
        <v>2955</v>
      </c>
      <c r="F1956" s="1">
        <f>IFERROR(__xludf.DUMMYFUNCTION("""COMPUTED_VALUE"""),203937.0)</f>
        <v>203937</v>
      </c>
    </row>
    <row r="1957">
      <c r="A1957" s="2">
        <f>IFERROR(__xludf.DUMMYFUNCTION("""COMPUTED_VALUE"""),44897.64583333333)</f>
        <v>44897.64583</v>
      </c>
      <c r="B1957" s="1">
        <f>IFERROR(__xludf.DUMMYFUNCTION("""COMPUTED_VALUE"""),2965.0)</f>
        <v>2965</v>
      </c>
      <c r="C1957" s="1">
        <f>IFERROR(__xludf.DUMMYFUNCTION("""COMPUTED_VALUE"""),2980.0)</f>
        <v>2980</v>
      </c>
      <c r="D1957" s="1">
        <f>IFERROR(__xludf.DUMMYFUNCTION("""COMPUTED_VALUE"""),2910.0)</f>
        <v>2910</v>
      </c>
      <c r="E1957" s="1">
        <f>IFERROR(__xludf.DUMMYFUNCTION("""COMPUTED_VALUE"""),2970.0)</f>
        <v>2970</v>
      </c>
      <c r="F1957" s="1">
        <f>IFERROR(__xludf.DUMMYFUNCTION("""COMPUTED_VALUE"""),164609.0)</f>
        <v>164609</v>
      </c>
    </row>
    <row r="1958">
      <c r="A1958" s="2">
        <f>IFERROR(__xludf.DUMMYFUNCTION("""COMPUTED_VALUE"""),44900.64583333333)</f>
        <v>44900.64583</v>
      </c>
      <c r="B1958" s="1">
        <f>IFERROR(__xludf.DUMMYFUNCTION("""COMPUTED_VALUE"""),2980.0)</f>
        <v>2980</v>
      </c>
      <c r="C1958" s="1">
        <f>IFERROR(__xludf.DUMMYFUNCTION("""COMPUTED_VALUE"""),2990.0)</f>
        <v>2990</v>
      </c>
      <c r="D1958" s="1">
        <f>IFERROR(__xludf.DUMMYFUNCTION("""COMPUTED_VALUE"""),2950.0)</f>
        <v>2950</v>
      </c>
      <c r="E1958" s="1">
        <f>IFERROR(__xludf.DUMMYFUNCTION("""COMPUTED_VALUE"""),2985.0)</f>
        <v>2985</v>
      </c>
      <c r="F1958" s="1">
        <f>IFERROR(__xludf.DUMMYFUNCTION("""COMPUTED_VALUE"""),182636.0)</f>
        <v>182636</v>
      </c>
    </row>
    <row r="1959">
      <c r="A1959" s="2">
        <f>IFERROR(__xludf.DUMMYFUNCTION("""COMPUTED_VALUE"""),44901.64583333333)</f>
        <v>44901.64583</v>
      </c>
      <c r="B1959" s="1">
        <f>IFERROR(__xludf.DUMMYFUNCTION("""COMPUTED_VALUE"""),2970.0)</f>
        <v>2970</v>
      </c>
      <c r="C1959" s="1">
        <f>IFERROR(__xludf.DUMMYFUNCTION("""COMPUTED_VALUE"""),3120.0)</f>
        <v>3120</v>
      </c>
      <c r="D1959" s="1">
        <f>IFERROR(__xludf.DUMMYFUNCTION("""COMPUTED_VALUE"""),2955.0)</f>
        <v>2955</v>
      </c>
      <c r="E1959" s="1">
        <f>IFERROR(__xludf.DUMMYFUNCTION("""COMPUTED_VALUE"""),3010.0)</f>
        <v>3010</v>
      </c>
      <c r="F1959" s="1">
        <f>IFERROR(__xludf.DUMMYFUNCTION("""COMPUTED_VALUE"""),1542644.0)</f>
        <v>1542644</v>
      </c>
    </row>
    <row r="1960">
      <c r="A1960" s="2">
        <f>IFERROR(__xludf.DUMMYFUNCTION("""COMPUTED_VALUE"""),44902.64583333333)</f>
        <v>44902.64583</v>
      </c>
      <c r="B1960" s="1">
        <f>IFERROR(__xludf.DUMMYFUNCTION("""COMPUTED_VALUE"""),2995.0)</f>
        <v>2995</v>
      </c>
      <c r="C1960" s="1">
        <f>IFERROR(__xludf.DUMMYFUNCTION("""COMPUTED_VALUE"""),2995.0)</f>
        <v>2995</v>
      </c>
      <c r="D1960" s="1">
        <f>IFERROR(__xludf.DUMMYFUNCTION("""COMPUTED_VALUE"""),2870.0)</f>
        <v>2870</v>
      </c>
      <c r="E1960" s="1">
        <f>IFERROR(__xludf.DUMMYFUNCTION("""COMPUTED_VALUE"""),2950.0)</f>
        <v>2950</v>
      </c>
      <c r="F1960" s="1">
        <f>IFERROR(__xludf.DUMMYFUNCTION("""COMPUTED_VALUE"""),390687.0)</f>
        <v>390687</v>
      </c>
    </row>
    <row r="1961">
      <c r="A1961" s="2">
        <f>IFERROR(__xludf.DUMMYFUNCTION("""COMPUTED_VALUE"""),44903.64583333333)</f>
        <v>44903.64583</v>
      </c>
      <c r="B1961" s="1">
        <f>IFERROR(__xludf.DUMMYFUNCTION("""COMPUTED_VALUE"""),2900.0)</f>
        <v>2900</v>
      </c>
      <c r="C1961" s="1">
        <f>IFERROR(__xludf.DUMMYFUNCTION("""COMPUTED_VALUE"""),2930.0)</f>
        <v>2930</v>
      </c>
      <c r="D1961" s="1">
        <f>IFERROR(__xludf.DUMMYFUNCTION("""COMPUTED_VALUE"""),2825.0)</f>
        <v>2825</v>
      </c>
      <c r="E1961" s="1">
        <f>IFERROR(__xludf.DUMMYFUNCTION("""COMPUTED_VALUE"""),2865.0)</f>
        <v>2865</v>
      </c>
      <c r="F1961" s="1">
        <f>IFERROR(__xludf.DUMMYFUNCTION("""COMPUTED_VALUE"""),345339.0)</f>
        <v>345339</v>
      </c>
    </row>
    <row r="1962">
      <c r="A1962" s="2">
        <f>IFERROR(__xludf.DUMMYFUNCTION("""COMPUTED_VALUE"""),44904.64583333333)</f>
        <v>44904.64583</v>
      </c>
      <c r="B1962" s="1">
        <f>IFERROR(__xludf.DUMMYFUNCTION("""COMPUTED_VALUE"""),2955.0)</f>
        <v>2955</v>
      </c>
      <c r="C1962" s="1">
        <f>IFERROR(__xludf.DUMMYFUNCTION("""COMPUTED_VALUE"""),2970.0)</f>
        <v>2970</v>
      </c>
      <c r="D1962" s="1">
        <f>IFERROR(__xludf.DUMMYFUNCTION("""COMPUTED_VALUE"""),2850.0)</f>
        <v>2850</v>
      </c>
      <c r="E1962" s="1">
        <f>IFERROR(__xludf.DUMMYFUNCTION("""COMPUTED_VALUE"""),2880.0)</f>
        <v>2880</v>
      </c>
      <c r="F1962" s="1">
        <f>IFERROR(__xludf.DUMMYFUNCTION("""COMPUTED_VALUE"""),283447.0)</f>
        <v>283447</v>
      </c>
    </row>
    <row r="1963">
      <c r="A1963" s="2">
        <f>IFERROR(__xludf.DUMMYFUNCTION("""COMPUTED_VALUE"""),44907.64583333333)</f>
        <v>44907.64583</v>
      </c>
      <c r="B1963" s="1">
        <f>IFERROR(__xludf.DUMMYFUNCTION("""COMPUTED_VALUE"""),2875.0)</f>
        <v>2875</v>
      </c>
      <c r="C1963" s="1">
        <f>IFERROR(__xludf.DUMMYFUNCTION("""COMPUTED_VALUE"""),2925.0)</f>
        <v>2925</v>
      </c>
      <c r="D1963" s="1">
        <f>IFERROR(__xludf.DUMMYFUNCTION("""COMPUTED_VALUE"""),2845.0)</f>
        <v>2845</v>
      </c>
      <c r="E1963" s="1">
        <f>IFERROR(__xludf.DUMMYFUNCTION("""COMPUTED_VALUE"""),2925.0)</f>
        <v>2925</v>
      </c>
      <c r="F1963" s="1">
        <f>IFERROR(__xludf.DUMMYFUNCTION("""COMPUTED_VALUE"""),81303.0)</f>
        <v>81303</v>
      </c>
    </row>
    <row r="1964">
      <c r="A1964" s="2">
        <f>IFERROR(__xludf.DUMMYFUNCTION("""COMPUTED_VALUE"""),44908.64583333333)</f>
        <v>44908.64583</v>
      </c>
      <c r="B1964" s="1">
        <f>IFERROR(__xludf.DUMMYFUNCTION("""COMPUTED_VALUE"""),2925.0)</f>
        <v>2925</v>
      </c>
      <c r="C1964" s="1">
        <f>IFERROR(__xludf.DUMMYFUNCTION("""COMPUTED_VALUE"""),2925.0)</f>
        <v>2925</v>
      </c>
      <c r="D1964" s="1">
        <f>IFERROR(__xludf.DUMMYFUNCTION("""COMPUTED_VALUE"""),2850.0)</f>
        <v>2850</v>
      </c>
      <c r="E1964" s="1">
        <f>IFERROR(__xludf.DUMMYFUNCTION("""COMPUTED_VALUE"""),2870.0)</f>
        <v>2870</v>
      </c>
      <c r="F1964" s="1">
        <f>IFERROR(__xludf.DUMMYFUNCTION("""COMPUTED_VALUE"""),155814.0)</f>
        <v>155814</v>
      </c>
    </row>
    <row r="1965">
      <c r="A1965" s="2">
        <f>IFERROR(__xludf.DUMMYFUNCTION("""COMPUTED_VALUE"""),44909.64583333333)</f>
        <v>44909.64583</v>
      </c>
      <c r="B1965" s="1">
        <f>IFERROR(__xludf.DUMMYFUNCTION("""COMPUTED_VALUE"""),2875.0)</f>
        <v>2875</v>
      </c>
      <c r="C1965" s="1">
        <f>IFERROR(__xludf.DUMMYFUNCTION("""COMPUTED_VALUE"""),2915.0)</f>
        <v>2915</v>
      </c>
      <c r="D1965" s="1">
        <f>IFERROR(__xludf.DUMMYFUNCTION("""COMPUTED_VALUE"""),2870.0)</f>
        <v>2870</v>
      </c>
      <c r="E1965" s="1">
        <f>IFERROR(__xludf.DUMMYFUNCTION("""COMPUTED_VALUE"""),2915.0)</f>
        <v>2915</v>
      </c>
      <c r="F1965" s="1">
        <f>IFERROR(__xludf.DUMMYFUNCTION("""COMPUTED_VALUE"""),118917.0)</f>
        <v>118917</v>
      </c>
    </row>
    <row r="1966">
      <c r="A1966" s="2">
        <f>IFERROR(__xludf.DUMMYFUNCTION("""COMPUTED_VALUE"""),44910.64583333333)</f>
        <v>44910.64583</v>
      </c>
      <c r="B1966" s="1">
        <f>IFERROR(__xludf.DUMMYFUNCTION("""COMPUTED_VALUE"""),2880.0)</f>
        <v>2880</v>
      </c>
      <c r="C1966" s="1">
        <f>IFERROR(__xludf.DUMMYFUNCTION("""COMPUTED_VALUE"""),2920.0)</f>
        <v>2920</v>
      </c>
      <c r="D1966" s="1">
        <f>IFERROR(__xludf.DUMMYFUNCTION("""COMPUTED_VALUE"""),2865.0)</f>
        <v>2865</v>
      </c>
      <c r="E1966" s="1">
        <f>IFERROR(__xludf.DUMMYFUNCTION("""COMPUTED_VALUE"""),2900.0)</f>
        <v>2900</v>
      </c>
      <c r="F1966" s="1">
        <f>IFERROR(__xludf.DUMMYFUNCTION("""COMPUTED_VALUE"""),95630.0)</f>
        <v>95630</v>
      </c>
    </row>
    <row r="1967">
      <c r="A1967" s="2">
        <f>IFERROR(__xludf.DUMMYFUNCTION("""COMPUTED_VALUE"""),44911.64583333333)</f>
        <v>44911.64583</v>
      </c>
      <c r="B1967" s="1">
        <f>IFERROR(__xludf.DUMMYFUNCTION("""COMPUTED_VALUE"""),2860.0)</f>
        <v>2860</v>
      </c>
      <c r="C1967" s="1">
        <f>IFERROR(__xludf.DUMMYFUNCTION("""COMPUTED_VALUE"""),2870.0)</f>
        <v>2870</v>
      </c>
      <c r="D1967" s="1">
        <f>IFERROR(__xludf.DUMMYFUNCTION("""COMPUTED_VALUE"""),2670.0)</f>
        <v>2670</v>
      </c>
      <c r="E1967" s="1">
        <f>IFERROR(__xludf.DUMMYFUNCTION("""COMPUTED_VALUE"""),2850.0)</f>
        <v>2850</v>
      </c>
      <c r="F1967" s="1">
        <f>IFERROR(__xludf.DUMMYFUNCTION("""COMPUTED_VALUE"""),151763.0)</f>
        <v>151763</v>
      </c>
    </row>
    <row r="1968">
      <c r="A1968" s="2">
        <f>IFERROR(__xludf.DUMMYFUNCTION("""COMPUTED_VALUE"""),44914.64583333333)</f>
        <v>44914.64583</v>
      </c>
      <c r="B1968" s="1">
        <f>IFERROR(__xludf.DUMMYFUNCTION("""COMPUTED_VALUE"""),2830.0)</f>
        <v>2830</v>
      </c>
      <c r="C1968" s="1">
        <f>IFERROR(__xludf.DUMMYFUNCTION("""COMPUTED_VALUE"""),2860.0)</f>
        <v>2860</v>
      </c>
      <c r="D1968" s="1">
        <f>IFERROR(__xludf.DUMMYFUNCTION("""COMPUTED_VALUE"""),2800.0)</f>
        <v>2800</v>
      </c>
      <c r="E1968" s="1">
        <f>IFERROR(__xludf.DUMMYFUNCTION("""COMPUTED_VALUE"""),2850.0)</f>
        <v>2850</v>
      </c>
      <c r="F1968" s="1">
        <f>IFERROR(__xludf.DUMMYFUNCTION("""COMPUTED_VALUE"""),88944.0)</f>
        <v>88944</v>
      </c>
    </row>
    <row r="1969">
      <c r="A1969" s="2">
        <f>IFERROR(__xludf.DUMMYFUNCTION("""COMPUTED_VALUE"""),44915.64583333333)</f>
        <v>44915.64583</v>
      </c>
      <c r="B1969" s="1">
        <f>IFERROR(__xludf.DUMMYFUNCTION("""COMPUTED_VALUE"""),2815.0)</f>
        <v>2815</v>
      </c>
      <c r="C1969" s="1">
        <f>IFERROR(__xludf.DUMMYFUNCTION("""COMPUTED_VALUE"""),2845.0)</f>
        <v>2845</v>
      </c>
      <c r="D1969" s="1">
        <f>IFERROR(__xludf.DUMMYFUNCTION("""COMPUTED_VALUE"""),2730.0)</f>
        <v>2730</v>
      </c>
      <c r="E1969" s="1">
        <f>IFERROR(__xludf.DUMMYFUNCTION("""COMPUTED_VALUE"""),2760.0)</f>
        <v>2760</v>
      </c>
      <c r="F1969" s="1">
        <f>IFERROR(__xludf.DUMMYFUNCTION("""COMPUTED_VALUE"""),128827.0)</f>
        <v>128827</v>
      </c>
    </row>
    <row r="1970">
      <c r="A1970" s="2">
        <f>IFERROR(__xludf.DUMMYFUNCTION("""COMPUTED_VALUE"""),44916.64583333333)</f>
        <v>44916.64583</v>
      </c>
      <c r="B1970" s="1">
        <f>IFERROR(__xludf.DUMMYFUNCTION("""COMPUTED_VALUE"""),2765.0)</f>
        <v>2765</v>
      </c>
      <c r="C1970" s="1">
        <f>IFERROR(__xludf.DUMMYFUNCTION("""COMPUTED_VALUE"""),2790.0)</f>
        <v>2790</v>
      </c>
      <c r="D1970" s="1">
        <f>IFERROR(__xludf.DUMMYFUNCTION("""COMPUTED_VALUE"""),2700.0)</f>
        <v>2700</v>
      </c>
      <c r="E1970" s="1">
        <f>IFERROR(__xludf.DUMMYFUNCTION("""COMPUTED_VALUE"""),2745.0)</f>
        <v>2745</v>
      </c>
      <c r="F1970" s="1">
        <f>IFERROR(__xludf.DUMMYFUNCTION("""COMPUTED_VALUE"""),106472.0)</f>
        <v>106472</v>
      </c>
    </row>
    <row r="1971">
      <c r="A1971" s="2">
        <f>IFERROR(__xludf.DUMMYFUNCTION("""COMPUTED_VALUE"""),44917.64583333333)</f>
        <v>44917.64583</v>
      </c>
      <c r="B1971" s="1">
        <f>IFERROR(__xludf.DUMMYFUNCTION("""COMPUTED_VALUE"""),2750.0)</f>
        <v>2750</v>
      </c>
      <c r="C1971" s="1">
        <f>IFERROR(__xludf.DUMMYFUNCTION("""COMPUTED_VALUE"""),2795.0)</f>
        <v>2795</v>
      </c>
      <c r="D1971" s="1">
        <f>IFERROR(__xludf.DUMMYFUNCTION("""COMPUTED_VALUE"""),2710.0)</f>
        <v>2710</v>
      </c>
      <c r="E1971" s="1">
        <f>IFERROR(__xludf.DUMMYFUNCTION("""COMPUTED_VALUE"""),2785.0)</f>
        <v>2785</v>
      </c>
      <c r="F1971" s="1">
        <f>IFERROR(__xludf.DUMMYFUNCTION("""COMPUTED_VALUE"""),185732.0)</f>
        <v>185732</v>
      </c>
    </row>
    <row r="1972">
      <c r="A1972" s="2">
        <f>IFERROR(__xludf.DUMMYFUNCTION("""COMPUTED_VALUE"""),44918.64583333333)</f>
        <v>44918.64583</v>
      </c>
      <c r="B1972" s="1">
        <f>IFERROR(__xludf.DUMMYFUNCTION("""COMPUTED_VALUE"""),2735.0)</f>
        <v>2735</v>
      </c>
      <c r="C1972" s="1">
        <f>IFERROR(__xludf.DUMMYFUNCTION("""COMPUTED_VALUE"""),2760.0)</f>
        <v>2760</v>
      </c>
      <c r="D1972" s="1">
        <f>IFERROR(__xludf.DUMMYFUNCTION("""COMPUTED_VALUE"""),2645.0)</f>
        <v>2645</v>
      </c>
      <c r="E1972" s="1">
        <f>IFERROR(__xludf.DUMMYFUNCTION("""COMPUTED_VALUE"""),2690.0)</f>
        <v>2690</v>
      </c>
      <c r="F1972" s="1">
        <f>IFERROR(__xludf.DUMMYFUNCTION("""COMPUTED_VALUE"""),152368.0)</f>
        <v>152368</v>
      </c>
    </row>
    <row r="1973">
      <c r="A1973" s="2">
        <f>IFERROR(__xludf.DUMMYFUNCTION("""COMPUTED_VALUE"""),44921.64583333333)</f>
        <v>44921.64583</v>
      </c>
      <c r="B1973" s="1">
        <f>IFERROR(__xludf.DUMMYFUNCTION("""COMPUTED_VALUE"""),2640.0)</f>
        <v>2640</v>
      </c>
      <c r="C1973" s="1">
        <f>IFERROR(__xludf.DUMMYFUNCTION("""COMPUTED_VALUE"""),2900.0)</f>
        <v>2900</v>
      </c>
      <c r="D1973" s="1">
        <f>IFERROR(__xludf.DUMMYFUNCTION("""COMPUTED_VALUE"""),2630.0)</f>
        <v>2630</v>
      </c>
      <c r="E1973" s="1">
        <f>IFERROR(__xludf.DUMMYFUNCTION("""COMPUTED_VALUE"""),2700.0)</f>
        <v>2700</v>
      </c>
      <c r="F1973" s="1">
        <f>IFERROR(__xludf.DUMMYFUNCTION("""COMPUTED_VALUE"""),1362996.0)</f>
        <v>1362996</v>
      </c>
    </row>
    <row r="1974">
      <c r="A1974" s="2">
        <f>IFERROR(__xludf.DUMMYFUNCTION("""COMPUTED_VALUE"""),44922.64583333333)</f>
        <v>44922.64583</v>
      </c>
      <c r="B1974" s="1">
        <f>IFERROR(__xludf.DUMMYFUNCTION("""COMPUTED_VALUE"""),2675.0)</f>
        <v>2675</v>
      </c>
      <c r="C1974" s="1">
        <f>IFERROR(__xludf.DUMMYFUNCTION("""COMPUTED_VALUE"""),2715.0)</f>
        <v>2715</v>
      </c>
      <c r="D1974" s="1">
        <f>IFERROR(__xludf.DUMMYFUNCTION("""COMPUTED_VALUE"""),2650.0)</f>
        <v>2650</v>
      </c>
      <c r="E1974" s="1">
        <f>IFERROR(__xludf.DUMMYFUNCTION("""COMPUTED_VALUE"""),2675.0)</f>
        <v>2675</v>
      </c>
      <c r="F1974" s="1">
        <f>IFERROR(__xludf.DUMMYFUNCTION("""COMPUTED_VALUE"""),133732.0)</f>
        <v>133732</v>
      </c>
    </row>
    <row r="1975">
      <c r="A1975" s="2">
        <f>IFERROR(__xludf.DUMMYFUNCTION("""COMPUTED_VALUE"""),44923.64583333333)</f>
        <v>44923.64583</v>
      </c>
      <c r="B1975" s="1">
        <f>IFERROR(__xludf.DUMMYFUNCTION("""COMPUTED_VALUE"""),2665.0)</f>
        <v>2665</v>
      </c>
      <c r="C1975" s="1">
        <f>IFERROR(__xludf.DUMMYFUNCTION("""COMPUTED_VALUE"""),2810.0)</f>
        <v>2810</v>
      </c>
      <c r="D1975" s="1">
        <f>IFERROR(__xludf.DUMMYFUNCTION("""COMPUTED_VALUE"""),2665.0)</f>
        <v>2665</v>
      </c>
      <c r="E1975" s="1">
        <f>IFERROR(__xludf.DUMMYFUNCTION("""COMPUTED_VALUE"""),2810.0)</f>
        <v>2810</v>
      </c>
      <c r="F1975" s="1">
        <f>IFERROR(__xludf.DUMMYFUNCTION("""COMPUTED_VALUE"""),302970.0)</f>
        <v>302970</v>
      </c>
    </row>
    <row r="1976">
      <c r="A1976" s="2">
        <f>IFERROR(__xludf.DUMMYFUNCTION("""COMPUTED_VALUE"""),44924.64583333333)</f>
        <v>44924.64583</v>
      </c>
      <c r="B1976" s="1">
        <f>IFERROR(__xludf.DUMMYFUNCTION("""COMPUTED_VALUE"""),2785.0)</f>
        <v>2785</v>
      </c>
      <c r="C1976" s="1">
        <f>IFERROR(__xludf.DUMMYFUNCTION("""COMPUTED_VALUE"""),2785.0)</f>
        <v>2785</v>
      </c>
      <c r="D1976" s="1">
        <f>IFERROR(__xludf.DUMMYFUNCTION("""COMPUTED_VALUE"""),2720.0)</f>
        <v>2720</v>
      </c>
      <c r="E1976" s="1">
        <f>IFERROR(__xludf.DUMMYFUNCTION("""COMPUTED_VALUE"""),2750.0)</f>
        <v>2750</v>
      </c>
      <c r="F1976" s="1">
        <f>IFERROR(__xludf.DUMMYFUNCTION("""COMPUTED_VALUE"""),203044.0)</f>
        <v>203044</v>
      </c>
    </row>
    <row r="1977">
      <c r="A1977" s="2">
        <f>IFERROR(__xludf.DUMMYFUNCTION("""COMPUTED_VALUE"""),44928.64583333333)</f>
        <v>44928.64583</v>
      </c>
      <c r="B1977" s="1">
        <f>IFERROR(__xludf.DUMMYFUNCTION("""COMPUTED_VALUE"""),2735.0)</f>
        <v>2735</v>
      </c>
      <c r="C1977" s="1">
        <f>IFERROR(__xludf.DUMMYFUNCTION("""COMPUTED_VALUE"""),2765.0)</f>
        <v>2765</v>
      </c>
      <c r="D1977" s="1">
        <f>IFERROR(__xludf.DUMMYFUNCTION("""COMPUTED_VALUE"""),2640.0)</f>
        <v>2640</v>
      </c>
      <c r="E1977" s="1">
        <f>IFERROR(__xludf.DUMMYFUNCTION("""COMPUTED_VALUE"""),2685.0)</f>
        <v>2685</v>
      </c>
      <c r="F1977" s="1">
        <f>IFERROR(__xludf.DUMMYFUNCTION("""COMPUTED_VALUE"""),177397.0)</f>
        <v>177397</v>
      </c>
    </row>
    <row r="1978">
      <c r="A1978" s="2">
        <f>IFERROR(__xludf.DUMMYFUNCTION("""COMPUTED_VALUE"""),44929.64583333333)</f>
        <v>44929.64583</v>
      </c>
      <c r="B1978" s="1">
        <f>IFERROR(__xludf.DUMMYFUNCTION("""COMPUTED_VALUE"""),2625.0)</f>
        <v>2625</v>
      </c>
      <c r="C1978" s="1">
        <f>IFERROR(__xludf.DUMMYFUNCTION("""COMPUTED_VALUE"""),2780.0)</f>
        <v>2780</v>
      </c>
      <c r="D1978" s="1">
        <f>IFERROR(__xludf.DUMMYFUNCTION("""COMPUTED_VALUE"""),2600.0)</f>
        <v>2600</v>
      </c>
      <c r="E1978" s="1">
        <f>IFERROR(__xludf.DUMMYFUNCTION("""COMPUTED_VALUE"""),2655.0)</f>
        <v>2655</v>
      </c>
      <c r="F1978" s="1">
        <f>IFERROR(__xludf.DUMMYFUNCTION("""COMPUTED_VALUE"""),367981.0)</f>
        <v>367981</v>
      </c>
    </row>
    <row r="1979">
      <c r="A1979" s="2">
        <f>IFERROR(__xludf.DUMMYFUNCTION("""COMPUTED_VALUE"""),44930.64583333333)</f>
        <v>44930.64583</v>
      </c>
      <c r="B1979" s="1">
        <f>IFERROR(__xludf.DUMMYFUNCTION("""COMPUTED_VALUE"""),2630.0)</f>
        <v>2630</v>
      </c>
      <c r="C1979" s="1">
        <f>IFERROR(__xludf.DUMMYFUNCTION("""COMPUTED_VALUE"""),2715.0)</f>
        <v>2715</v>
      </c>
      <c r="D1979" s="1">
        <f>IFERROR(__xludf.DUMMYFUNCTION("""COMPUTED_VALUE"""),2630.0)</f>
        <v>2630</v>
      </c>
      <c r="E1979" s="1">
        <f>IFERROR(__xludf.DUMMYFUNCTION("""COMPUTED_VALUE"""),2710.0)</f>
        <v>2710</v>
      </c>
      <c r="F1979" s="1">
        <f>IFERROR(__xludf.DUMMYFUNCTION("""COMPUTED_VALUE"""),165685.0)</f>
        <v>165685</v>
      </c>
    </row>
    <row r="1980">
      <c r="A1980" s="2">
        <f>IFERROR(__xludf.DUMMYFUNCTION("""COMPUTED_VALUE"""),44931.64583333333)</f>
        <v>44931.64583</v>
      </c>
      <c r="B1980" s="1">
        <f>IFERROR(__xludf.DUMMYFUNCTION("""COMPUTED_VALUE"""),2695.0)</f>
        <v>2695</v>
      </c>
      <c r="C1980" s="1">
        <f>IFERROR(__xludf.DUMMYFUNCTION("""COMPUTED_VALUE"""),2920.0)</f>
        <v>2920</v>
      </c>
      <c r="D1980" s="1">
        <f>IFERROR(__xludf.DUMMYFUNCTION("""COMPUTED_VALUE"""),2695.0)</f>
        <v>2695</v>
      </c>
      <c r="E1980" s="1">
        <f>IFERROR(__xludf.DUMMYFUNCTION("""COMPUTED_VALUE"""),2805.0)</f>
        <v>2805</v>
      </c>
      <c r="F1980" s="1">
        <f>IFERROR(__xludf.DUMMYFUNCTION("""COMPUTED_VALUE"""),1317717.0)</f>
        <v>1317717</v>
      </c>
    </row>
    <row r="1981">
      <c r="A1981" s="2">
        <f>IFERROR(__xludf.DUMMYFUNCTION("""COMPUTED_VALUE"""),44932.64583333333)</f>
        <v>44932.64583</v>
      </c>
      <c r="B1981" s="1">
        <f>IFERROR(__xludf.DUMMYFUNCTION("""COMPUTED_VALUE"""),2790.0)</f>
        <v>2790</v>
      </c>
      <c r="C1981" s="1">
        <f>IFERROR(__xludf.DUMMYFUNCTION("""COMPUTED_VALUE"""),2945.0)</f>
        <v>2945</v>
      </c>
      <c r="D1981" s="1">
        <f>IFERROR(__xludf.DUMMYFUNCTION("""COMPUTED_VALUE"""),2740.0)</f>
        <v>2740</v>
      </c>
      <c r="E1981" s="1">
        <f>IFERROR(__xludf.DUMMYFUNCTION("""COMPUTED_VALUE"""),2850.0)</f>
        <v>2850</v>
      </c>
      <c r="F1981" s="1">
        <f>IFERROR(__xludf.DUMMYFUNCTION("""COMPUTED_VALUE"""),1012629.0)</f>
        <v>1012629</v>
      </c>
    </row>
    <row r="1982">
      <c r="A1982" s="2">
        <f>IFERROR(__xludf.DUMMYFUNCTION("""COMPUTED_VALUE"""),44935.64583333333)</f>
        <v>44935.64583</v>
      </c>
      <c r="B1982" s="1">
        <f>IFERROR(__xludf.DUMMYFUNCTION("""COMPUTED_VALUE"""),2840.0)</f>
        <v>2840</v>
      </c>
      <c r="C1982" s="1">
        <f>IFERROR(__xludf.DUMMYFUNCTION("""COMPUTED_VALUE"""),2895.0)</f>
        <v>2895</v>
      </c>
      <c r="D1982" s="1">
        <f>IFERROR(__xludf.DUMMYFUNCTION("""COMPUTED_VALUE"""),2840.0)</f>
        <v>2840</v>
      </c>
      <c r="E1982" s="1">
        <f>IFERROR(__xludf.DUMMYFUNCTION("""COMPUTED_VALUE"""),2855.0)</f>
        <v>2855</v>
      </c>
      <c r="F1982" s="1">
        <f>IFERROR(__xludf.DUMMYFUNCTION("""COMPUTED_VALUE"""),252852.0)</f>
        <v>252852</v>
      </c>
    </row>
    <row r="1983">
      <c r="A1983" s="2">
        <f>IFERROR(__xludf.DUMMYFUNCTION("""COMPUTED_VALUE"""),44936.64583333333)</f>
        <v>44936.64583</v>
      </c>
      <c r="B1983" s="1">
        <f>IFERROR(__xludf.DUMMYFUNCTION("""COMPUTED_VALUE"""),2870.0)</f>
        <v>2870</v>
      </c>
      <c r="C1983" s="1">
        <f>IFERROR(__xludf.DUMMYFUNCTION("""COMPUTED_VALUE"""),2970.0)</f>
        <v>2970</v>
      </c>
      <c r="D1983" s="1">
        <f>IFERROR(__xludf.DUMMYFUNCTION("""COMPUTED_VALUE"""),2840.0)</f>
        <v>2840</v>
      </c>
      <c r="E1983" s="1">
        <f>IFERROR(__xludf.DUMMYFUNCTION("""COMPUTED_VALUE"""),2955.0)</f>
        <v>2955</v>
      </c>
      <c r="F1983" s="1">
        <f>IFERROR(__xludf.DUMMYFUNCTION("""COMPUTED_VALUE"""),1510276.0)</f>
        <v>1510276</v>
      </c>
    </row>
    <row r="1984">
      <c r="A1984" s="2">
        <f>IFERROR(__xludf.DUMMYFUNCTION("""COMPUTED_VALUE"""),44937.64583333333)</f>
        <v>44937.64583</v>
      </c>
      <c r="B1984" s="1">
        <f>IFERROR(__xludf.DUMMYFUNCTION("""COMPUTED_VALUE"""),2955.0)</f>
        <v>2955</v>
      </c>
      <c r="C1984" s="1">
        <f>IFERROR(__xludf.DUMMYFUNCTION("""COMPUTED_VALUE"""),3055.0)</f>
        <v>3055</v>
      </c>
      <c r="D1984" s="1">
        <f>IFERROR(__xludf.DUMMYFUNCTION("""COMPUTED_VALUE"""),2910.0)</f>
        <v>2910</v>
      </c>
      <c r="E1984" s="1">
        <f>IFERROR(__xludf.DUMMYFUNCTION("""COMPUTED_VALUE"""),3045.0)</f>
        <v>3045</v>
      </c>
      <c r="F1984" s="1">
        <f>IFERROR(__xludf.DUMMYFUNCTION("""COMPUTED_VALUE"""),1514780.0)</f>
        <v>1514780</v>
      </c>
    </row>
    <row r="1985">
      <c r="A1985" s="2">
        <f>IFERROR(__xludf.DUMMYFUNCTION("""COMPUTED_VALUE"""),44938.64583333333)</f>
        <v>44938.64583</v>
      </c>
      <c r="B1985" s="1">
        <f>IFERROR(__xludf.DUMMYFUNCTION("""COMPUTED_VALUE"""),3165.0)</f>
        <v>3165</v>
      </c>
      <c r="C1985" s="1">
        <f>IFERROR(__xludf.DUMMYFUNCTION("""COMPUTED_VALUE"""),3170.0)</f>
        <v>3170</v>
      </c>
      <c r="D1985" s="1">
        <f>IFERROR(__xludf.DUMMYFUNCTION("""COMPUTED_VALUE"""),2910.0)</f>
        <v>2910</v>
      </c>
      <c r="E1985" s="1">
        <f>IFERROR(__xludf.DUMMYFUNCTION("""COMPUTED_VALUE"""),2935.0)</f>
        <v>2935</v>
      </c>
      <c r="F1985" s="1">
        <f>IFERROR(__xludf.DUMMYFUNCTION("""COMPUTED_VALUE"""),1718231.0)</f>
        <v>1718231</v>
      </c>
    </row>
    <row r="1986">
      <c r="A1986" s="2">
        <f>IFERROR(__xludf.DUMMYFUNCTION("""COMPUTED_VALUE"""),44939.64583333333)</f>
        <v>44939.64583</v>
      </c>
      <c r="B1986" s="1">
        <f>IFERROR(__xludf.DUMMYFUNCTION("""COMPUTED_VALUE"""),2925.0)</f>
        <v>2925</v>
      </c>
      <c r="C1986" s="1">
        <f>IFERROR(__xludf.DUMMYFUNCTION("""COMPUTED_VALUE"""),2980.0)</f>
        <v>2980</v>
      </c>
      <c r="D1986" s="1">
        <f>IFERROR(__xludf.DUMMYFUNCTION("""COMPUTED_VALUE"""),2870.0)</f>
        <v>2870</v>
      </c>
      <c r="E1986" s="1">
        <f>IFERROR(__xludf.DUMMYFUNCTION("""COMPUTED_VALUE"""),2920.0)</f>
        <v>2920</v>
      </c>
      <c r="F1986" s="1">
        <f>IFERROR(__xludf.DUMMYFUNCTION("""COMPUTED_VALUE"""),275053.0)</f>
        <v>275053</v>
      </c>
    </row>
    <row r="1987">
      <c r="A1987" s="2">
        <f>IFERROR(__xludf.DUMMYFUNCTION("""COMPUTED_VALUE"""),44942.64583333333)</f>
        <v>44942.64583</v>
      </c>
      <c r="B1987" s="1">
        <f>IFERROR(__xludf.DUMMYFUNCTION("""COMPUTED_VALUE"""),2925.0)</f>
        <v>2925</v>
      </c>
      <c r="C1987" s="1">
        <f>IFERROR(__xludf.DUMMYFUNCTION("""COMPUTED_VALUE"""),2995.0)</f>
        <v>2995</v>
      </c>
      <c r="D1987" s="1">
        <f>IFERROR(__xludf.DUMMYFUNCTION("""COMPUTED_VALUE"""),2890.0)</f>
        <v>2890</v>
      </c>
      <c r="E1987" s="1">
        <f>IFERROR(__xludf.DUMMYFUNCTION("""COMPUTED_VALUE"""),2955.0)</f>
        <v>2955</v>
      </c>
      <c r="F1987" s="1">
        <f>IFERROR(__xludf.DUMMYFUNCTION("""COMPUTED_VALUE"""),347976.0)</f>
        <v>347976</v>
      </c>
    </row>
    <row r="1988">
      <c r="A1988" s="2">
        <f>IFERROR(__xludf.DUMMYFUNCTION("""COMPUTED_VALUE"""),44943.64583333333)</f>
        <v>44943.64583</v>
      </c>
      <c r="B1988" s="1">
        <f>IFERROR(__xludf.DUMMYFUNCTION("""COMPUTED_VALUE"""),2950.0)</f>
        <v>2950</v>
      </c>
      <c r="C1988" s="1">
        <f>IFERROR(__xludf.DUMMYFUNCTION("""COMPUTED_VALUE"""),3145.0)</f>
        <v>3145</v>
      </c>
      <c r="D1988" s="1">
        <f>IFERROR(__xludf.DUMMYFUNCTION("""COMPUTED_VALUE"""),2925.0)</f>
        <v>2925</v>
      </c>
      <c r="E1988" s="1">
        <f>IFERROR(__xludf.DUMMYFUNCTION("""COMPUTED_VALUE"""),3010.0)</f>
        <v>3010</v>
      </c>
      <c r="F1988" s="1">
        <f>IFERROR(__xludf.DUMMYFUNCTION("""COMPUTED_VALUE"""),1518281.0)</f>
        <v>1518281</v>
      </c>
    </row>
    <row r="1989">
      <c r="A1989" s="2">
        <f>IFERROR(__xludf.DUMMYFUNCTION("""COMPUTED_VALUE"""),44944.64583333333)</f>
        <v>44944.64583</v>
      </c>
      <c r="B1989" s="1">
        <f>IFERROR(__xludf.DUMMYFUNCTION("""COMPUTED_VALUE"""),2995.0)</f>
        <v>2995</v>
      </c>
      <c r="C1989" s="1">
        <f>IFERROR(__xludf.DUMMYFUNCTION("""COMPUTED_VALUE"""),3005.0)</f>
        <v>3005</v>
      </c>
      <c r="D1989" s="1">
        <f>IFERROR(__xludf.DUMMYFUNCTION("""COMPUTED_VALUE"""),2945.0)</f>
        <v>2945</v>
      </c>
      <c r="E1989" s="1">
        <f>IFERROR(__xludf.DUMMYFUNCTION("""COMPUTED_VALUE"""),2985.0)</f>
        <v>2985</v>
      </c>
      <c r="F1989" s="1">
        <f>IFERROR(__xludf.DUMMYFUNCTION("""COMPUTED_VALUE"""),319797.0)</f>
        <v>319797</v>
      </c>
    </row>
    <row r="1990">
      <c r="A1990" s="2">
        <f>IFERROR(__xludf.DUMMYFUNCTION("""COMPUTED_VALUE"""),44945.64583333333)</f>
        <v>44945.64583</v>
      </c>
      <c r="B1990" s="1">
        <f>IFERROR(__xludf.DUMMYFUNCTION("""COMPUTED_VALUE"""),2970.0)</f>
        <v>2970</v>
      </c>
      <c r="C1990" s="1">
        <f>IFERROR(__xludf.DUMMYFUNCTION("""COMPUTED_VALUE"""),3020.0)</f>
        <v>3020</v>
      </c>
      <c r="D1990" s="1">
        <f>IFERROR(__xludf.DUMMYFUNCTION("""COMPUTED_VALUE"""),2955.0)</f>
        <v>2955</v>
      </c>
      <c r="E1990" s="1">
        <f>IFERROR(__xludf.DUMMYFUNCTION("""COMPUTED_VALUE"""),2990.0)</f>
        <v>2990</v>
      </c>
      <c r="F1990" s="1">
        <f>IFERROR(__xludf.DUMMYFUNCTION("""COMPUTED_VALUE"""),583977.0)</f>
        <v>583977</v>
      </c>
    </row>
    <row r="1991">
      <c r="A1991" s="2">
        <f>IFERROR(__xludf.DUMMYFUNCTION("""COMPUTED_VALUE"""),44946.64583333333)</f>
        <v>44946.64583</v>
      </c>
      <c r="B1991" s="1">
        <f>IFERROR(__xludf.DUMMYFUNCTION("""COMPUTED_VALUE"""),3030.0)</f>
        <v>3030</v>
      </c>
      <c r="C1991" s="1">
        <f>IFERROR(__xludf.DUMMYFUNCTION("""COMPUTED_VALUE"""),3100.0)</f>
        <v>3100</v>
      </c>
      <c r="D1991" s="1">
        <f>IFERROR(__xludf.DUMMYFUNCTION("""COMPUTED_VALUE"""),2975.0)</f>
        <v>2975</v>
      </c>
      <c r="E1991" s="1">
        <f>IFERROR(__xludf.DUMMYFUNCTION("""COMPUTED_VALUE"""),2995.0)</f>
        <v>2995</v>
      </c>
      <c r="F1991" s="1">
        <f>IFERROR(__xludf.DUMMYFUNCTION("""COMPUTED_VALUE"""),1054761.0)</f>
        <v>1054761</v>
      </c>
    </row>
    <row r="1992">
      <c r="A1992" s="2">
        <f>IFERROR(__xludf.DUMMYFUNCTION("""COMPUTED_VALUE"""),44951.64583333333)</f>
        <v>44951.64583</v>
      </c>
      <c r="B1992" s="1">
        <f>IFERROR(__xludf.DUMMYFUNCTION("""COMPUTED_VALUE"""),3045.0)</f>
        <v>3045</v>
      </c>
      <c r="C1992" s="1">
        <f>IFERROR(__xludf.DUMMYFUNCTION("""COMPUTED_VALUE"""),3330.0)</f>
        <v>3330</v>
      </c>
      <c r="D1992" s="1">
        <f>IFERROR(__xludf.DUMMYFUNCTION("""COMPUTED_VALUE"""),3040.0)</f>
        <v>3040</v>
      </c>
      <c r="E1992" s="1">
        <f>IFERROR(__xludf.DUMMYFUNCTION("""COMPUTED_VALUE"""),3270.0)</f>
        <v>3270</v>
      </c>
      <c r="F1992" s="1">
        <f>IFERROR(__xludf.DUMMYFUNCTION("""COMPUTED_VALUE"""),6912406.0)</f>
        <v>6912406</v>
      </c>
    </row>
    <row r="1993">
      <c r="A1993" s="2">
        <f>IFERROR(__xludf.DUMMYFUNCTION("""COMPUTED_VALUE"""),44952.64583333333)</f>
        <v>44952.64583</v>
      </c>
      <c r="B1993" s="1">
        <f>IFERROR(__xludf.DUMMYFUNCTION("""COMPUTED_VALUE"""),3295.0)</f>
        <v>3295</v>
      </c>
      <c r="C1993" s="1">
        <f>IFERROR(__xludf.DUMMYFUNCTION("""COMPUTED_VALUE"""),3320.0)</f>
        <v>3320</v>
      </c>
      <c r="D1993" s="1">
        <f>IFERROR(__xludf.DUMMYFUNCTION("""COMPUTED_VALUE"""),3210.0)</f>
        <v>3210</v>
      </c>
      <c r="E1993" s="1">
        <f>IFERROR(__xludf.DUMMYFUNCTION("""COMPUTED_VALUE"""),3315.0)</f>
        <v>3315</v>
      </c>
      <c r="F1993" s="1">
        <f>IFERROR(__xludf.DUMMYFUNCTION("""COMPUTED_VALUE"""),2018182.0)</f>
        <v>2018182</v>
      </c>
    </row>
    <row r="1994">
      <c r="A1994" s="2">
        <f>IFERROR(__xludf.DUMMYFUNCTION("""COMPUTED_VALUE"""),44953.64583333333)</f>
        <v>44953.64583</v>
      </c>
      <c r="B1994" s="1">
        <f>IFERROR(__xludf.DUMMYFUNCTION("""COMPUTED_VALUE"""),3285.0)</f>
        <v>3285</v>
      </c>
      <c r="C1994" s="1">
        <f>IFERROR(__xludf.DUMMYFUNCTION("""COMPUTED_VALUE"""),3375.0)</f>
        <v>3375</v>
      </c>
      <c r="D1994" s="1">
        <f>IFERROR(__xludf.DUMMYFUNCTION("""COMPUTED_VALUE"""),3205.0)</f>
        <v>3205</v>
      </c>
      <c r="E1994" s="1">
        <f>IFERROR(__xludf.DUMMYFUNCTION("""COMPUTED_VALUE"""),3290.0)</f>
        <v>3290</v>
      </c>
      <c r="F1994" s="1">
        <f>IFERROR(__xludf.DUMMYFUNCTION("""COMPUTED_VALUE"""),2328844.0)</f>
        <v>2328844</v>
      </c>
    </row>
    <row r="1995">
      <c r="A1995" s="2">
        <f>IFERROR(__xludf.DUMMYFUNCTION("""COMPUTED_VALUE"""),44956.64583333333)</f>
        <v>44956.64583</v>
      </c>
      <c r="B1995" s="1">
        <f>IFERROR(__xludf.DUMMYFUNCTION("""COMPUTED_VALUE"""),3295.0)</f>
        <v>3295</v>
      </c>
      <c r="C1995" s="1">
        <f>IFERROR(__xludf.DUMMYFUNCTION("""COMPUTED_VALUE"""),3465.0)</f>
        <v>3465</v>
      </c>
      <c r="D1995" s="1">
        <f>IFERROR(__xludf.DUMMYFUNCTION("""COMPUTED_VALUE"""),3270.0)</f>
        <v>3270</v>
      </c>
      <c r="E1995" s="1">
        <f>IFERROR(__xludf.DUMMYFUNCTION("""COMPUTED_VALUE"""),3330.0)</f>
        <v>3330</v>
      </c>
      <c r="F1995" s="1">
        <f>IFERROR(__xludf.DUMMYFUNCTION("""COMPUTED_VALUE"""),3041096.0)</f>
        <v>3041096</v>
      </c>
    </row>
    <row r="1996">
      <c r="A1996" s="2">
        <f>IFERROR(__xludf.DUMMYFUNCTION("""COMPUTED_VALUE"""),44957.64583333333)</f>
        <v>44957.64583</v>
      </c>
      <c r="B1996" s="1">
        <f>IFERROR(__xludf.DUMMYFUNCTION("""COMPUTED_VALUE"""),3330.0)</f>
        <v>3330</v>
      </c>
      <c r="C1996" s="1">
        <f>IFERROR(__xludf.DUMMYFUNCTION("""COMPUTED_VALUE"""),3435.0)</f>
        <v>3435</v>
      </c>
      <c r="D1996" s="1">
        <f>IFERROR(__xludf.DUMMYFUNCTION("""COMPUTED_VALUE"""),3250.0)</f>
        <v>3250</v>
      </c>
      <c r="E1996" s="1">
        <f>IFERROR(__xludf.DUMMYFUNCTION("""COMPUTED_VALUE"""),3380.0)</f>
        <v>3380</v>
      </c>
      <c r="F1996" s="1">
        <f>IFERROR(__xludf.DUMMYFUNCTION("""COMPUTED_VALUE"""),1929490.0)</f>
        <v>1929490</v>
      </c>
    </row>
    <row r="1997">
      <c r="A1997" s="2">
        <f>IFERROR(__xludf.DUMMYFUNCTION("""COMPUTED_VALUE"""),44958.64583333333)</f>
        <v>44958.64583</v>
      </c>
      <c r="B1997" s="1">
        <f>IFERROR(__xludf.DUMMYFUNCTION("""COMPUTED_VALUE"""),3420.0)</f>
        <v>3420</v>
      </c>
      <c r="C1997" s="1">
        <f>IFERROR(__xludf.DUMMYFUNCTION("""COMPUTED_VALUE"""),3420.0)</f>
        <v>3420</v>
      </c>
      <c r="D1997" s="1">
        <f>IFERROR(__xludf.DUMMYFUNCTION("""COMPUTED_VALUE"""),3270.0)</f>
        <v>3270</v>
      </c>
      <c r="E1997" s="1">
        <f>IFERROR(__xludf.DUMMYFUNCTION("""COMPUTED_VALUE"""),3300.0)</f>
        <v>3300</v>
      </c>
      <c r="F1997" s="1">
        <f>IFERROR(__xludf.DUMMYFUNCTION("""COMPUTED_VALUE"""),1042120.0)</f>
        <v>1042120</v>
      </c>
    </row>
    <row r="1998">
      <c r="A1998" s="2">
        <f>IFERROR(__xludf.DUMMYFUNCTION("""COMPUTED_VALUE"""),44959.64583333333)</f>
        <v>44959.64583</v>
      </c>
      <c r="B1998" s="1">
        <f>IFERROR(__xludf.DUMMYFUNCTION("""COMPUTED_VALUE"""),3300.0)</f>
        <v>3300</v>
      </c>
      <c r="C1998" s="1">
        <f>IFERROR(__xludf.DUMMYFUNCTION("""COMPUTED_VALUE"""),3370.0)</f>
        <v>3370</v>
      </c>
      <c r="D1998" s="1">
        <f>IFERROR(__xludf.DUMMYFUNCTION("""COMPUTED_VALUE"""),3290.0)</f>
        <v>3290</v>
      </c>
      <c r="E1998" s="1">
        <f>IFERROR(__xludf.DUMMYFUNCTION("""COMPUTED_VALUE"""),3345.0)</f>
        <v>3345</v>
      </c>
      <c r="F1998" s="1">
        <f>IFERROR(__xludf.DUMMYFUNCTION("""COMPUTED_VALUE"""),659718.0)</f>
        <v>659718</v>
      </c>
    </row>
    <row r="1999">
      <c r="A1999" s="2">
        <f>IFERROR(__xludf.DUMMYFUNCTION("""COMPUTED_VALUE"""),44960.64583333333)</f>
        <v>44960.64583</v>
      </c>
      <c r="B1999" s="1">
        <f>IFERROR(__xludf.DUMMYFUNCTION("""COMPUTED_VALUE"""),3390.0)</f>
        <v>3390</v>
      </c>
      <c r="C1999" s="1">
        <f>IFERROR(__xludf.DUMMYFUNCTION("""COMPUTED_VALUE"""),3520.0)</f>
        <v>3520</v>
      </c>
      <c r="D1999" s="1">
        <f>IFERROR(__xludf.DUMMYFUNCTION("""COMPUTED_VALUE"""),3355.0)</f>
        <v>3355</v>
      </c>
      <c r="E1999" s="1">
        <f>IFERROR(__xludf.DUMMYFUNCTION("""COMPUTED_VALUE"""),3460.0)</f>
        <v>3460</v>
      </c>
      <c r="F1999" s="1">
        <f>IFERROR(__xludf.DUMMYFUNCTION("""COMPUTED_VALUE"""),2626001.0)</f>
        <v>2626001</v>
      </c>
    </row>
    <row r="2000">
      <c r="A2000" s="2">
        <f>IFERROR(__xludf.DUMMYFUNCTION("""COMPUTED_VALUE"""),44963.64583333333)</f>
        <v>44963.64583</v>
      </c>
      <c r="B2000" s="1">
        <f>IFERROR(__xludf.DUMMYFUNCTION("""COMPUTED_VALUE"""),3460.0)</f>
        <v>3460</v>
      </c>
      <c r="C2000" s="1">
        <f>IFERROR(__xludf.DUMMYFUNCTION("""COMPUTED_VALUE"""),3480.0)</f>
        <v>3480</v>
      </c>
      <c r="D2000" s="1">
        <f>IFERROR(__xludf.DUMMYFUNCTION("""COMPUTED_VALUE"""),3270.0)</f>
        <v>3270</v>
      </c>
      <c r="E2000" s="1">
        <f>IFERROR(__xludf.DUMMYFUNCTION("""COMPUTED_VALUE"""),3330.0)</f>
        <v>3330</v>
      </c>
      <c r="F2000" s="1">
        <f>IFERROR(__xludf.DUMMYFUNCTION("""COMPUTED_VALUE"""),1122805.0)</f>
        <v>1122805</v>
      </c>
    </row>
    <row r="2001">
      <c r="A2001" s="2">
        <f>IFERROR(__xludf.DUMMYFUNCTION("""COMPUTED_VALUE"""),44964.64583333333)</f>
        <v>44964.64583</v>
      </c>
      <c r="B2001" s="1">
        <f>IFERROR(__xludf.DUMMYFUNCTION("""COMPUTED_VALUE"""),3315.0)</f>
        <v>3315</v>
      </c>
      <c r="C2001" s="1">
        <f>IFERROR(__xludf.DUMMYFUNCTION("""COMPUTED_VALUE"""),3395.0)</f>
        <v>3395</v>
      </c>
      <c r="D2001" s="1">
        <f>IFERROR(__xludf.DUMMYFUNCTION("""COMPUTED_VALUE"""),3295.0)</f>
        <v>3295</v>
      </c>
      <c r="E2001" s="1">
        <f>IFERROR(__xludf.DUMMYFUNCTION("""COMPUTED_VALUE"""),3365.0)</f>
        <v>3365</v>
      </c>
      <c r="F2001" s="1">
        <f>IFERROR(__xludf.DUMMYFUNCTION("""COMPUTED_VALUE"""),761486.0)</f>
        <v>761486</v>
      </c>
    </row>
    <row r="2002">
      <c r="A2002" s="2">
        <f>IFERROR(__xludf.DUMMYFUNCTION("""COMPUTED_VALUE"""),44965.64583333333)</f>
        <v>44965.64583</v>
      </c>
      <c r="B2002" s="1">
        <f>IFERROR(__xludf.DUMMYFUNCTION("""COMPUTED_VALUE"""),3420.0)</f>
        <v>3420</v>
      </c>
      <c r="C2002" s="1">
        <f>IFERROR(__xludf.DUMMYFUNCTION("""COMPUTED_VALUE"""),3570.0)</f>
        <v>3570</v>
      </c>
      <c r="D2002" s="1">
        <f>IFERROR(__xludf.DUMMYFUNCTION("""COMPUTED_VALUE"""),3345.0)</f>
        <v>3345</v>
      </c>
      <c r="E2002" s="1">
        <f>IFERROR(__xludf.DUMMYFUNCTION("""COMPUTED_VALUE"""),3465.0)</f>
        <v>3465</v>
      </c>
      <c r="F2002" s="1">
        <f>IFERROR(__xludf.DUMMYFUNCTION("""COMPUTED_VALUE"""),2796850.0)</f>
        <v>2796850</v>
      </c>
    </row>
    <row r="2003">
      <c r="A2003" s="2">
        <f>IFERROR(__xludf.DUMMYFUNCTION("""COMPUTED_VALUE"""),44966.64583333333)</f>
        <v>44966.64583</v>
      </c>
      <c r="B2003" s="1">
        <f>IFERROR(__xludf.DUMMYFUNCTION("""COMPUTED_VALUE"""),3450.0)</f>
        <v>3450</v>
      </c>
      <c r="C2003" s="1">
        <f>IFERROR(__xludf.DUMMYFUNCTION("""COMPUTED_VALUE"""),3535.0)</f>
        <v>3535</v>
      </c>
      <c r="D2003" s="1">
        <f>IFERROR(__xludf.DUMMYFUNCTION("""COMPUTED_VALUE"""),3395.0)</f>
        <v>3395</v>
      </c>
      <c r="E2003" s="1">
        <f>IFERROR(__xludf.DUMMYFUNCTION("""COMPUTED_VALUE"""),3425.0)</f>
        <v>3425</v>
      </c>
      <c r="F2003" s="1">
        <f>IFERROR(__xludf.DUMMYFUNCTION("""COMPUTED_VALUE"""),1032456.0)</f>
        <v>1032456</v>
      </c>
    </row>
    <row r="2004">
      <c r="A2004" s="2">
        <f>IFERROR(__xludf.DUMMYFUNCTION("""COMPUTED_VALUE"""),44967.64583333333)</f>
        <v>44967.64583</v>
      </c>
      <c r="B2004" s="1">
        <f>IFERROR(__xludf.DUMMYFUNCTION("""COMPUTED_VALUE"""),3435.0)</f>
        <v>3435</v>
      </c>
      <c r="C2004" s="1">
        <f>IFERROR(__xludf.DUMMYFUNCTION("""COMPUTED_VALUE"""),3435.0)</f>
        <v>3435</v>
      </c>
      <c r="D2004" s="1">
        <f>IFERROR(__xludf.DUMMYFUNCTION("""COMPUTED_VALUE"""),3250.0)</f>
        <v>3250</v>
      </c>
      <c r="E2004" s="1">
        <f>IFERROR(__xludf.DUMMYFUNCTION("""COMPUTED_VALUE"""),3310.0)</f>
        <v>3310</v>
      </c>
      <c r="F2004" s="1">
        <f>IFERROR(__xludf.DUMMYFUNCTION("""COMPUTED_VALUE"""),1082888.0)</f>
        <v>1082888</v>
      </c>
    </row>
    <row r="2005">
      <c r="A2005" s="2">
        <f>IFERROR(__xludf.DUMMYFUNCTION("""COMPUTED_VALUE"""),44970.64583333333)</f>
        <v>44970.64583</v>
      </c>
      <c r="B2005" s="1">
        <f>IFERROR(__xludf.DUMMYFUNCTION("""COMPUTED_VALUE"""),3310.0)</f>
        <v>3310</v>
      </c>
      <c r="C2005" s="1">
        <f>IFERROR(__xludf.DUMMYFUNCTION("""COMPUTED_VALUE"""),3365.0)</f>
        <v>3365</v>
      </c>
      <c r="D2005" s="1">
        <f>IFERROR(__xludf.DUMMYFUNCTION("""COMPUTED_VALUE"""),3245.0)</f>
        <v>3245</v>
      </c>
      <c r="E2005" s="1">
        <f>IFERROR(__xludf.DUMMYFUNCTION("""COMPUTED_VALUE"""),3290.0)</f>
        <v>3290</v>
      </c>
      <c r="F2005" s="1">
        <f>IFERROR(__xludf.DUMMYFUNCTION("""COMPUTED_VALUE"""),486801.0)</f>
        <v>486801</v>
      </c>
    </row>
    <row r="2006">
      <c r="A2006" s="2">
        <f>IFERROR(__xludf.DUMMYFUNCTION("""COMPUTED_VALUE"""),44971.64583333333)</f>
        <v>44971.64583</v>
      </c>
      <c r="B2006" s="1">
        <f>IFERROR(__xludf.DUMMYFUNCTION("""COMPUTED_VALUE"""),3290.0)</f>
        <v>3290</v>
      </c>
      <c r="C2006" s="1">
        <f>IFERROR(__xludf.DUMMYFUNCTION("""COMPUTED_VALUE"""),3355.0)</f>
        <v>3355</v>
      </c>
      <c r="D2006" s="1">
        <f>IFERROR(__xludf.DUMMYFUNCTION("""COMPUTED_VALUE"""),3285.0)</f>
        <v>3285</v>
      </c>
      <c r="E2006" s="1">
        <f>IFERROR(__xludf.DUMMYFUNCTION("""COMPUTED_VALUE"""),3295.0)</f>
        <v>3295</v>
      </c>
      <c r="F2006" s="1">
        <f>IFERROR(__xludf.DUMMYFUNCTION("""COMPUTED_VALUE"""),455463.0)</f>
        <v>455463</v>
      </c>
    </row>
    <row r="2007">
      <c r="A2007" s="2">
        <f>IFERROR(__xludf.DUMMYFUNCTION("""COMPUTED_VALUE"""),44972.64583333333)</f>
        <v>44972.64583</v>
      </c>
      <c r="B2007" s="1">
        <f>IFERROR(__xludf.DUMMYFUNCTION("""COMPUTED_VALUE"""),3295.0)</f>
        <v>3295</v>
      </c>
      <c r="C2007" s="1">
        <f>IFERROR(__xludf.DUMMYFUNCTION("""COMPUTED_VALUE"""),3320.0)</f>
        <v>3320</v>
      </c>
      <c r="D2007" s="1">
        <f>IFERROR(__xludf.DUMMYFUNCTION("""COMPUTED_VALUE"""),3100.0)</f>
        <v>3100</v>
      </c>
      <c r="E2007" s="1">
        <f>IFERROR(__xludf.DUMMYFUNCTION("""COMPUTED_VALUE"""),3100.0)</f>
        <v>3100</v>
      </c>
      <c r="F2007" s="1">
        <f>IFERROR(__xludf.DUMMYFUNCTION("""COMPUTED_VALUE"""),677154.0)</f>
        <v>677154</v>
      </c>
    </row>
    <row r="2008">
      <c r="A2008" s="2">
        <f>IFERROR(__xludf.DUMMYFUNCTION("""COMPUTED_VALUE"""),44973.64583333333)</f>
        <v>44973.64583</v>
      </c>
      <c r="B2008" s="1">
        <f>IFERROR(__xludf.DUMMYFUNCTION("""COMPUTED_VALUE"""),3165.0)</f>
        <v>3165</v>
      </c>
      <c r="C2008" s="1">
        <f>IFERROR(__xludf.DUMMYFUNCTION("""COMPUTED_VALUE"""),3215.0)</f>
        <v>3215</v>
      </c>
      <c r="D2008" s="1">
        <f>IFERROR(__xludf.DUMMYFUNCTION("""COMPUTED_VALUE"""),3145.0)</f>
        <v>3145</v>
      </c>
      <c r="E2008" s="1">
        <f>IFERROR(__xludf.DUMMYFUNCTION("""COMPUTED_VALUE"""),3185.0)</f>
        <v>3185</v>
      </c>
      <c r="F2008" s="1">
        <f>IFERROR(__xludf.DUMMYFUNCTION("""COMPUTED_VALUE"""),336339.0)</f>
        <v>336339</v>
      </c>
    </row>
    <row r="2009">
      <c r="A2009" s="2">
        <f>IFERROR(__xludf.DUMMYFUNCTION("""COMPUTED_VALUE"""),44974.64583333333)</f>
        <v>44974.64583</v>
      </c>
      <c r="B2009" s="1">
        <f>IFERROR(__xludf.DUMMYFUNCTION("""COMPUTED_VALUE"""),3120.0)</f>
        <v>3120</v>
      </c>
      <c r="C2009" s="1">
        <f>IFERROR(__xludf.DUMMYFUNCTION("""COMPUTED_VALUE"""),3170.0)</f>
        <v>3170</v>
      </c>
      <c r="D2009" s="1">
        <f>IFERROR(__xludf.DUMMYFUNCTION("""COMPUTED_VALUE"""),3100.0)</f>
        <v>3100</v>
      </c>
      <c r="E2009" s="1">
        <f>IFERROR(__xludf.DUMMYFUNCTION("""COMPUTED_VALUE"""),3115.0)</f>
        <v>3115</v>
      </c>
      <c r="F2009" s="1">
        <f>IFERROR(__xludf.DUMMYFUNCTION("""COMPUTED_VALUE"""),221288.0)</f>
        <v>221288</v>
      </c>
    </row>
    <row r="2010">
      <c r="A2010" s="2">
        <f>IFERROR(__xludf.DUMMYFUNCTION("""COMPUTED_VALUE"""),44977.64583333333)</f>
        <v>44977.64583</v>
      </c>
      <c r="B2010" s="1">
        <f>IFERROR(__xludf.DUMMYFUNCTION("""COMPUTED_VALUE"""),3190.0)</f>
        <v>3190</v>
      </c>
      <c r="C2010" s="1">
        <f>IFERROR(__xludf.DUMMYFUNCTION("""COMPUTED_VALUE"""),3200.0)</f>
        <v>3200</v>
      </c>
      <c r="D2010" s="1">
        <f>IFERROR(__xludf.DUMMYFUNCTION("""COMPUTED_VALUE"""),3110.0)</f>
        <v>3110</v>
      </c>
      <c r="E2010" s="1">
        <f>IFERROR(__xludf.DUMMYFUNCTION("""COMPUTED_VALUE"""),3185.0)</f>
        <v>3185</v>
      </c>
      <c r="F2010" s="1">
        <f>IFERROR(__xludf.DUMMYFUNCTION("""COMPUTED_VALUE"""),258835.0)</f>
        <v>258835</v>
      </c>
    </row>
    <row r="2011">
      <c r="A2011" s="2">
        <f>IFERROR(__xludf.DUMMYFUNCTION("""COMPUTED_VALUE"""),44978.64583333333)</f>
        <v>44978.64583</v>
      </c>
      <c r="B2011" s="1">
        <f>IFERROR(__xludf.DUMMYFUNCTION("""COMPUTED_VALUE"""),3185.0)</f>
        <v>3185</v>
      </c>
      <c r="C2011" s="1">
        <f>IFERROR(__xludf.DUMMYFUNCTION("""COMPUTED_VALUE"""),3330.0)</f>
        <v>3330</v>
      </c>
      <c r="D2011" s="1">
        <f>IFERROR(__xludf.DUMMYFUNCTION("""COMPUTED_VALUE"""),3175.0)</f>
        <v>3175</v>
      </c>
      <c r="E2011" s="1">
        <f>IFERROR(__xludf.DUMMYFUNCTION("""COMPUTED_VALUE"""),3290.0)</f>
        <v>3290</v>
      </c>
      <c r="F2011" s="1">
        <f>IFERROR(__xludf.DUMMYFUNCTION("""COMPUTED_VALUE"""),716245.0)</f>
        <v>716245</v>
      </c>
    </row>
    <row r="2012">
      <c r="A2012" s="2">
        <f>IFERROR(__xludf.DUMMYFUNCTION("""COMPUTED_VALUE"""),44979.64583333333)</f>
        <v>44979.64583</v>
      </c>
      <c r="B2012" s="1">
        <f>IFERROR(__xludf.DUMMYFUNCTION("""COMPUTED_VALUE"""),3215.0)</f>
        <v>3215</v>
      </c>
      <c r="C2012" s="1">
        <f>IFERROR(__xludf.DUMMYFUNCTION("""COMPUTED_VALUE"""),3220.0)</f>
        <v>3220</v>
      </c>
      <c r="D2012" s="1">
        <f>IFERROR(__xludf.DUMMYFUNCTION("""COMPUTED_VALUE"""),3135.0)</f>
        <v>3135</v>
      </c>
      <c r="E2012" s="1">
        <f>IFERROR(__xludf.DUMMYFUNCTION("""COMPUTED_VALUE"""),3165.0)</f>
        <v>3165</v>
      </c>
      <c r="F2012" s="1">
        <f>IFERROR(__xludf.DUMMYFUNCTION("""COMPUTED_VALUE"""),433647.0)</f>
        <v>433647</v>
      </c>
    </row>
    <row r="2013">
      <c r="A2013" s="2">
        <f>IFERROR(__xludf.DUMMYFUNCTION("""COMPUTED_VALUE"""),44980.64583333333)</f>
        <v>44980.64583</v>
      </c>
      <c r="B2013" s="1">
        <f>IFERROR(__xludf.DUMMYFUNCTION("""COMPUTED_VALUE"""),3205.0)</f>
        <v>3205</v>
      </c>
      <c r="C2013" s="1">
        <f>IFERROR(__xludf.DUMMYFUNCTION("""COMPUTED_VALUE"""),3235.0)</f>
        <v>3235</v>
      </c>
      <c r="D2013" s="1">
        <f>IFERROR(__xludf.DUMMYFUNCTION("""COMPUTED_VALUE"""),3135.0)</f>
        <v>3135</v>
      </c>
      <c r="E2013" s="1">
        <f>IFERROR(__xludf.DUMMYFUNCTION("""COMPUTED_VALUE"""),3230.0)</f>
        <v>3230</v>
      </c>
      <c r="F2013" s="1">
        <f>IFERROR(__xludf.DUMMYFUNCTION("""COMPUTED_VALUE"""),319211.0)</f>
        <v>319211</v>
      </c>
    </row>
    <row r="2014">
      <c r="A2014" s="2">
        <f>IFERROR(__xludf.DUMMYFUNCTION("""COMPUTED_VALUE"""),44981.64583333333)</f>
        <v>44981.64583</v>
      </c>
      <c r="B2014" s="1">
        <f>IFERROR(__xludf.DUMMYFUNCTION("""COMPUTED_VALUE"""),3240.0)</f>
        <v>3240</v>
      </c>
      <c r="C2014" s="1">
        <f>IFERROR(__xludf.DUMMYFUNCTION("""COMPUTED_VALUE"""),3245.0)</f>
        <v>3245</v>
      </c>
      <c r="D2014" s="1">
        <f>IFERROR(__xludf.DUMMYFUNCTION("""COMPUTED_VALUE"""),3120.0)</f>
        <v>3120</v>
      </c>
      <c r="E2014" s="1">
        <f>IFERROR(__xludf.DUMMYFUNCTION("""COMPUTED_VALUE"""),3170.0)</f>
        <v>3170</v>
      </c>
      <c r="F2014" s="1">
        <f>IFERROR(__xludf.DUMMYFUNCTION("""COMPUTED_VALUE"""),278780.0)</f>
        <v>278780</v>
      </c>
    </row>
    <row r="2015">
      <c r="A2015" s="2">
        <f>IFERROR(__xludf.DUMMYFUNCTION("""COMPUTED_VALUE"""),44984.64583333333)</f>
        <v>44984.64583</v>
      </c>
      <c r="B2015" s="1">
        <f>IFERROR(__xludf.DUMMYFUNCTION("""COMPUTED_VALUE"""),3165.0)</f>
        <v>3165</v>
      </c>
      <c r="C2015" s="1">
        <f>IFERROR(__xludf.DUMMYFUNCTION("""COMPUTED_VALUE"""),3370.0)</f>
        <v>3370</v>
      </c>
      <c r="D2015" s="1">
        <f>IFERROR(__xludf.DUMMYFUNCTION("""COMPUTED_VALUE"""),3115.0)</f>
        <v>3115</v>
      </c>
      <c r="E2015" s="1">
        <f>IFERROR(__xludf.DUMMYFUNCTION("""COMPUTED_VALUE"""),3215.0)</f>
        <v>3215</v>
      </c>
      <c r="F2015" s="1">
        <f>IFERROR(__xludf.DUMMYFUNCTION("""COMPUTED_VALUE"""),2110696.0)</f>
        <v>2110696</v>
      </c>
    </row>
    <row r="2016">
      <c r="A2016" s="2">
        <f>IFERROR(__xludf.DUMMYFUNCTION("""COMPUTED_VALUE"""),44985.64583333333)</f>
        <v>44985.64583</v>
      </c>
      <c r="B2016" s="1">
        <f>IFERROR(__xludf.DUMMYFUNCTION("""COMPUTED_VALUE"""),3215.0)</f>
        <v>3215</v>
      </c>
      <c r="C2016" s="1">
        <f>IFERROR(__xludf.DUMMYFUNCTION("""COMPUTED_VALUE"""),3355.0)</f>
        <v>3355</v>
      </c>
      <c r="D2016" s="1">
        <f>IFERROR(__xludf.DUMMYFUNCTION("""COMPUTED_VALUE"""),3205.0)</f>
        <v>3205</v>
      </c>
      <c r="E2016" s="1">
        <f>IFERROR(__xludf.DUMMYFUNCTION("""COMPUTED_VALUE"""),3325.0)</f>
        <v>3325</v>
      </c>
      <c r="F2016" s="1">
        <f>IFERROR(__xludf.DUMMYFUNCTION("""COMPUTED_VALUE"""),925575.0)</f>
        <v>925575</v>
      </c>
    </row>
    <row r="2017">
      <c r="A2017" s="2">
        <f>IFERROR(__xludf.DUMMYFUNCTION("""COMPUTED_VALUE"""),44987.64583333333)</f>
        <v>44987.64583</v>
      </c>
      <c r="B2017" s="1">
        <f>IFERROR(__xludf.DUMMYFUNCTION("""COMPUTED_VALUE"""),3335.0)</f>
        <v>3335</v>
      </c>
      <c r="C2017" s="1">
        <f>IFERROR(__xludf.DUMMYFUNCTION("""COMPUTED_VALUE"""),3350.0)</f>
        <v>3350</v>
      </c>
      <c r="D2017" s="1">
        <f>IFERROR(__xludf.DUMMYFUNCTION("""COMPUTED_VALUE"""),3235.0)</f>
        <v>3235</v>
      </c>
      <c r="E2017" s="1">
        <f>IFERROR(__xludf.DUMMYFUNCTION("""COMPUTED_VALUE"""),3340.0)</f>
        <v>3340</v>
      </c>
      <c r="F2017" s="1">
        <f>IFERROR(__xludf.DUMMYFUNCTION("""COMPUTED_VALUE"""),471115.0)</f>
        <v>471115</v>
      </c>
    </row>
    <row r="2018">
      <c r="A2018" s="2">
        <f>IFERROR(__xludf.DUMMYFUNCTION("""COMPUTED_VALUE"""),44988.64583333333)</f>
        <v>44988.64583</v>
      </c>
      <c r="B2018" s="1">
        <f>IFERROR(__xludf.DUMMYFUNCTION("""COMPUTED_VALUE"""),3300.0)</f>
        <v>3300</v>
      </c>
      <c r="C2018" s="1">
        <f>IFERROR(__xludf.DUMMYFUNCTION("""COMPUTED_VALUE"""),3365.0)</f>
        <v>3365</v>
      </c>
      <c r="D2018" s="1">
        <f>IFERROR(__xludf.DUMMYFUNCTION("""COMPUTED_VALUE"""),3295.0)</f>
        <v>3295</v>
      </c>
      <c r="E2018" s="1">
        <f>IFERROR(__xludf.DUMMYFUNCTION("""COMPUTED_VALUE"""),3360.0)</f>
        <v>3360</v>
      </c>
      <c r="F2018" s="1">
        <f>IFERROR(__xludf.DUMMYFUNCTION("""COMPUTED_VALUE"""),674630.0)</f>
        <v>674630</v>
      </c>
    </row>
    <row r="2019">
      <c r="A2019" s="2">
        <f>IFERROR(__xludf.DUMMYFUNCTION("""COMPUTED_VALUE"""),44991.64583333333)</f>
        <v>44991.64583</v>
      </c>
      <c r="B2019" s="1">
        <f>IFERROR(__xludf.DUMMYFUNCTION("""COMPUTED_VALUE"""),3440.0)</f>
        <v>3440</v>
      </c>
      <c r="C2019" s="1">
        <f>IFERROR(__xludf.DUMMYFUNCTION("""COMPUTED_VALUE"""),3540.0)</f>
        <v>3540</v>
      </c>
      <c r="D2019" s="1">
        <f>IFERROR(__xludf.DUMMYFUNCTION("""COMPUTED_VALUE"""),3360.0)</f>
        <v>3360</v>
      </c>
      <c r="E2019" s="1">
        <f>IFERROR(__xludf.DUMMYFUNCTION("""COMPUTED_VALUE"""),3470.0)</f>
        <v>3470</v>
      </c>
      <c r="F2019" s="1">
        <f>IFERROR(__xludf.DUMMYFUNCTION("""COMPUTED_VALUE"""),2096463.0)</f>
        <v>2096463</v>
      </c>
    </row>
    <row r="2020">
      <c r="A2020" s="2">
        <f>IFERROR(__xludf.DUMMYFUNCTION("""COMPUTED_VALUE"""),44992.64583333333)</f>
        <v>44992.64583</v>
      </c>
      <c r="B2020" s="1">
        <f>IFERROR(__xludf.DUMMYFUNCTION("""COMPUTED_VALUE"""),3505.0)</f>
        <v>3505</v>
      </c>
      <c r="C2020" s="1">
        <f>IFERROR(__xludf.DUMMYFUNCTION("""COMPUTED_VALUE"""),3545.0)</f>
        <v>3545</v>
      </c>
      <c r="D2020" s="1">
        <f>IFERROR(__xludf.DUMMYFUNCTION("""COMPUTED_VALUE"""),3405.0)</f>
        <v>3405</v>
      </c>
      <c r="E2020" s="1">
        <f>IFERROR(__xludf.DUMMYFUNCTION("""COMPUTED_VALUE"""),3490.0)</f>
        <v>3490</v>
      </c>
      <c r="F2020" s="1">
        <f>IFERROR(__xludf.DUMMYFUNCTION("""COMPUTED_VALUE"""),1036799.0)</f>
        <v>1036799</v>
      </c>
    </row>
    <row r="2021">
      <c r="A2021" s="2">
        <f>IFERROR(__xludf.DUMMYFUNCTION("""COMPUTED_VALUE"""),44993.64583333333)</f>
        <v>44993.64583</v>
      </c>
      <c r="B2021" s="1">
        <f>IFERROR(__xludf.DUMMYFUNCTION("""COMPUTED_VALUE"""),3440.0)</f>
        <v>3440</v>
      </c>
      <c r="C2021" s="1">
        <f>IFERROR(__xludf.DUMMYFUNCTION("""COMPUTED_VALUE"""),3535.0)</f>
        <v>3535</v>
      </c>
      <c r="D2021" s="1">
        <f>IFERROR(__xludf.DUMMYFUNCTION("""COMPUTED_VALUE"""),3410.0)</f>
        <v>3410</v>
      </c>
      <c r="E2021" s="1">
        <f>IFERROR(__xludf.DUMMYFUNCTION("""COMPUTED_VALUE"""),3485.0)</f>
        <v>3485</v>
      </c>
      <c r="F2021" s="1">
        <f>IFERROR(__xludf.DUMMYFUNCTION("""COMPUTED_VALUE"""),751795.0)</f>
        <v>751795</v>
      </c>
    </row>
    <row r="2022">
      <c r="A2022" s="2">
        <f>IFERROR(__xludf.DUMMYFUNCTION("""COMPUTED_VALUE"""),44994.64583333333)</f>
        <v>44994.64583</v>
      </c>
      <c r="B2022" s="1">
        <f>IFERROR(__xludf.DUMMYFUNCTION("""COMPUTED_VALUE"""),3670.0)</f>
        <v>3670</v>
      </c>
      <c r="C2022" s="1">
        <f>IFERROR(__xludf.DUMMYFUNCTION("""COMPUTED_VALUE"""),3995.0)</f>
        <v>3995</v>
      </c>
      <c r="D2022" s="1">
        <f>IFERROR(__xludf.DUMMYFUNCTION("""COMPUTED_VALUE"""),3540.0)</f>
        <v>3540</v>
      </c>
      <c r="E2022" s="1">
        <f>IFERROR(__xludf.DUMMYFUNCTION("""COMPUTED_VALUE"""),3740.0)</f>
        <v>3740</v>
      </c>
      <c r="F2022" s="1">
        <f>IFERROR(__xludf.DUMMYFUNCTION("""COMPUTED_VALUE"""),2.0599147E7)</f>
        <v>20599147</v>
      </c>
    </row>
    <row r="2023">
      <c r="A2023" s="2">
        <f>IFERROR(__xludf.DUMMYFUNCTION("""COMPUTED_VALUE"""),44995.64583333333)</f>
        <v>44995.64583</v>
      </c>
      <c r="B2023" s="1">
        <f>IFERROR(__xludf.DUMMYFUNCTION("""COMPUTED_VALUE"""),4070.0)</f>
        <v>4070</v>
      </c>
      <c r="C2023" s="1">
        <f>IFERROR(__xludf.DUMMYFUNCTION("""COMPUTED_VALUE"""),4100.0)</f>
        <v>4100</v>
      </c>
      <c r="D2023" s="1">
        <f>IFERROR(__xludf.DUMMYFUNCTION("""COMPUTED_VALUE"""),3740.0)</f>
        <v>3740</v>
      </c>
      <c r="E2023" s="1">
        <f>IFERROR(__xludf.DUMMYFUNCTION("""COMPUTED_VALUE"""),3790.0)</f>
        <v>3790</v>
      </c>
      <c r="F2023" s="1">
        <f>IFERROR(__xludf.DUMMYFUNCTION("""COMPUTED_VALUE"""),1.1094412E7)</f>
        <v>11094412</v>
      </c>
    </row>
    <row r="2024">
      <c r="A2024" s="2">
        <f>IFERROR(__xludf.DUMMYFUNCTION("""COMPUTED_VALUE"""),44998.64583333333)</f>
        <v>44998.64583</v>
      </c>
      <c r="B2024" s="1">
        <f>IFERROR(__xludf.DUMMYFUNCTION("""COMPUTED_VALUE"""),3680.0)</f>
        <v>3680</v>
      </c>
      <c r="C2024" s="1">
        <f>IFERROR(__xludf.DUMMYFUNCTION("""COMPUTED_VALUE"""),3740.0)</f>
        <v>3740</v>
      </c>
      <c r="D2024" s="1">
        <f>IFERROR(__xludf.DUMMYFUNCTION("""COMPUTED_VALUE"""),3435.0)</f>
        <v>3435</v>
      </c>
      <c r="E2024" s="1">
        <f>IFERROR(__xludf.DUMMYFUNCTION("""COMPUTED_VALUE"""),3460.0)</f>
        <v>3460</v>
      </c>
      <c r="F2024" s="1">
        <f>IFERROR(__xludf.DUMMYFUNCTION("""COMPUTED_VALUE"""),2257615.0)</f>
        <v>2257615</v>
      </c>
    </row>
    <row r="2025">
      <c r="A2025" s="2">
        <f>IFERROR(__xludf.DUMMYFUNCTION("""COMPUTED_VALUE"""),44999.64583333333)</f>
        <v>44999.64583</v>
      </c>
      <c r="B2025" s="1">
        <f>IFERROR(__xludf.DUMMYFUNCTION("""COMPUTED_VALUE"""),3415.0)</f>
        <v>3415</v>
      </c>
      <c r="C2025" s="1">
        <f>IFERROR(__xludf.DUMMYFUNCTION("""COMPUTED_VALUE"""),3420.0)</f>
        <v>3420</v>
      </c>
      <c r="D2025" s="1">
        <f>IFERROR(__xludf.DUMMYFUNCTION("""COMPUTED_VALUE"""),3195.0)</f>
        <v>3195</v>
      </c>
      <c r="E2025" s="1">
        <f>IFERROR(__xludf.DUMMYFUNCTION("""COMPUTED_VALUE"""),3200.0)</f>
        <v>3200</v>
      </c>
      <c r="F2025" s="1">
        <f>IFERROR(__xludf.DUMMYFUNCTION("""COMPUTED_VALUE"""),1614262.0)</f>
        <v>1614262</v>
      </c>
    </row>
    <row r="2026">
      <c r="A2026" s="2">
        <f>IFERROR(__xludf.DUMMYFUNCTION("""COMPUTED_VALUE"""),45000.64583333333)</f>
        <v>45000.64583</v>
      </c>
      <c r="B2026" s="1">
        <f>IFERROR(__xludf.DUMMYFUNCTION("""COMPUTED_VALUE"""),3240.0)</f>
        <v>3240</v>
      </c>
      <c r="C2026" s="1">
        <f>IFERROR(__xludf.DUMMYFUNCTION("""COMPUTED_VALUE"""),3390.0)</f>
        <v>3390</v>
      </c>
      <c r="D2026" s="1">
        <f>IFERROR(__xludf.DUMMYFUNCTION("""COMPUTED_VALUE"""),3235.0)</f>
        <v>3235</v>
      </c>
      <c r="E2026" s="1">
        <f>IFERROR(__xludf.DUMMYFUNCTION("""COMPUTED_VALUE"""),3325.0)</f>
        <v>3325</v>
      </c>
      <c r="F2026" s="1">
        <f>IFERROR(__xludf.DUMMYFUNCTION("""COMPUTED_VALUE"""),1447852.0)</f>
        <v>1447852</v>
      </c>
    </row>
    <row r="2027">
      <c r="A2027" s="2">
        <f>IFERROR(__xludf.DUMMYFUNCTION("""COMPUTED_VALUE"""),45001.64583333333)</f>
        <v>45001.64583</v>
      </c>
      <c r="B2027" s="1">
        <f>IFERROR(__xludf.DUMMYFUNCTION("""COMPUTED_VALUE"""),3335.0)</f>
        <v>3335</v>
      </c>
      <c r="C2027" s="1">
        <f>IFERROR(__xludf.DUMMYFUNCTION("""COMPUTED_VALUE"""),3435.0)</f>
        <v>3435</v>
      </c>
      <c r="D2027" s="1">
        <f>IFERROR(__xludf.DUMMYFUNCTION("""COMPUTED_VALUE"""),3205.0)</f>
        <v>3205</v>
      </c>
      <c r="E2027" s="1">
        <f>IFERROR(__xludf.DUMMYFUNCTION("""COMPUTED_VALUE"""),3225.0)</f>
        <v>3225</v>
      </c>
      <c r="F2027" s="1">
        <f>IFERROR(__xludf.DUMMYFUNCTION("""COMPUTED_VALUE"""),1232478.0)</f>
        <v>1232478</v>
      </c>
    </row>
    <row r="2028">
      <c r="A2028" s="2">
        <f>IFERROR(__xludf.DUMMYFUNCTION("""COMPUTED_VALUE"""),45002.64583333333)</f>
        <v>45002.64583</v>
      </c>
      <c r="B2028" s="1">
        <f>IFERROR(__xludf.DUMMYFUNCTION("""COMPUTED_VALUE"""),3295.0)</f>
        <v>3295</v>
      </c>
      <c r="C2028" s="1">
        <f>IFERROR(__xludf.DUMMYFUNCTION("""COMPUTED_VALUE"""),3470.0)</f>
        <v>3470</v>
      </c>
      <c r="D2028" s="1">
        <f>IFERROR(__xludf.DUMMYFUNCTION("""COMPUTED_VALUE"""),3270.0)</f>
        <v>3270</v>
      </c>
      <c r="E2028" s="1">
        <f>IFERROR(__xludf.DUMMYFUNCTION("""COMPUTED_VALUE"""),3420.0)</f>
        <v>3420</v>
      </c>
      <c r="F2028" s="1">
        <f>IFERROR(__xludf.DUMMYFUNCTION("""COMPUTED_VALUE"""),1103986.0)</f>
        <v>1103986</v>
      </c>
    </row>
    <row r="2029">
      <c r="A2029" s="2">
        <f>IFERROR(__xludf.DUMMYFUNCTION("""COMPUTED_VALUE"""),45005.64583333333)</f>
        <v>45005.64583</v>
      </c>
      <c r="B2029" s="1">
        <f>IFERROR(__xludf.DUMMYFUNCTION("""COMPUTED_VALUE"""),3400.0)</f>
        <v>3400</v>
      </c>
      <c r="C2029" s="1">
        <f>IFERROR(__xludf.DUMMYFUNCTION("""COMPUTED_VALUE"""),3405.0)</f>
        <v>3405</v>
      </c>
      <c r="D2029" s="1">
        <f>IFERROR(__xludf.DUMMYFUNCTION("""COMPUTED_VALUE"""),3300.0)</f>
        <v>3300</v>
      </c>
      <c r="E2029" s="1">
        <f>IFERROR(__xludf.DUMMYFUNCTION("""COMPUTED_VALUE"""),3320.0)</f>
        <v>3320</v>
      </c>
      <c r="F2029" s="1">
        <f>IFERROR(__xludf.DUMMYFUNCTION("""COMPUTED_VALUE"""),783266.0)</f>
        <v>783266</v>
      </c>
    </row>
    <row r="2030">
      <c r="A2030" s="2">
        <f>IFERROR(__xludf.DUMMYFUNCTION("""COMPUTED_VALUE"""),45006.64583333333)</f>
        <v>45006.64583</v>
      </c>
      <c r="B2030" s="1">
        <f>IFERROR(__xludf.DUMMYFUNCTION("""COMPUTED_VALUE"""),3345.0)</f>
        <v>3345</v>
      </c>
      <c r="C2030" s="1">
        <f>IFERROR(__xludf.DUMMYFUNCTION("""COMPUTED_VALUE"""),3360.0)</f>
        <v>3360</v>
      </c>
      <c r="D2030" s="1">
        <f>IFERROR(__xludf.DUMMYFUNCTION("""COMPUTED_VALUE"""),3255.0)</f>
        <v>3255</v>
      </c>
      <c r="E2030" s="1">
        <f>IFERROR(__xludf.DUMMYFUNCTION("""COMPUTED_VALUE"""),3255.0)</f>
        <v>3255</v>
      </c>
      <c r="F2030" s="1">
        <f>IFERROR(__xludf.DUMMYFUNCTION("""COMPUTED_VALUE"""),668106.0)</f>
        <v>668106</v>
      </c>
    </row>
    <row r="2031">
      <c r="A2031" s="2">
        <f>IFERROR(__xludf.DUMMYFUNCTION("""COMPUTED_VALUE"""),45007.64583333333)</f>
        <v>45007.64583</v>
      </c>
      <c r="B2031" s="1">
        <f>IFERROR(__xludf.DUMMYFUNCTION("""COMPUTED_VALUE"""),3315.0)</f>
        <v>3315</v>
      </c>
      <c r="C2031" s="1">
        <f>IFERROR(__xludf.DUMMYFUNCTION("""COMPUTED_VALUE"""),3350.0)</f>
        <v>3350</v>
      </c>
      <c r="D2031" s="1">
        <f>IFERROR(__xludf.DUMMYFUNCTION("""COMPUTED_VALUE"""),3240.0)</f>
        <v>3240</v>
      </c>
      <c r="E2031" s="1">
        <f>IFERROR(__xludf.DUMMYFUNCTION("""COMPUTED_VALUE"""),3290.0)</f>
        <v>3290</v>
      </c>
      <c r="F2031" s="1">
        <f>IFERROR(__xludf.DUMMYFUNCTION("""COMPUTED_VALUE"""),724236.0)</f>
        <v>724236</v>
      </c>
    </row>
    <row r="2032">
      <c r="A2032" s="2">
        <f>IFERROR(__xludf.DUMMYFUNCTION("""COMPUTED_VALUE"""),45008.64583333333)</f>
        <v>45008.64583</v>
      </c>
      <c r="B2032" s="1">
        <f>IFERROR(__xludf.DUMMYFUNCTION("""COMPUTED_VALUE"""),3215.0)</f>
        <v>3215</v>
      </c>
      <c r="C2032" s="1">
        <f>IFERROR(__xludf.DUMMYFUNCTION("""COMPUTED_VALUE"""),3255.0)</f>
        <v>3255</v>
      </c>
      <c r="D2032" s="1">
        <f>IFERROR(__xludf.DUMMYFUNCTION("""COMPUTED_VALUE"""),3190.0)</f>
        <v>3190</v>
      </c>
      <c r="E2032" s="1">
        <f>IFERROR(__xludf.DUMMYFUNCTION("""COMPUTED_VALUE"""),3210.0)</f>
        <v>3210</v>
      </c>
      <c r="F2032" s="1">
        <f>IFERROR(__xludf.DUMMYFUNCTION("""COMPUTED_VALUE"""),601357.0)</f>
        <v>601357</v>
      </c>
    </row>
    <row r="2033">
      <c r="A2033" s="2">
        <f>IFERROR(__xludf.DUMMYFUNCTION("""COMPUTED_VALUE"""),45009.64583333333)</f>
        <v>45009.64583</v>
      </c>
      <c r="B2033" s="1">
        <f>IFERROR(__xludf.DUMMYFUNCTION("""COMPUTED_VALUE"""),3260.0)</f>
        <v>3260</v>
      </c>
      <c r="C2033" s="1">
        <f>IFERROR(__xludf.DUMMYFUNCTION("""COMPUTED_VALUE"""),3360.0)</f>
        <v>3360</v>
      </c>
      <c r="D2033" s="1">
        <f>IFERROR(__xludf.DUMMYFUNCTION("""COMPUTED_VALUE"""),3200.0)</f>
        <v>3200</v>
      </c>
      <c r="E2033" s="1">
        <f>IFERROR(__xludf.DUMMYFUNCTION("""COMPUTED_VALUE"""),3325.0)</f>
        <v>3325</v>
      </c>
      <c r="F2033" s="1">
        <f>IFERROR(__xludf.DUMMYFUNCTION("""COMPUTED_VALUE"""),943218.0)</f>
        <v>943218</v>
      </c>
    </row>
    <row r="2034">
      <c r="A2034" s="2">
        <f>IFERROR(__xludf.DUMMYFUNCTION("""COMPUTED_VALUE"""),45012.64583333333)</f>
        <v>45012.64583</v>
      </c>
      <c r="B2034" s="1">
        <f>IFERROR(__xludf.DUMMYFUNCTION("""COMPUTED_VALUE"""),3380.0)</f>
        <v>3380</v>
      </c>
      <c r="C2034" s="1">
        <f>IFERROR(__xludf.DUMMYFUNCTION("""COMPUTED_VALUE"""),3445.0)</f>
        <v>3445</v>
      </c>
      <c r="D2034" s="1">
        <f>IFERROR(__xludf.DUMMYFUNCTION("""COMPUTED_VALUE"""),3235.0)</f>
        <v>3235</v>
      </c>
      <c r="E2034" s="1">
        <f>IFERROR(__xludf.DUMMYFUNCTION("""COMPUTED_VALUE"""),3365.0)</f>
        <v>3365</v>
      </c>
      <c r="F2034" s="1">
        <f>IFERROR(__xludf.DUMMYFUNCTION("""COMPUTED_VALUE"""),1023661.0)</f>
        <v>1023661</v>
      </c>
    </row>
    <row r="2035">
      <c r="A2035" s="2">
        <f>IFERROR(__xludf.DUMMYFUNCTION("""COMPUTED_VALUE"""),45013.64583333333)</f>
        <v>45013.64583</v>
      </c>
      <c r="B2035" s="1">
        <f>IFERROR(__xludf.DUMMYFUNCTION("""COMPUTED_VALUE"""),3410.0)</f>
        <v>3410</v>
      </c>
      <c r="C2035" s="1">
        <f>IFERROR(__xludf.DUMMYFUNCTION("""COMPUTED_VALUE"""),3470.0)</f>
        <v>3470</v>
      </c>
      <c r="D2035" s="1">
        <f>IFERROR(__xludf.DUMMYFUNCTION("""COMPUTED_VALUE"""),3350.0)</f>
        <v>3350</v>
      </c>
      <c r="E2035" s="1">
        <f>IFERROR(__xludf.DUMMYFUNCTION("""COMPUTED_VALUE"""),3450.0)</f>
        <v>3450</v>
      </c>
      <c r="F2035" s="1">
        <f>IFERROR(__xludf.DUMMYFUNCTION("""COMPUTED_VALUE"""),767836.0)</f>
        <v>767836</v>
      </c>
    </row>
    <row r="2036">
      <c r="A2036" s="2">
        <f>IFERROR(__xludf.DUMMYFUNCTION("""COMPUTED_VALUE"""),45014.64583333333)</f>
        <v>45014.64583</v>
      </c>
      <c r="B2036" s="1">
        <f>IFERROR(__xludf.DUMMYFUNCTION("""COMPUTED_VALUE"""),3470.0)</f>
        <v>3470</v>
      </c>
      <c r="C2036" s="1">
        <f>IFERROR(__xludf.DUMMYFUNCTION("""COMPUTED_VALUE"""),3470.0)</f>
        <v>3470</v>
      </c>
      <c r="D2036" s="1">
        <f>IFERROR(__xludf.DUMMYFUNCTION("""COMPUTED_VALUE"""),3190.0)</f>
        <v>3190</v>
      </c>
      <c r="E2036" s="1">
        <f>IFERROR(__xludf.DUMMYFUNCTION("""COMPUTED_VALUE"""),3400.0)</f>
        <v>3400</v>
      </c>
      <c r="F2036" s="1">
        <f>IFERROR(__xludf.DUMMYFUNCTION("""COMPUTED_VALUE"""),782201.0)</f>
        <v>782201</v>
      </c>
    </row>
    <row r="2037">
      <c r="A2037" s="2">
        <f>IFERROR(__xludf.DUMMYFUNCTION("""COMPUTED_VALUE"""),45015.64583333333)</f>
        <v>45015.64583</v>
      </c>
      <c r="B2037" s="1">
        <f>IFERROR(__xludf.DUMMYFUNCTION("""COMPUTED_VALUE"""),3400.0)</f>
        <v>3400</v>
      </c>
      <c r="C2037" s="1">
        <f>IFERROR(__xludf.DUMMYFUNCTION("""COMPUTED_VALUE"""),3400.0)</f>
        <v>3400</v>
      </c>
      <c r="D2037" s="1">
        <f>IFERROR(__xludf.DUMMYFUNCTION("""COMPUTED_VALUE"""),3265.0)</f>
        <v>3265</v>
      </c>
      <c r="E2037" s="1">
        <f>IFERROR(__xludf.DUMMYFUNCTION("""COMPUTED_VALUE"""),3365.0)</f>
        <v>3365</v>
      </c>
      <c r="F2037" s="1">
        <f>IFERROR(__xludf.DUMMYFUNCTION("""COMPUTED_VALUE"""),731081.0)</f>
        <v>731081</v>
      </c>
    </row>
    <row r="2038">
      <c r="A2038" s="2">
        <f>IFERROR(__xludf.DUMMYFUNCTION("""COMPUTED_VALUE"""),45016.64583333333)</f>
        <v>45016.64583</v>
      </c>
      <c r="B2038" s="1">
        <f>IFERROR(__xludf.DUMMYFUNCTION("""COMPUTED_VALUE"""),3400.0)</f>
        <v>3400</v>
      </c>
      <c r="C2038" s="1">
        <f>IFERROR(__xludf.DUMMYFUNCTION("""COMPUTED_VALUE"""),3400.0)</f>
        <v>3400</v>
      </c>
      <c r="D2038" s="1">
        <f>IFERROR(__xludf.DUMMYFUNCTION("""COMPUTED_VALUE"""),3280.0)</f>
        <v>3280</v>
      </c>
      <c r="E2038" s="1">
        <f>IFERROR(__xludf.DUMMYFUNCTION("""COMPUTED_VALUE"""),3315.0)</f>
        <v>3315</v>
      </c>
      <c r="F2038" s="1">
        <f>IFERROR(__xludf.DUMMYFUNCTION("""COMPUTED_VALUE"""),562712.0)</f>
        <v>562712</v>
      </c>
    </row>
    <row r="2039">
      <c r="A2039" s="2">
        <f>IFERROR(__xludf.DUMMYFUNCTION("""COMPUTED_VALUE"""),45019.64583333333)</f>
        <v>45019.64583</v>
      </c>
      <c r="B2039" s="1">
        <f>IFERROR(__xludf.DUMMYFUNCTION("""COMPUTED_VALUE"""),3345.0)</f>
        <v>3345</v>
      </c>
      <c r="C2039" s="1">
        <f>IFERROR(__xludf.DUMMYFUNCTION("""COMPUTED_VALUE"""),3380.0)</f>
        <v>3380</v>
      </c>
      <c r="D2039" s="1">
        <f>IFERROR(__xludf.DUMMYFUNCTION("""COMPUTED_VALUE"""),3315.0)</f>
        <v>3315</v>
      </c>
      <c r="E2039" s="1">
        <f>IFERROR(__xludf.DUMMYFUNCTION("""COMPUTED_VALUE"""),3360.0)</f>
        <v>3360</v>
      </c>
      <c r="F2039" s="1">
        <f>IFERROR(__xludf.DUMMYFUNCTION("""COMPUTED_VALUE"""),541984.0)</f>
        <v>541984</v>
      </c>
    </row>
    <row r="2040">
      <c r="A2040" s="2">
        <f>IFERROR(__xludf.DUMMYFUNCTION("""COMPUTED_VALUE"""),45020.64583333333)</f>
        <v>45020.64583</v>
      </c>
      <c r="B2040" s="1">
        <f>IFERROR(__xludf.DUMMYFUNCTION("""COMPUTED_VALUE"""),3360.0)</f>
        <v>3360</v>
      </c>
      <c r="C2040" s="1">
        <f>IFERROR(__xludf.DUMMYFUNCTION("""COMPUTED_VALUE"""),3405.0)</f>
        <v>3405</v>
      </c>
      <c r="D2040" s="1">
        <f>IFERROR(__xludf.DUMMYFUNCTION("""COMPUTED_VALUE"""),3330.0)</f>
        <v>3330</v>
      </c>
      <c r="E2040" s="1">
        <f>IFERROR(__xludf.DUMMYFUNCTION("""COMPUTED_VALUE"""),3350.0)</f>
        <v>3350</v>
      </c>
      <c r="F2040" s="1">
        <f>IFERROR(__xludf.DUMMYFUNCTION("""COMPUTED_VALUE"""),519503.0)</f>
        <v>519503</v>
      </c>
    </row>
    <row r="2041">
      <c r="A2041" s="2">
        <f>IFERROR(__xludf.DUMMYFUNCTION("""COMPUTED_VALUE"""),45021.64583333333)</f>
        <v>45021.64583</v>
      </c>
      <c r="B2041" s="1">
        <f>IFERROR(__xludf.DUMMYFUNCTION("""COMPUTED_VALUE"""),3325.0)</f>
        <v>3325</v>
      </c>
      <c r="C2041" s="1">
        <f>IFERROR(__xludf.DUMMYFUNCTION("""COMPUTED_VALUE"""),3450.0)</f>
        <v>3450</v>
      </c>
      <c r="D2041" s="1">
        <f>IFERROR(__xludf.DUMMYFUNCTION("""COMPUTED_VALUE"""),3325.0)</f>
        <v>3325</v>
      </c>
      <c r="E2041" s="1">
        <f>IFERROR(__xludf.DUMMYFUNCTION("""COMPUTED_VALUE"""),3410.0)</f>
        <v>3410</v>
      </c>
      <c r="F2041" s="1">
        <f>IFERROR(__xludf.DUMMYFUNCTION("""COMPUTED_VALUE"""),1005750.0)</f>
        <v>1005750</v>
      </c>
    </row>
    <row r="2042">
      <c r="A2042" s="2">
        <f>IFERROR(__xludf.DUMMYFUNCTION("""COMPUTED_VALUE"""),45022.64583333333)</f>
        <v>45022.64583</v>
      </c>
      <c r="B2042" s="1">
        <f>IFERROR(__xludf.DUMMYFUNCTION("""COMPUTED_VALUE"""),3430.0)</f>
        <v>3430</v>
      </c>
      <c r="C2042" s="1">
        <f>IFERROR(__xludf.DUMMYFUNCTION("""COMPUTED_VALUE"""),3450.0)</f>
        <v>3450</v>
      </c>
      <c r="D2042" s="1">
        <f>IFERROR(__xludf.DUMMYFUNCTION("""COMPUTED_VALUE"""),3255.0)</f>
        <v>3255</v>
      </c>
      <c r="E2042" s="1">
        <f>IFERROR(__xludf.DUMMYFUNCTION("""COMPUTED_VALUE"""),3260.0)</f>
        <v>3260</v>
      </c>
      <c r="F2042" s="1">
        <f>IFERROR(__xludf.DUMMYFUNCTION("""COMPUTED_VALUE"""),893310.0)</f>
        <v>893310</v>
      </c>
    </row>
    <row r="2043">
      <c r="A2043" s="2">
        <f>IFERROR(__xludf.DUMMYFUNCTION("""COMPUTED_VALUE"""),45023.64583333333)</f>
        <v>45023.64583</v>
      </c>
      <c r="B2043" s="1">
        <f>IFERROR(__xludf.DUMMYFUNCTION("""COMPUTED_VALUE"""),3290.0)</f>
        <v>3290</v>
      </c>
      <c r="C2043" s="1">
        <f>IFERROR(__xludf.DUMMYFUNCTION("""COMPUTED_VALUE"""),3290.0)</f>
        <v>3290</v>
      </c>
      <c r="D2043" s="1">
        <f>IFERROR(__xludf.DUMMYFUNCTION("""COMPUTED_VALUE"""),3200.0)</f>
        <v>3200</v>
      </c>
      <c r="E2043" s="1">
        <f>IFERROR(__xludf.DUMMYFUNCTION("""COMPUTED_VALUE"""),3200.0)</f>
        <v>3200</v>
      </c>
      <c r="F2043" s="1">
        <f>IFERROR(__xludf.DUMMYFUNCTION("""COMPUTED_VALUE"""),495953.0)</f>
        <v>495953</v>
      </c>
    </row>
    <row r="2044">
      <c r="A2044" s="2">
        <f>IFERROR(__xludf.DUMMYFUNCTION("""COMPUTED_VALUE"""),45026.64583333333)</f>
        <v>45026.64583</v>
      </c>
      <c r="B2044" s="1">
        <f>IFERROR(__xludf.DUMMYFUNCTION("""COMPUTED_VALUE"""),3205.0)</f>
        <v>3205</v>
      </c>
      <c r="C2044" s="1">
        <f>IFERROR(__xludf.DUMMYFUNCTION("""COMPUTED_VALUE"""),3235.0)</f>
        <v>3235</v>
      </c>
      <c r="D2044" s="1">
        <f>IFERROR(__xludf.DUMMYFUNCTION("""COMPUTED_VALUE"""),3115.0)</f>
        <v>3115</v>
      </c>
      <c r="E2044" s="1">
        <f>IFERROR(__xludf.DUMMYFUNCTION("""COMPUTED_VALUE"""),3130.0)</f>
        <v>3130</v>
      </c>
      <c r="F2044" s="1">
        <f>IFERROR(__xludf.DUMMYFUNCTION("""COMPUTED_VALUE"""),725102.0)</f>
        <v>725102</v>
      </c>
    </row>
    <row r="2045">
      <c r="A2045" s="2">
        <f>IFERROR(__xludf.DUMMYFUNCTION("""COMPUTED_VALUE"""),45027.64583333333)</f>
        <v>45027.64583</v>
      </c>
      <c r="B2045" s="1">
        <f>IFERROR(__xludf.DUMMYFUNCTION("""COMPUTED_VALUE"""),3130.0)</f>
        <v>3130</v>
      </c>
      <c r="C2045" s="1">
        <f>IFERROR(__xludf.DUMMYFUNCTION("""COMPUTED_VALUE"""),3165.0)</f>
        <v>3165</v>
      </c>
      <c r="D2045" s="1">
        <f>IFERROR(__xludf.DUMMYFUNCTION("""COMPUTED_VALUE"""),3095.0)</f>
        <v>3095</v>
      </c>
      <c r="E2045" s="1">
        <f>IFERROR(__xludf.DUMMYFUNCTION("""COMPUTED_VALUE"""),3150.0)</f>
        <v>3150</v>
      </c>
      <c r="F2045" s="1">
        <f>IFERROR(__xludf.DUMMYFUNCTION("""COMPUTED_VALUE"""),327877.0)</f>
        <v>327877</v>
      </c>
    </row>
    <row r="2046">
      <c r="A2046" s="2">
        <f>IFERROR(__xludf.DUMMYFUNCTION("""COMPUTED_VALUE"""),45028.64583333333)</f>
        <v>45028.64583</v>
      </c>
      <c r="B2046" s="1">
        <f>IFERROR(__xludf.DUMMYFUNCTION("""COMPUTED_VALUE"""),3150.0)</f>
        <v>3150</v>
      </c>
      <c r="C2046" s="1">
        <f>IFERROR(__xludf.DUMMYFUNCTION("""COMPUTED_VALUE"""),3185.0)</f>
        <v>3185</v>
      </c>
      <c r="D2046" s="1">
        <f>IFERROR(__xludf.DUMMYFUNCTION("""COMPUTED_VALUE"""),3125.0)</f>
        <v>3125</v>
      </c>
      <c r="E2046" s="1">
        <f>IFERROR(__xludf.DUMMYFUNCTION("""COMPUTED_VALUE"""),3155.0)</f>
        <v>3155</v>
      </c>
      <c r="F2046" s="1">
        <f>IFERROR(__xludf.DUMMYFUNCTION("""COMPUTED_VALUE"""),381171.0)</f>
        <v>381171</v>
      </c>
    </row>
    <row r="2047">
      <c r="A2047" s="2">
        <f>IFERROR(__xludf.DUMMYFUNCTION("""COMPUTED_VALUE"""),45029.64583333333)</f>
        <v>45029.64583</v>
      </c>
      <c r="B2047" s="1">
        <f>IFERROR(__xludf.DUMMYFUNCTION("""COMPUTED_VALUE"""),3210.0)</f>
        <v>3210</v>
      </c>
      <c r="C2047" s="1">
        <f>IFERROR(__xludf.DUMMYFUNCTION("""COMPUTED_VALUE"""),3330.0)</f>
        <v>3330</v>
      </c>
      <c r="D2047" s="1">
        <f>IFERROR(__xludf.DUMMYFUNCTION("""COMPUTED_VALUE"""),3200.0)</f>
        <v>3200</v>
      </c>
      <c r="E2047" s="1">
        <f>IFERROR(__xludf.DUMMYFUNCTION("""COMPUTED_VALUE"""),3220.0)</f>
        <v>3220</v>
      </c>
      <c r="F2047" s="1">
        <f>IFERROR(__xludf.DUMMYFUNCTION("""COMPUTED_VALUE"""),1274636.0)</f>
        <v>1274636</v>
      </c>
    </row>
    <row r="2048">
      <c r="A2048" s="2">
        <f>IFERROR(__xludf.DUMMYFUNCTION("""COMPUTED_VALUE"""),45030.64583333333)</f>
        <v>45030.64583</v>
      </c>
      <c r="B2048" s="1">
        <f>IFERROR(__xludf.DUMMYFUNCTION("""COMPUTED_VALUE"""),3240.0)</f>
        <v>3240</v>
      </c>
      <c r="C2048" s="1">
        <f>IFERROR(__xludf.DUMMYFUNCTION("""COMPUTED_VALUE"""),3245.0)</f>
        <v>3245</v>
      </c>
      <c r="D2048" s="1">
        <f>IFERROR(__xludf.DUMMYFUNCTION("""COMPUTED_VALUE"""),3190.0)</f>
        <v>3190</v>
      </c>
      <c r="E2048" s="1">
        <f>IFERROR(__xludf.DUMMYFUNCTION("""COMPUTED_VALUE"""),3215.0)</f>
        <v>3215</v>
      </c>
      <c r="F2048" s="1">
        <f>IFERROR(__xludf.DUMMYFUNCTION("""COMPUTED_VALUE"""),358422.0)</f>
        <v>358422</v>
      </c>
    </row>
    <row r="2049">
      <c r="A2049" s="2">
        <f>IFERROR(__xludf.DUMMYFUNCTION("""COMPUTED_VALUE"""),45033.64583333333)</f>
        <v>45033.64583</v>
      </c>
      <c r="B2049" s="1">
        <f>IFERROR(__xludf.DUMMYFUNCTION("""COMPUTED_VALUE"""),3215.0)</f>
        <v>3215</v>
      </c>
      <c r="C2049" s="1">
        <f>IFERROR(__xludf.DUMMYFUNCTION("""COMPUTED_VALUE"""),3225.0)</f>
        <v>3225</v>
      </c>
      <c r="D2049" s="1">
        <f>IFERROR(__xludf.DUMMYFUNCTION("""COMPUTED_VALUE"""),3145.0)</f>
        <v>3145</v>
      </c>
      <c r="E2049" s="1">
        <f>IFERROR(__xludf.DUMMYFUNCTION("""COMPUTED_VALUE"""),3170.0)</f>
        <v>3170</v>
      </c>
      <c r="F2049" s="1">
        <f>IFERROR(__xludf.DUMMYFUNCTION("""COMPUTED_VALUE"""),379078.0)</f>
        <v>379078</v>
      </c>
    </row>
    <row r="2050">
      <c r="A2050" s="2">
        <f>IFERROR(__xludf.DUMMYFUNCTION("""COMPUTED_VALUE"""),45034.64583333333)</f>
        <v>45034.64583</v>
      </c>
      <c r="B2050" s="1">
        <f>IFERROR(__xludf.DUMMYFUNCTION("""COMPUTED_VALUE"""),3185.0)</f>
        <v>3185</v>
      </c>
      <c r="C2050" s="1">
        <f>IFERROR(__xludf.DUMMYFUNCTION("""COMPUTED_VALUE"""),3185.0)</f>
        <v>3185</v>
      </c>
      <c r="D2050" s="1">
        <f>IFERROR(__xludf.DUMMYFUNCTION("""COMPUTED_VALUE"""),3115.0)</f>
        <v>3115</v>
      </c>
      <c r="E2050" s="1">
        <f>IFERROR(__xludf.DUMMYFUNCTION("""COMPUTED_VALUE"""),3150.0)</f>
        <v>3150</v>
      </c>
      <c r="F2050" s="1">
        <f>IFERROR(__xludf.DUMMYFUNCTION("""COMPUTED_VALUE"""),267532.0)</f>
        <v>267532</v>
      </c>
    </row>
    <row r="2051">
      <c r="A2051" s="2">
        <f>IFERROR(__xludf.DUMMYFUNCTION("""COMPUTED_VALUE"""),45035.64583333333)</f>
        <v>45035.64583</v>
      </c>
      <c r="B2051" s="1">
        <f>IFERROR(__xludf.DUMMYFUNCTION("""COMPUTED_VALUE"""),3140.0)</f>
        <v>3140</v>
      </c>
      <c r="C2051" s="1">
        <f>IFERROR(__xludf.DUMMYFUNCTION("""COMPUTED_VALUE"""),3200.0)</f>
        <v>3200</v>
      </c>
      <c r="D2051" s="1">
        <f>IFERROR(__xludf.DUMMYFUNCTION("""COMPUTED_VALUE"""),3125.0)</f>
        <v>3125</v>
      </c>
      <c r="E2051" s="1">
        <f>IFERROR(__xludf.DUMMYFUNCTION("""COMPUTED_VALUE"""),3190.0)</f>
        <v>3190</v>
      </c>
      <c r="F2051" s="1">
        <f>IFERROR(__xludf.DUMMYFUNCTION("""COMPUTED_VALUE"""),246924.0)</f>
        <v>246924</v>
      </c>
    </row>
    <row r="2052">
      <c r="A2052" s="2">
        <f>IFERROR(__xludf.DUMMYFUNCTION("""COMPUTED_VALUE"""),45036.64583333333)</f>
        <v>45036.64583</v>
      </c>
      <c r="B2052" s="1">
        <f>IFERROR(__xludf.DUMMYFUNCTION("""COMPUTED_VALUE"""),3170.0)</f>
        <v>3170</v>
      </c>
      <c r="C2052" s="1">
        <f>IFERROR(__xludf.DUMMYFUNCTION("""COMPUTED_VALUE"""),3190.0)</f>
        <v>3190</v>
      </c>
      <c r="D2052" s="1">
        <f>IFERROR(__xludf.DUMMYFUNCTION("""COMPUTED_VALUE"""),3115.0)</f>
        <v>3115</v>
      </c>
      <c r="E2052" s="1">
        <f>IFERROR(__xludf.DUMMYFUNCTION("""COMPUTED_VALUE"""),3125.0)</f>
        <v>3125</v>
      </c>
      <c r="F2052" s="1">
        <f>IFERROR(__xludf.DUMMYFUNCTION("""COMPUTED_VALUE"""),252331.0)</f>
        <v>252331</v>
      </c>
    </row>
    <row r="2053">
      <c r="A2053" s="2">
        <f>IFERROR(__xludf.DUMMYFUNCTION("""COMPUTED_VALUE"""),45037.64583333333)</f>
        <v>45037.64583</v>
      </c>
      <c r="B2053" s="1">
        <f>IFERROR(__xludf.DUMMYFUNCTION("""COMPUTED_VALUE"""),3100.0)</f>
        <v>3100</v>
      </c>
      <c r="C2053" s="1">
        <f>IFERROR(__xludf.DUMMYFUNCTION("""COMPUTED_VALUE"""),3135.0)</f>
        <v>3135</v>
      </c>
      <c r="D2053" s="1">
        <f>IFERROR(__xludf.DUMMYFUNCTION("""COMPUTED_VALUE"""),2980.0)</f>
        <v>2980</v>
      </c>
      <c r="E2053" s="1">
        <f>IFERROR(__xludf.DUMMYFUNCTION("""COMPUTED_VALUE"""),3060.0)</f>
        <v>3060</v>
      </c>
      <c r="F2053" s="1">
        <f>IFERROR(__xludf.DUMMYFUNCTION("""COMPUTED_VALUE"""),445313.0)</f>
        <v>445313</v>
      </c>
    </row>
    <row r="2054">
      <c r="A2054" s="2">
        <f>IFERROR(__xludf.DUMMYFUNCTION("""COMPUTED_VALUE"""),45040.64583333333)</f>
        <v>45040.64583</v>
      </c>
      <c r="B2054" s="1">
        <f>IFERROR(__xludf.DUMMYFUNCTION("""COMPUTED_VALUE"""),3005.0)</f>
        <v>3005</v>
      </c>
      <c r="C2054" s="1">
        <f>IFERROR(__xludf.DUMMYFUNCTION("""COMPUTED_VALUE"""),3055.0)</f>
        <v>3055</v>
      </c>
      <c r="D2054" s="1">
        <f>IFERROR(__xludf.DUMMYFUNCTION("""COMPUTED_VALUE"""),2960.0)</f>
        <v>2960</v>
      </c>
      <c r="E2054" s="1">
        <f>IFERROR(__xludf.DUMMYFUNCTION("""COMPUTED_VALUE"""),2975.0)</f>
        <v>2975</v>
      </c>
      <c r="F2054" s="1">
        <f>IFERROR(__xludf.DUMMYFUNCTION("""COMPUTED_VALUE"""),325788.0)</f>
        <v>325788</v>
      </c>
    </row>
    <row r="2055">
      <c r="A2055" s="2">
        <f>IFERROR(__xludf.DUMMYFUNCTION("""COMPUTED_VALUE"""),45041.64583333333)</f>
        <v>45041.64583</v>
      </c>
      <c r="B2055" s="1">
        <f>IFERROR(__xludf.DUMMYFUNCTION("""COMPUTED_VALUE"""),3000.0)</f>
        <v>3000</v>
      </c>
      <c r="C2055" s="1">
        <f>IFERROR(__xludf.DUMMYFUNCTION("""COMPUTED_VALUE"""),3005.0)</f>
        <v>3005</v>
      </c>
      <c r="D2055" s="1">
        <f>IFERROR(__xludf.DUMMYFUNCTION("""COMPUTED_VALUE"""),2875.0)</f>
        <v>2875</v>
      </c>
      <c r="E2055" s="1">
        <f>IFERROR(__xludf.DUMMYFUNCTION("""COMPUTED_VALUE"""),2940.0)</f>
        <v>2940</v>
      </c>
      <c r="F2055" s="1">
        <f>IFERROR(__xludf.DUMMYFUNCTION("""COMPUTED_VALUE"""),290182.0)</f>
        <v>290182</v>
      </c>
    </row>
    <row r="2056">
      <c r="A2056" s="2">
        <f>IFERROR(__xludf.DUMMYFUNCTION("""COMPUTED_VALUE"""),45042.64583333333)</f>
        <v>45042.64583</v>
      </c>
      <c r="B2056" s="1">
        <f>IFERROR(__xludf.DUMMYFUNCTION("""COMPUTED_VALUE"""),2880.0)</f>
        <v>2880</v>
      </c>
      <c r="C2056" s="1">
        <f>IFERROR(__xludf.DUMMYFUNCTION("""COMPUTED_VALUE"""),2955.0)</f>
        <v>2955</v>
      </c>
      <c r="D2056" s="1">
        <f>IFERROR(__xludf.DUMMYFUNCTION("""COMPUTED_VALUE"""),2840.0)</f>
        <v>2840</v>
      </c>
      <c r="E2056" s="1">
        <f>IFERROR(__xludf.DUMMYFUNCTION("""COMPUTED_VALUE"""),2940.0)</f>
        <v>2940</v>
      </c>
      <c r="F2056" s="1">
        <f>IFERROR(__xludf.DUMMYFUNCTION("""COMPUTED_VALUE"""),266472.0)</f>
        <v>266472</v>
      </c>
    </row>
    <row r="2057">
      <c r="A2057" s="2">
        <f>IFERROR(__xludf.DUMMYFUNCTION("""COMPUTED_VALUE"""),45043.64583333333)</f>
        <v>45043.64583</v>
      </c>
      <c r="B2057" s="1">
        <f>IFERROR(__xludf.DUMMYFUNCTION("""COMPUTED_VALUE"""),2935.0)</f>
        <v>2935</v>
      </c>
      <c r="C2057" s="1">
        <f>IFERROR(__xludf.DUMMYFUNCTION("""COMPUTED_VALUE"""),2965.0)</f>
        <v>2965</v>
      </c>
      <c r="D2057" s="1">
        <f>IFERROR(__xludf.DUMMYFUNCTION("""COMPUTED_VALUE"""),2880.0)</f>
        <v>2880</v>
      </c>
      <c r="E2057" s="1">
        <f>IFERROR(__xludf.DUMMYFUNCTION("""COMPUTED_VALUE"""),2965.0)</f>
        <v>2965</v>
      </c>
      <c r="F2057" s="1">
        <f>IFERROR(__xludf.DUMMYFUNCTION("""COMPUTED_VALUE"""),142466.0)</f>
        <v>142466</v>
      </c>
    </row>
    <row r="2058">
      <c r="A2058" s="2">
        <f>IFERROR(__xludf.DUMMYFUNCTION("""COMPUTED_VALUE"""),45044.64583333333)</f>
        <v>45044.64583</v>
      </c>
      <c r="B2058" s="1">
        <f>IFERROR(__xludf.DUMMYFUNCTION("""COMPUTED_VALUE"""),2975.0)</f>
        <v>2975</v>
      </c>
      <c r="C2058" s="1">
        <f>IFERROR(__xludf.DUMMYFUNCTION("""COMPUTED_VALUE"""),2990.0)</f>
        <v>2990</v>
      </c>
      <c r="D2058" s="1">
        <f>IFERROR(__xludf.DUMMYFUNCTION("""COMPUTED_VALUE"""),2925.0)</f>
        <v>2925</v>
      </c>
      <c r="E2058" s="1">
        <f>IFERROR(__xludf.DUMMYFUNCTION("""COMPUTED_VALUE"""),2925.0)</f>
        <v>2925</v>
      </c>
      <c r="F2058" s="1">
        <f>IFERROR(__xludf.DUMMYFUNCTION("""COMPUTED_VALUE"""),194480.0)</f>
        <v>194480</v>
      </c>
    </row>
    <row r="2059">
      <c r="A2059" s="2">
        <f>IFERROR(__xludf.DUMMYFUNCTION("""COMPUTED_VALUE"""),45048.64583333333)</f>
        <v>45048.64583</v>
      </c>
      <c r="B2059" s="1">
        <f>IFERROR(__xludf.DUMMYFUNCTION("""COMPUTED_VALUE"""),2900.0)</f>
        <v>2900</v>
      </c>
      <c r="C2059" s="1">
        <f>IFERROR(__xludf.DUMMYFUNCTION("""COMPUTED_VALUE"""),2990.0)</f>
        <v>2990</v>
      </c>
      <c r="D2059" s="1">
        <f>IFERROR(__xludf.DUMMYFUNCTION("""COMPUTED_VALUE"""),2900.0)</f>
        <v>2900</v>
      </c>
      <c r="E2059" s="1">
        <f>IFERROR(__xludf.DUMMYFUNCTION("""COMPUTED_VALUE"""),2980.0)</f>
        <v>2980</v>
      </c>
      <c r="F2059" s="1">
        <f>IFERROR(__xludf.DUMMYFUNCTION("""COMPUTED_VALUE"""),137929.0)</f>
        <v>137929</v>
      </c>
    </row>
    <row r="2060">
      <c r="A2060" s="2">
        <f>IFERROR(__xludf.DUMMYFUNCTION("""COMPUTED_VALUE"""),45049.64583333333)</f>
        <v>45049.64583</v>
      </c>
      <c r="B2060" s="1">
        <f>IFERROR(__xludf.DUMMYFUNCTION("""COMPUTED_VALUE"""),2945.0)</f>
        <v>2945</v>
      </c>
      <c r="C2060" s="1">
        <f>IFERROR(__xludf.DUMMYFUNCTION("""COMPUTED_VALUE"""),3025.0)</f>
        <v>3025</v>
      </c>
      <c r="D2060" s="1">
        <f>IFERROR(__xludf.DUMMYFUNCTION("""COMPUTED_VALUE"""),2945.0)</f>
        <v>2945</v>
      </c>
      <c r="E2060" s="1">
        <f>IFERROR(__xludf.DUMMYFUNCTION("""COMPUTED_VALUE"""),3005.0)</f>
        <v>3005</v>
      </c>
      <c r="F2060" s="1">
        <f>IFERROR(__xludf.DUMMYFUNCTION("""COMPUTED_VALUE"""),143552.0)</f>
        <v>143552</v>
      </c>
    </row>
    <row r="2061">
      <c r="A2061" s="2">
        <f>IFERROR(__xludf.DUMMYFUNCTION("""COMPUTED_VALUE"""),45050.64583333333)</f>
        <v>45050.64583</v>
      </c>
      <c r="B2061" s="1">
        <f>IFERROR(__xludf.DUMMYFUNCTION("""COMPUTED_VALUE"""),3005.0)</f>
        <v>3005</v>
      </c>
      <c r="C2061" s="1">
        <f>IFERROR(__xludf.DUMMYFUNCTION("""COMPUTED_VALUE"""),3005.0)</f>
        <v>3005</v>
      </c>
      <c r="D2061" s="1">
        <f>IFERROR(__xludf.DUMMYFUNCTION("""COMPUTED_VALUE"""),2935.0)</f>
        <v>2935</v>
      </c>
      <c r="E2061" s="1">
        <f>IFERROR(__xludf.DUMMYFUNCTION("""COMPUTED_VALUE"""),2980.0)</f>
        <v>2980</v>
      </c>
      <c r="F2061" s="1">
        <f>IFERROR(__xludf.DUMMYFUNCTION("""COMPUTED_VALUE"""),185477.0)</f>
        <v>185477</v>
      </c>
    </row>
    <row r="2062">
      <c r="A2062" s="2">
        <f>IFERROR(__xludf.DUMMYFUNCTION("""COMPUTED_VALUE"""),45054.64583333333)</f>
        <v>45054.64583</v>
      </c>
      <c r="B2062" s="1">
        <f>IFERROR(__xludf.DUMMYFUNCTION("""COMPUTED_VALUE"""),3000.0)</f>
        <v>3000</v>
      </c>
      <c r="C2062" s="1">
        <f>IFERROR(__xludf.DUMMYFUNCTION("""COMPUTED_VALUE"""),3035.0)</f>
        <v>3035</v>
      </c>
      <c r="D2062" s="1">
        <f>IFERROR(__xludf.DUMMYFUNCTION("""COMPUTED_VALUE"""),2985.0)</f>
        <v>2985</v>
      </c>
      <c r="E2062" s="1">
        <f>IFERROR(__xludf.DUMMYFUNCTION("""COMPUTED_VALUE"""),3035.0)</f>
        <v>3035</v>
      </c>
      <c r="F2062" s="1">
        <f>IFERROR(__xludf.DUMMYFUNCTION("""COMPUTED_VALUE"""),191742.0)</f>
        <v>191742</v>
      </c>
    </row>
    <row r="2063">
      <c r="A2063" s="2">
        <f>IFERROR(__xludf.DUMMYFUNCTION("""COMPUTED_VALUE"""),45055.64583333333)</f>
        <v>45055.64583</v>
      </c>
      <c r="B2063" s="1">
        <f>IFERROR(__xludf.DUMMYFUNCTION("""COMPUTED_VALUE"""),3025.0)</f>
        <v>3025</v>
      </c>
      <c r="C2063" s="1">
        <f>IFERROR(__xludf.DUMMYFUNCTION("""COMPUTED_VALUE"""),3030.0)</f>
        <v>3030</v>
      </c>
      <c r="D2063" s="1">
        <f>IFERROR(__xludf.DUMMYFUNCTION("""COMPUTED_VALUE"""),2940.0)</f>
        <v>2940</v>
      </c>
      <c r="E2063" s="1">
        <f>IFERROR(__xludf.DUMMYFUNCTION("""COMPUTED_VALUE"""),2980.0)</f>
        <v>2980</v>
      </c>
      <c r="F2063" s="1">
        <f>IFERROR(__xludf.DUMMYFUNCTION("""COMPUTED_VALUE"""),172757.0)</f>
        <v>172757</v>
      </c>
    </row>
    <row r="2064">
      <c r="A2064" s="2">
        <f>IFERROR(__xludf.DUMMYFUNCTION("""COMPUTED_VALUE"""),45056.64583333333)</f>
        <v>45056.64583</v>
      </c>
      <c r="B2064" s="1">
        <f>IFERROR(__xludf.DUMMYFUNCTION("""COMPUTED_VALUE"""),2950.0)</f>
        <v>2950</v>
      </c>
      <c r="C2064" s="1">
        <f>IFERROR(__xludf.DUMMYFUNCTION("""COMPUTED_VALUE"""),3030.0)</f>
        <v>3030</v>
      </c>
      <c r="D2064" s="1">
        <f>IFERROR(__xludf.DUMMYFUNCTION("""COMPUTED_VALUE"""),2940.0)</f>
        <v>2940</v>
      </c>
      <c r="E2064" s="1">
        <f>IFERROR(__xludf.DUMMYFUNCTION("""COMPUTED_VALUE"""),3005.0)</f>
        <v>3005</v>
      </c>
      <c r="F2064" s="1">
        <f>IFERROR(__xludf.DUMMYFUNCTION("""COMPUTED_VALUE"""),233176.0)</f>
        <v>233176</v>
      </c>
    </row>
    <row r="2065">
      <c r="A2065" s="2">
        <f>IFERROR(__xludf.DUMMYFUNCTION("""COMPUTED_VALUE"""),45057.64583333333)</f>
        <v>45057.64583</v>
      </c>
      <c r="B2065" s="1">
        <f>IFERROR(__xludf.DUMMYFUNCTION("""COMPUTED_VALUE"""),3030.0)</f>
        <v>3030</v>
      </c>
      <c r="C2065" s="1">
        <f>IFERROR(__xludf.DUMMYFUNCTION("""COMPUTED_VALUE"""),3060.0)</f>
        <v>3060</v>
      </c>
      <c r="D2065" s="1">
        <f>IFERROR(__xludf.DUMMYFUNCTION("""COMPUTED_VALUE"""),2975.0)</f>
        <v>2975</v>
      </c>
      <c r="E2065" s="1">
        <f>IFERROR(__xludf.DUMMYFUNCTION("""COMPUTED_VALUE"""),3020.0)</f>
        <v>3020</v>
      </c>
      <c r="F2065" s="1">
        <f>IFERROR(__xludf.DUMMYFUNCTION("""COMPUTED_VALUE"""),212603.0)</f>
        <v>212603</v>
      </c>
    </row>
    <row r="2066">
      <c r="A2066" s="2">
        <f>IFERROR(__xludf.DUMMYFUNCTION("""COMPUTED_VALUE"""),45058.64583333333)</f>
        <v>45058.64583</v>
      </c>
      <c r="B2066" s="1">
        <f>IFERROR(__xludf.DUMMYFUNCTION("""COMPUTED_VALUE"""),3200.0)</f>
        <v>3200</v>
      </c>
      <c r="C2066" s="1">
        <f>IFERROR(__xludf.DUMMYFUNCTION("""COMPUTED_VALUE"""),3280.0)</f>
        <v>3280</v>
      </c>
      <c r="D2066" s="1">
        <f>IFERROR(__xludf.DUMMYFUNCTION("""COMPUTED_VALUE"""),3060.0)</f>
        <v>3060</v>
      </c>
      <c r="E2066" s="1">
        <f>IFERROR(__xludf.DUMMYFUNCTION("""COMPUTED_VALUE"""),3085.0)</f>
        <v>3085</v>
      </c>
      <c r="F2066" s="1">
        <f>IFERROR(__xludf.DUMMYFUNCTION("""COMPUTED_VALUE"""),3027753.0)</f>
        <v>3027753</v>
      </c>
    </row>
    <row r="2067">
      <c r="A2067" s="2">
        <f>IFERROR(__xludf.DUMMYFUNCTION("""COMPUTED_VALUE"""),45061.64583333333)</f>
        <v>45061.64583</v>
      </c>
      <c r="B2067" s="1">
        <f>IFERROR(__xludf.DUMMYFUNCTION("""COMPUTED_VALUE"""),3100.0)</f>
        <v>3100</v>
      </c>
      <c r="C2067" s="1">
        <f>IFERROR(__xludf.DUMMYFUNCTION("""COMPUTED_VALUE"""),3160.0)</f>
        <v>3160</v>
      </c>
      <c r="D2067" s="1">
        <f>IFERROR(__xludf.DUMMYFUNCTION("""COMPUTED_VALUE"""),3065.0)</f>
        <v>3065</v>
      </c>
      <c r="E2067" s="1">
        <f>IFERROR(__xludf.DUMMYFUNCTION("""COMPUTED_VALUE"""),3100.0)</f>
        <v>3100</v>
      </c>
      <c r="F2067" s="1">
        <f>IFERROR(__xludf.DUMMYFUNCTION("""COMPUTED_VALUE"""),551286.0)</f>
        <v>551286</v>
      </c>
    </row>
    <row r="2068">
      <c r="A2068" s="2">
        <f>IFERROR(__xludf.DUMMYFUNCTION("""COMPUTED_VALUE"""),45062.64583333333)</f>
        <v>45062.64583</v>
      </c>
      <c r="B2068" s="1">
        <f>IFERROR(__xludf.DUMMYFUNCTION("""COMPUTED_VALUE"""),3115.0)</f>
        <v>3115</v>
      </c>
      <c r="C2068" s="1">
        <f>IFERROR(__xludf.DUMMYFUNCTION("""COMPUTED_VALUE"""),3145.0)</f>
        <v>3145</v>
      </c>
      <c r="D2068" s="1">
        <f>IFERROR(__xludf.DUMMYFUNCTION("""COMPUTED_VALUE"""),3075.0)</f>
        <v>3075</v>
      </c>
      <c r="E2068" s="1">
        <f>IFERROR(__xludf.DUMMYFUNCTION("""COMPUTED_VALUE"""),3135.0)</f>
        <v>3135</v>
      </c>
      <c r="F2068" s="1">
        <f>IFERROR(__xludf.DUMMYFUNCTION("""COMPUTED_VALUE"""),383980.0)</f>
        <v>383980</v>
      </c>
    </row>
    <row r="2069">
      <c r="A2069" s="2">
        <f>IFERROR(__xludf.DUMMYFUNCTION("""COMPUTED_VALUE"""),45063.64583333333)</f>
        <v>45063.64583</v>
      </c>
      <c r="B2069" s="1">
        <f>IFERROR(__xludf.DUMMYFUNCTION("""COMPUTED_VALUE"""),3125.0)</f>
        <v>3125</v>
      </c>
      <c r="C2069" s="1">
        <f>IFERROR(__xludf.DUMMYFUNCTION("""COMPUTED_VALUE"""),3195.0)</f>
        <v>3195</v>
      </c>
      <c r="D2069" s="1">
        <f>IFERROR(__xludf.DUMMYFUNCTION("""COMPUTED_VALUE"""),3100.0)</f>
        <v>3100</v>
      </c>
      <c r="E2069" s="1">
        <f>IFERROR(__xludf.DUMMYFUNCTION("""COMPUTED_VALUE"""),3170.0)</f>
        <v>3170</v>
      </c>
      <c r="F2069" s="1">
        <f>IFERROR(__xludf.DUMMYFUNCTION("""COMPUTED_VALUE"""),639564.0)</f>
        <v>639564</v>
      </c>
    </row>
    <row r="2070">
      <c r="A2070" s="2">
        <f>IFERROR(__xludf.DUMMYFUNCTION("""COMPUTED_VALUE"""),45064.64583333333)</f>
        <v>45064.64583</v>
      </c>
      <c r="B2070" s="1">
        <f>IFERROR(__xludf.DUMMYFUNCTION("""COMPUTED_VALUE"""),3200.0)</f>
        <v>3200</v>
      </c>
      <c r="C2070" s="1">
        <f>IFERROR(__xludf.DUMMYFUNCTION("""COMPUTED_VALUE"""),3290.0)</f>
        <v>3290</v>
      </c>
      <c r="D2070" s="1">
        <f>IFERROR(__xludf.DUMMYFUNCTION("""COMPUTED_VALUE"""),3185.0)</f>
        <v>3185</v>
      </c>
      <c r="E2070" s="1">
        <f>IFERROR(__xludf.DUMMYFUNCTION("""COMPUTED_VALUE"""),3250.0)</f>
        <v>3250</v>
      </c>
      <c r="F2070" s="1">
        <f>IFERROR(__xludf.DUMMYFUNCTION("""COMPUTED_VALUE"""),865104.0)</f>
        <v>865104</v>
      </c>
    </row>
    <row r="2071">
      <c r="A2071" s="2">
        <f>IFERROR(__xludf.DUMMYFUNCTION("""COMPUTED_VALUE"""),45065.64583333333)</f>
        <v>45065.64583</v>
      </c>
      <c r="B2071" s="1">
        <f>IFERROR(__xludf.DUMMYFUNCTION("""COMPUTED_VALUE"""),3250.0)</f>
        <v>3250</v>
      </c>
      <c r="C2071" s="1">
        <f>IFERROR(__xludf.DUMMYFUNCTION("""COMPUTED_VALUE"""),3260.0)</f>
        <v>3260</v>
      </c>
      <c r="D2071" s="1">
        <f>IFERROR(__xludf.DUMMYFUNCTION("""COMPUTED_VALUE"""),3200.0)</f>
        <v>3200</v>
      </c>
      <c r="E2071" s="1">
        <f>IFERROR(__xludf.DUMMYFUNCTION("""COMPUTED_VALUE"""),3230.0)</f>
        <v>3230</v>
      </c>
      <c r="F2071" s="1">
        <f>IFERROR(__xludf.DUMMYFUNCTION("""COMPUTED_VALUE"""),395752.0)</f>
        <v>395752</v>
      </c>
    </row>
    <row r="2072">
      <c r="A2072" s="2">
        <f>IFERROR(__xludf.DUMMYFUNCTION("""COMPUTED_VALUE"""),45068.64583333333)</f>
        <v>45068.64583</v>
      </c>
      <c r="B2072" s="1">
        <f>IFERROR(__xludf.DUMMYFUNCTION("""COMPUTED_VALUE"""),3240.0)</f>
        <v>3240</v>
      </c>
      <c r="C2072" s="1">
        <f>IFERROR(__xludf.DUMMYFUNCTION("""COMPUTED_VALUE"""),3270.0)</f>
        <v>3270</v>
      </c>
      <c r="D2072" s="1">
        <f>IFERROR(__xludf.DUMMYFUNCTION("""COMPUTED_VALUE"""),3200.0)</f>
        <v>3200</v>
      </c>
      <c r="E2072" s="1">
        <f>IFERROR(__xludf.DUMMYFUNCTION("""COMPUTED_VALUE"""),3265.0)</f>
        <v>3265</v>
      </c>
      <c r="F2072" s="1">
        <f>IFERROR(__xludf.DUMMYFUNCTION("""COMPUTED_VALUE"""),548867.0)</f>
        <v>548867</v>
      </c>
    </row>
    <row r="2073">
      <c r="A2073" s="2">
        <f>IFERROR(__xludf.DUMMYFUNCTION("""COMPUTED_VALUE"""),45069.64583333333)</f>
        <v>45069.64583</v>
      </c>
      <c r="B2073" s="1">
        <f>IFERROR(__xludf.DUMMYFUNCTION("""COMPUTED_VALUE"""),3310.0)</f>
        <v>3310</v>
      </c>
      <c r="C2073" s="1">
        <f>IFERROR(__xludf.DUMMYFUNCTION("""COMPUTED_VALUE"""),3310.0)</f>
        <v>3310</v>
      </c>
      <c r="D2073" s="1">
        <f>IFERROR(__xludf.DUMMYFUNCTION("""COMPUTED_VALUE"""),3210.0)</f>
        <v>3210</v>
      </c>
      <c r="E2073" s="1">
        <f>IFERROR(__xludf.DUMMYFUNCTION("""COMPUTED_VALUE"""),3255.0)</f>
        <v>3255</v>
      </c>
      <c r="F2073" s="1">
        <f>IFERROR(__xludf.DUMMYFUNCTION("""COMPUTED_VALUE"""),632909.0)</f>
        <v>632909</v>
      </c>
    </row>
    <row r="2074">
      <c r="A2074" s="2">
        <f>IFERROR(__xludf.DUMMYFUNCTION("""COMPUTED_VALUE"""),45070.64583333333)</f>
        <v>45070.64583</v>
      </c>
      <c r="B2074" s="1">
        <f>IFERROR(__xludf.DUMMYFUNCTION("""COMPUTED_VALUE"""),3250.0)</f>
        <v>3250</v>
      </c>
      <c r="C2074" s="1">
        <f>IFERROR(__xludf.DUMMYFUNCTION("""COMPUTED_VALUE"""),3250.0)</f>
        <v>3250</v>
      </c>
      <c r="D2074" s="1">
        <f>IFERROR(__xludf.DUMMYFUNCTION("""COMPUTED_VALUE"""),3170.0)</f>
        <v>3170</v>
      </c>
      <c r="E2074" s="1">
        <f>IFERROR(__xludf.DUMMYFUNCTION("""COMPUTED_VALUE"""),3190.0)</f>
        <v>3190</v>
      </c>
      <c r="F2074" s="1">
        <f>IFERROR(__xludf.DUMMYFUNCTION("""COMPUTED_VALUE"""),346520.0)</f>
        <v>346520</v>
      </c>
    </row>
    <row r="2075">
      <c r="A2075" s="2">
        <f>IFERROR(__xludf.DUMMYFUNCTION("""COMPUTED_VALUE"""),45071.64583333333)</f>
        <v>45071.64583</v>
      </c>
      <c r="B2075" s="1">
        <f>IFERROR(__xludf.DUMMYFUNCTION("""COMPUTED_VALUE"""),3195.0)</f>
        <v>3195</v>
      </c>
      <c r="C2075" s="1">
        <f>IFERROR(__xludf.DUMMYFUNCTION("""COMPUTED_VALUE"""),3250.0)</f>
        <v>3250</v>
      </c>
      <c r="D2075" s="1">
        <f>IFERROR(__xludf.DUMMYFUNCTION("""COMPUTED_VALUE"""),3150.0)</f>
        <v>3150</v>
      </c>
      <c r="E2075" s="1">
        <f>IFERROR(__xludf.DUMMYFUNCTION("""COMPUTED_VALUE"""),3180.0)</f>
        <v>3180</v>
      </c>
      <c r="F2075" s="1">
        <f>IFERROR(__xludf.DUMMYFUNCTION("""COMPUTED_VALUE"""),257795.0)</f>
        <v>257795</v>
      </c>
    </row>
    <row r="2076">
      <c r="A2076" s="2">
        <f>IFERROR(__xludf.DUMMYFUNCTION("""COMPUTED_VALUE"""),45072.64583333333)</f>
        <v>45072.64583</v>
      </c>
      <c r="B2076" s="1">
        <f>IFERROR(__xludf.DUMMYFUNCTION("""COMPUTED_VALUE"""),3195.0)</f>
        <v>3195</v>
      </c>
      <c r="C2076" s="1">
        <f>IFERROR(__xludf.DUMMYFUNCTION("""COMPUTED_VALUE"""),3195.0)</f>
        <v>3195</v>
      </c>
      <c r="D2076" s="1">
        <f>IFERROR(__xludf.DUMMYFUNCTION("""COMPUTED_VALUE"""),3115.0)</f>
        <v>3115</v>
      </c>
      <c r="E2076" s="1">
        <f>IFERROR(__xludf.DUMMYFUNCTION("""COMPUTED_VALUE"""),3165.0)</f>
        <v>3165</v>
      </c>
      <c r="F2076" s="1">
        <f>IFERROR(__xludf.DUMMYFUNCTION("""COMPUTED_VALUE"""),183340.0)</f>
        <v>183340</v>
      </c>
    </row>
    <row r="2077">
      <c r="A2077" s="2">
        <f>IFERROR(__xludf.DUMMYFUNCTION("""COMPUTED_VALUE"""),45076.64583333333)</f>
        <v>45076.64583</v>
      </c>
      <c r="B2077" s="1">
        <f>IFERROR(__xludf.DUMMYFUNCTION("""COMPUTED_VALUE"""),3155.0)</f>
        <v>3155</v>
      </c>
      <c r="C2077" s="1">
        <f>IFERROR(__xludf.DUMMYFUNCTION("""COMPUTED_VALUE"""),3205.0)</f>
        <v>3205</v>
      </c>
      <c r="D2077" s="1">
        <f>IFERROR(__xludf.DUMMYFUNCTION("""COMPUTED_VALUE"""),3140.0)</f>
        <v>3140</v>
      </c>
      <c r="E2077" s="1">
        <f>IFERROR(__xludf.DUMMYFUNCTION("""COMPUTED_VALUE"""),3150.0)</f>
        <v>3150</v>
      </c>
      <c r="F2077" s="1">
        <f>IFERROR(__xludf.DUMMYFUNCTION("""COMPUTED_VALUE"""),282042.0)</f>
        <v>282042</v>
      </c>
    </row>
    <row r="2078">
      <c r="A2078" s="2">
        <f>IFERROR(__xludf.DUMMYFUNCTION("""COMPUTED_VALUE"""),45077.64583333333)</f>
        <v>45077.64583</v>
      </c>
      <c r="B2078" s="1">
        <f>IFERROR(__xludf.DUMMYFUNCTION("""COMPUTED_VALUE"""),3140.0)</f>
        <v>3140</v>
      </c>
      <c r="C2078" s="1">
        <f>IFERROR(__xludf.DUMMYFUNCTION("""COMPUTED_VALUE"""),3200.0)</f>
        <v>3200</v>
      </c>
      <c r="D2078" s="1">
        <f>IFERROR(__xludf.DUMMYFUNCTION("""COMPUTED_VALUE"""),3140.0)</f>
        <v>3140</v>
      </c>
      <c r="E2078" s="1">
        <f>IFERROR(__xludf.DUMMYFUNCTION("""COMPUTED_VALUE"""),3170.0)</f>
        <v>3170</v>
      </c>
      <c r="F2078" s="1">
        <f>IFERROR(__xludf.DUMMYFUNCTION("""COMPUTED_VALUE"""),242044.0)</f>
        <v>242044</v>
      </c>
    </row>
    <row r="2079">
      <c r="A2079" s="2">
        <f>IFERROR(__xludf.DUMMYFUNCTION("""COMPUTED_VALUE"""),45078.64583333333)</f>
        <v>45078.64583</v>
      </c>
      <c r="B2079" s="1">
        <f>IFERROR(__xludf.DUMMYFUNCTION("""COMPUTED_VALUE"""),3170.0)</f>
        <v>3170</v>
      </c>
      <c r="C2079" s="1">
        <f>IFERROR(__xludf.DUMMYFUNCTION("""COMPUTED_VALUE"""),3305.0)</f>
        <v>3305</v>
      </c>
      <c r="D2079" s="1">
        <f>IFERROR(__xludf.DUMMYFUNCTION("""COMPUTED_VALUE"""),3170.0)</f>
        <v>3170</v>
      </c>
      <c r="E2079" s="1">
        <f>IFERROR(__xludf.DUMMYFUNCTION("""COMPUTED_VALUE"""),3305.0)</f>
        <v>3305</v>
      </c>
      <c r="F2079" s="1">
        <f>IFERROR(__xludf.DUMMYFUNCTION("""COMPUTED_VALUE"""),992784.0)</f>
        <v>992784</v>
      </c>
    </row>
    <row r="2080">
      <c r="A2080" s="2">
        <f>IFERROR(__xludf.DUMMYFUNCTION("""COMPUTED_VALUE"""),45079.64583333333)</f>
        <v>45079.64583</v>
      </c>
      <c r="B2080" s="1">
        <f>IFERROR(__xludf.DUMMYFUNCTION("""COMPUTED_VALUE"""),3300.0)</f>
        <v>3300</v>
      </c>
      <c r="C2080" s="1">
        <f>IFERROR(__xludf.DUMMYFUNCTION("""COMPUTED_VALUE"""),3315.0)</f>
        <v>3315</v>
      </c>
      <c r="D2080" s="1">
        <f>IFERROR(__xludf.DUMMYFUNCTION("""COMPUTED_VALUE"""),3260.0)</f>
        <v>3260</v>
      </c>
      <c r="E2080" s="1">
        <f>IFERROR(__xludf.DUMMYFUNCTION("""COMPUTED_VALUE"""),3260.0)</f>
        <v>3260</v>
      </c>
      <c r="F2080" s="1">
        <f>IFERROR(__xludf.DUMMYFUNCTION("""COMPUTED_VALUE"""),335843.0)</f>
        <v>335843</v>
      </c>
    </row>
    <row r="2081">
      <c r="A2081" s="2">
        <f>IFERROR(__xludf.DUMMYFUNCTION("""COMPUTED_VALUE"""),45082.64583333333)</f>
        <v>45082.64583</v>
      </c>
      <c r="B2081" s="1">
        <f>IFERROR(__xludf.DUMMYFUNCTION("""COMPUTED_VALUE"""),3285.0)</f>
        <v>3285</v>
      </c>
      <c r="C2081" s="1">
        <f>IFERROR(__xludf.DUMMYFUNCTION("""COMPUTED_VALUE"""),3370.0)</f>
        <v>3370</v>
      </c>
      <c r="D2081" s="1">
        <f>IFERROR(__xludf.DUMMYFUNCTION("""COMPUTED_VALUE"""),3250.0)</f>
        <v>3250</v>
      </c>
      <c r="E2081" s="1">
        <f>IFERROR(__xludf.DUMMYFUNCTION("""COMPUTED_VALUE"""),3330.0)</f>
        <v>3330</v>
      </c>
      <c r="F2081" s="1">
        <f>IFERROR(__xludf.DUMMYFUNCTION("""COMPUTED_VALUE"""),877944.0)</f>
        <v>877944</v>
      </c>
    </row>
    <row r="2082">
      <c r="A2082" s="2">
        <f>IFERROR(__xludf.DUMMYFUNCTION("""COMPUTED_VALUE"""),45084.64583333333)</f>
        <v>45084.64583</v>
      </c>
      <c r="B2082" s="1">
        <f>IFERROR(__xludf.DUMMYFUNCTION("""COMPUTED_VALUE"""),3330.0)</f>
        <v>3330</v>
      </c>
      <c r="C2082" s="1">
        <f>IFERROR(__xludf.DUMMYFUNCTION("""COMPUTED_VALUE"""),3335.0)</f>
        <v>3335</v>
      </c>
      <c r="D2082" s="1">
        <f>IFERROR(__xludf.DUMMYFUNCTION("""COMPUTED_VALUE"""),3260.0)</f>
        <v>3260</v>
      </c>
      <c r="E2082" s="1">
        <f>IFERROR(__xludf.DUMMYFUNCTION("""COMPUTED_VALUE"""),3275.0)</f>
        <v>3275</v>
      </c>
      <c r="F2082" s="1">
        <f>IFERROR(__xludf.DUMMYFUNCTION("""COMPUTED_VALUE"""),467148.0)</f>
        <v>467148</v>
      </c>
    </row>
    <row r="2083">
      <c r="A2083" s="2">
        <f>IFERROR(__xludf.DUMMYFUNCTION("""COMPUTED_VALUE"""),45085.64583333333)</f>
        <v>45085.64583</v>
      </c>
      <c r="B2083" s="1">
        <f>IFERROR(__xludf.DUMMYFUNCTION("""COMPUTED_VALUE"""),3250.0)</f>
        <v>3250</v>
      </c>
      <c r="C2083" s="1">
        <f>IFERROR(__xludf.DUMMYFUNCTION("""COMPUTED_VALUE"""),3295.0)</f>
        <v>3295</v>
      </c>
      <c r="D2083" s="1">
        <f>IFERROR(__xludf.DUMMYFUNCTION("""COMPUTED_VALUE"""),3230.0)</f>
        <v>3230</v>
      </c>
      <c r="E2083" s="1">
        <f>IFERROR(__xludf.DUMMYFUNCTION("""COMPUTED_VALUE"""),3240.0)</f>
        <v>3240</v>
      </c>
      <c r="F2083" s="1">
        <f>IFERROR(__xludf.DUMMYFUNCTION("""COMPUTED_VALUE"""),328833.0)</f>
        <v>328833</v>
      </c>
    </row>
    <row r="2084">
      <c r="A2084" s="2">
        <f>IFERROR(__xludf.DUMMYFUNCTION("""COMPUTED_VALUE"""),45086.64583333333)</f>
        <v>45086.64583</v>
      </c>
      <c r="B2084" s="1">
        <f>IFERROR(__xludf.DUMMYFUNCTION("""COMPUTED_VALUE"""),3255.0)</f>
        <v>3255</v>
      </c>
      <c r="C2084" s="1">
        <f>IFERROR(__xludf.DUMMYFUNCTION("""COMPUTED_VALUE"""),3275.0)</f>
        <v>3275</v>
      </c>
      <c r="D2084" s="1">
        <f>IFERROR(__xludf.DUMMYFUNCTION("""COMPUTED_VALUE"""),3220.0)</f>
        <v>3220</v>
      </c>
      <c r="E2084" s="1">
        <f>IFERROR(__xludf.DUMMYFUNCTION("""COMPUTED_VALUE"""),3240.0)</f>
        <v>3240</v>
      </c>
      <c r="F2084" s="1">
        <f>IFERROR(__xludf.DUMMYFUNCTION("""COMPUTED_VALUE"""),260955.0)</f>
        <v>260955</v>
      </c>
    </row>
    <row r="2085">
      <c r="A2085" s="2">
        <f>IFERROR(__xludf.DUMMYFUNCTION("""COMPUTED_VALUE"""),45089.64583333333)</f>
        <v>45089.64583</v>
      </c>
      <c r="B2085" s="1">
        <f>IFERROR(__xludf.DUMMYFUNCTION("""COMPUTED_VALUE"""),3250.0)</f>
        <v>3250</v>
      </c>
      <c r="C2085" s="1">
        <f>IFERROR(__xludf.DUMMYFUNCTION("""COMPUTED_VALUE"""),3260.0)</f>
        <v>3260</v>
      </c>
      <c r="D2085" s="1">
        <f>IFERROR(__xludf.DUMMYFUNCTION("""COMPUTED_VALUE"""),3225.0)</f>
        <v>3225</v>
      </c>
      <c r="E2085" s="1">
        <f>IFERROR(__xludf.DUMMYFUNCTION("""COMPUTED_VALUE"""),3260.0)</f>
        <v>3260</v>
      </c>
      <c r="F2085" s="1">
        <f>IFERROR(__xludf.DUMMYFUNCTION("""COMPUTED_VALUE"""),255139.0)</f>
        <v>255139</v>
      </c>
    </row>
    <row r="2086">
      <c r="A2086" s="2">
        <f>IFERROR(__xludf.DUMMYFUNCTION("""COMPUTED_VALUE"""),45090.64583333333)</f>
        <v>45090.64583</v>
      </c>
      <c r="B2086" s="1">
        <f>IFERROR(__xludf.DUMMYFUNCTION("""COMPUTED_VALUE"""),3250.0)</f>
        <v>3250</v>
      </c>
      <c r="C2086" s="1">
        <f>IFERROR(__xludf.DUMMYFUNCTION("""COMPUTED_VALUE"""),3295.0)</f>
        <v>3295</v>
      </c>
      <c r="D2086" s="1">
        <f>IFERROR(__xludf.DUMMYFUNCTION("""COMPUTED_VALUE"""),3250.0)</f>
        <v>3250</v>
      </c>
      <c r="E2086" s="1">
        <f>IFERROR(__xludf.DUMMYFUNCTION("""COMPUTED_VALUE"""),3265.0)</f>
        <v>3265</v>
      </c>
      <c r="F2086" s="1">
        <f>IFERROR(__xludf.DUMMYFUNCTION("""COMPUTED_VALUE"""),236564.0)</f>
        <v>236564</v>
      </c>
    </row>
    <row r="2087">
      <c r="A2087" s="2">
        <f>IFERROR(__xludf.DUMMYFUNCTION("""COMPUTED_VALUE"""),45091.64583333333)</f>
        <v>45091.64583</v>
      </c>
      <c r="B2087" s="1">
        <f>IFERROR(__xludf.DUMMYFUNCTION("""COMPUTED_VALUE"""),3265.0)</f>
        <v>3265</v>
      </c>
      <c r="C2087" s="1">
        <f>IFERROR(__xludf.DUMMYFUNCTION("""COMPUTED_VALUE"""),3280.0)</f>
        <v>3280</v>
      </c>
      <c r="D2087" s="1">
        <f>IFERROR(__xludf.DUMMYFUNCTION("""COMPUTED_VALUE"""),3155.0)</f>
        <v>3155</v>
      </c>
      <c r="E2087" s="1">
        <f>IFERROR(__xludf.DUMMYFUNCTION("""COMPUTED_VALUE"""),3200.0)</f>
        <v>3200</v>
      </c>
      <c r="F2087" s="1">
        <f>IFERROR(__xludf.DUMMYFUNCTION("""COMPUTED_VALUE"""),376149.0)</f>
        <v>376149</v>
      </c>
    </row>
    <row r="2088">
      <c r="A2088" s="2">
        <f>IFERROR(__xludf.DUMMYFUNCTION("""COMPUTED_VALUE"""),45092.64583333333)</f>
        <v>45092.64583</v>
      </c>
      <c r="B2088" s="1">
        <f>IFERROR(__xludf.DUMMYFUNCTION("""COMPUTED_VALUE"""),3200.0)</f>
        <v>3200</v>
      </c>
      <c r="C2088" s="1">
        <f>IFERROR(__xludf.DUMMYFUNCTION("""COMPUTED_VALUE"""),3240.0)</f>
        <v>3240</v>
      </c>
      <c r="D2088" s="1">
        <f>IFERROR(__xludf.DUMMYFUNCTION("""COMPUTED_VALUE"""),3130.0)</f>
        <v>3130</v>
      </c>
      <c r="E2088" s="1">
        <f>IFERROR(__xludf.DUMMYFUNCTION("""COMPUTED_VALUE"""),3170.0)</f>
        <v>3170</v>
      </c>
      <c r="F2088" s="1">
        <f>IFERROR(__xludf.DUMMYFUNCTION("""COMPUTED_VALUE"""),268824.0)</f>
        <v>268824</v>
      </c>
    </row>
    <row r="2089">
      <c r="A2089" s="2">
        <f>IFERROR(__xludf.DUMMYFUNCTION("""COMPUTED_VALUE"""),45093.64583333333)</f>
        <v>45093.64583</v>
      </c>
      <c r="B2089" s="1">
        <f>IFERROR(__xludf.DUMMYFUNCTION("""COMPUTED_VALUE"""),3185.0)</f>
        <v>3185</v>
      </c>
      <c r="C2089" s="1">
        <f>IFERROR(__xludf.DUMMYFUNCTION("""COMPUTED_VALUE"""),3190.0)</f>
        <v>3190</v>
      </c>
      <c r="D2089" s="1">
        <f>IFERROR(__xludf.DUMMYFUNCTION("""COMPUTED_VALUE"""),3160.0)</f>
        <v>3160</v>
      </c>
      <c r="E2089" s="1">
        <f>IFERROR(__xludf.DUMMYFUNCTION("""COMPUTED_VALUE"""),3180.0)</f>
        <v>3180</v>
      </c>
      <c r="F2089" s="1">
        <f>IFERROR(__xludf.DUMMYFUNCTION("""COMPUTED_VALUE"""),159042.0)</f>
        <v>159042</v>
      </c>
    </row>
    <row r="2090">
      <c r="A2090" s="2">
        <f>IFERROR(__xludf.DUMMYFUNCTION("""COMPUTED_VALUE"""),45096.64583333333)</f>
        <v>45096.64583</v>
      </c>
      <c r="B2090" s="1">
        <f>IFERROR(__xludf.DUMMYFUNCTION("""COMPUTED_VALUE"""),3180.0)</f>
        <v>3180</v>
      </c>
      <c r="C2090" s="1">
        <f>IFERROR(__xludf.DUMMYFUNCTION("""COMPUTED_VALUE"""),3240.0)</f>
        <v>3240</v>
      </c>
      <c r="D2090" s="1">
        <f>IFERROR(__xludf.DUMMYFUNCTION("""COMPUTED_VALUE"""),3130.0)</f>
        <v>3130</v>
      </c>
      <c r="E2090" s="1">
        <f>IFERROR(__xludf.DUMMYFUNCTION("""COMPUTED_VALUE"""),3240.0)</f>
        <v>3240</v>
      </c>
      <c r="F2090" s="1">
        <f>IFERROR(__xludf.DUMMYFUNCTION("""COMPUTED_VALUE"""),252339.0)</f>
        <v>252339</v>
      </c>
    </row>
    <row r="2091">
      <c r="A2091" s="2">
        <f>IFERROR(__xludf.DUMMYFUNCTION("""COMPUTED_VALUE"""),45097.64583333333)</f>
        <v>45097.64583</v>
      </c>
      <c r="B2091" s="1">
        <f>IFERROR(__xludf.DUMMYFUNCTION("""COMPUTED_VALUE"""),3200.0)</f>
        <v>3200</v>
      </c>
      <c r="C2091" s="1">
        <f>IFERROR(__xludf.DUMMYFUNCTION("""COMPUTED_VALUE"""),3445.0)</f>
        <v>3445</v>
      </c>
      <c r="D2091" s="1">
        <f>IFERROR(__xludf.DUMMYFUNCTION("""COMPUTED_VALUE"""),3200.0)</f>
        <v>3200</v>
      </c>
      <c r="E2091" s="1">
        <f>IFERROR(__xludf.DUMMYFUNCTION("""COMPUTED_VALUE"""),3275.0)</f>
        <v>3275</v>
      </c>
      <c r="F2091" s="1">
        <f>IFERROR(__xludf.DUMMYFUNCTION("""COMPUTED_VALUE"""),3592875.0)</f>
        <v>3592875</v>
      </c>
    </row>
    <row r="2092">
      <c r="A2092" s="2">
        <f>IFERROR(__xludf.DUMMYFUNCTION("""COMPUTED_VALUE"""),45098.64583333333)</f>
        <v>45098.64583</v>
      </c>
      <c r="B2092" s="1">
        <f>IFERROR(__xludf.DUMMYFUNCTION("""COMPUTED_VALUE"""),3290.0)</f>
        <v>3290</v>
      </c>
      <c r="C2092" s="1">
        <f>IFERROR(__xludf.DUMMYFUNCTION("""COMPUTED_VALUE"""),3325.0)</f>
        <v>3325</v>
      </c>
      <c r="D2092" s="1">
        <f>IFERROR(__xludf.DUMMYFUNCTION("""COMPUTED_VALUE"""),3255.0)</f>
        <v>3255</v>
      </c>
      <c r="E2092" s="1">
        <f>IFERROR(__xludf.DUMMYFUNCTION("""COMPUTED_VALUE"""),3280.0)</f>
        <v>3280</v>
      </c>
      <c r="F2092" s="1">
        <f>IFERROR(__xludf.DUMMYFUNCTION("""COMPUTED_VALUE"""),597423.0)</f>
        <v>597423</v>
      </c>
    </row>
    <row r="2093">
      <c r="A2093" s="2">
        <f>IFERROR(__xludf.DUMMYFUNCTION("""COMPUTED_VALUE"""),45099.64583333333)</f>
        <v>45099.64583</v>
      </c>
      <c r="B2093" s="1">
        <f>IFERROR(__xludf.DUMMYFUNCTION("""COMPUTED_VALUE"""),3305.0)</f>
        <v>3305</v>
      </c>
      <c r="C2093" s="1">
        <f>IFERROR(__xludf.DUMMYFUNCTION("""COMPUTED_VALUE"""),3370.0)</f>
        <v>3370</v>
      </c>
      <c r="D2093" s="1">
        <f>IFERROR(__xludf.DUMMYFUNCTION("""COMPUTED_VALUE"""),3265.0)</f>
        <v>3265</v>
      </c>
      <c r="E2093" s="1">
        <f>IFERROR(__xludf.DUMMYFUNCTION("""COMPUTED_VALUE"""),3270.0)</f>
        <v>3270</v>
      </c>
      <c r="F2093" s="1">
        <f>IFERROR(__xludf.DUMMYFUNCTION("""COMPUTED_VALUE"""),939739.0)</f>
        <v>939739</v>
      </c>
    </row>
    <row r="2094">
      <c r="A2094" s="2">
        <f>IFERROR(__xludf.DUMMYFUNCTION("""COMPUTED_VALUE"""),45100.64583333333)</f>
        <v>45100.64583</v>
      </c>
      <c r="B2094" s="1">
        <f>IFERROR(__xludf.DUMMYFUNCTION("""COMPUTED_VALUE"""),3330.0)</f>
        <v>3330</v>
      </c>
      <c r="C2094" s="1">
        <f>IFERROR(__xludf.DUMMYFUNCTION("""COMPUTED_VALUE"""),3360.0)</f>
        <v>3360</v>
      </c>
      <c r="D2094" s="1">
        <f>IFERROR(__xludf.DUMMYFUNCTION("""COMPUTED_VALUE"""),3270.0)</f>
        <v>3270</v>
      </c>
      <c r="E2094" s="1">
        <f>IFERROR(__xludf.DUMMYFUNCTION("""COMPUTED_VALUE"""),3345.0)</f>
        <v>3345</v>
      </c>
      <c r="F2094" s="1">
        <f>IFERROR(__xludf.DUMMYFUNCTION("""COMPUTED_VALUE"""),791988.0)</f>
        <v>791988</v>
      </c>
    </row>
    <row r="2095">
      <c r="A2095" s="2">
        <f>IFERROR(__xludf.DUMMYFUNCTION("""COMPUTED_VALUE"""),45103.64583333333)</f>
        <v>45103.64583</v>
      </c>
      <c r="B2095" s="1">
        <f>IFERROR(__xludf.DUMMYFUNCTION("""COMPUTED_VALUE"""),3325.0)</f>
        <v>3325</v>
      </c>
      <c r="C2095" s="1">
        <f>IFERROR(__xludf.DUMMYFUNCTION("""COMPUTED_VALUE"""),3440.0)</f>
        <v>3440</v>
      </c>
      <c r="D2095" s="1">
        <f>IFERROR(__xludf.DUMMYFUNCTION("""COMPUTED_VALUE"""),3300.0)</f>
        <v>3300</v>
      </c>
      <c r="E2095" s="1">
        <f>IFERROR(__xludf.DUMMYFUNCTION("""COMPUTED_VALUE"""),3330.0)</f>
        <v>3330</v>
      </c>
      <c r="F2095" s="1">
        <f>IFERROR(__xludf.DUMMYFUNCTION("""COMPUTED_VALUE"""),1286326.0)</f>
        <v>1286326</v>
      </c>
    </row>
    <row r="2096">
      <c r="A2096" s="2">
        <f>IFERROR(__xludf.DUMMYFUNCTION("""COMPUTED_VALUE"""),45104.64583333333)</f>
        <v>45104.64583</v>
      </c>
      <c r="B2096" s="1">
        <f>IFERROR(__xludf.DUMMYFUNCTION("""COMPUTED_VALUE"""),3330.0)</f>
        <v>3330</v>
      </c>
      <c r="C2096" s="1">
        <f>IFERROR(__xludf.DUMMYFUNCTION("""COMPUTED_VALUE"""),3740.0)</f>
        <v>3740</v>
      </c>
      <c r="D2096" s="1">
        <f>IFERROR(__xludf.DUMMYFUNCTION("""COMPUTED_VALUE"""),3310.0)</f>
        <v>3310</v>
      </c>
      <c r="E2096" s="1">
        <f>IFERROR(__xludf.DUMMYFUNCTION("""COMPUTED_VALUE"""),3595.0)</f>
        <v>3595</v>
      </c>
      <c r="F2096" s="1">
        <f>IFERROR(__xludf.DUMMYFUNCTION("""COMPUTED_VALUE"""),2.0323222E7)</f>
        <v>20323222</v>
      </c>
    </row>
    <row r="2097">
      <c r="A2097" s="2">
        <f>IFERROR(__xludf.DUMMYFUNCTION("""COMPUTED_VALUE"""),45105.64583333333)</f>
        <v>45105.64583</v>
      </c>
      <c r="B2097" s="1">
        <f>IFERROR(__xludf.DUMMYFUNCTION("""COMPUTED_VALUE"""),3620.0)</f>
        <v>3620</v>
      </c>
      <c r="C2097" s="1">
        <f>IFERROR(__xludf.DUMMYFUNCTION("""COMPUTED_VALUE"""),3695.0)</f>
        <v>3695</v>
      </c>
      <c r="D2097" s="1">
        <f>IFERROR(__xludf.DUMMYFUNCTION("""COMPUTED_VALUE"""),3540.0)</f>
        <v>3540</v>
      </c>
      <c r="E2097" s="1">
        <f>IFERROR(__xludf.DUMMYFUNCTION("""COMPUTED_VALUE"""),3555.0)</f>
        <v>3555</v>
      </c>
      <c r="F2097" s="1">
        <f>IFERROR(__xludf.DUMMYFUNCTION("""COMPUTED_VALUE"""),3561655.0)</f>
        <v>3561655</v>
      </c>
    </row>
    <row r="2098">
      <c r="A2098" s="2">
        <f>IFERROR(__xludf.DUMMYFUNCTION("""COMPUTED_VALUE"""),45106.64583333333)</f>
        <v>45106.64583</v>
      </c>
      <c r="B2098" s="1">
        <f>IFERROR(__xludf.DUMMYFUNCTION("""COMPUTED_VALUE"""),3595.0)</f>
        <v>3595</v>
      </c>
      <c r="C2098" s="1">
        <f>IFERROR(__xludf.DUMMYFUNCTION("""COMPUTED_VALUE"""),3600.0)</f>
        <v>3600</v>
      </c>
      <c r="D2098" s="1">
        <f>IFERROR(__xludf.DUMMYFUNCTION("""COMPUTED_VALUE"""),3495.0)</f>
        <v>3495</v>
      </c>
      <c r="E2098" s="1">
        <f>IFERROR(__xludf.DUMMYFUNCTION("""COMPUTED_VALUE"""),3520.0)</f>
        <v>3520</v>
      </c>
      <c r="F2098" s="1">
        <f>IFERROR(__xludf.DUMMYFUNCTION("""COMPUTED_VALUE"""),1261564.0)</f>
        <v>1261564</v>
      </c>
    </row>
    <row r="2099">
      <c r="A2099" s="2">
        <f>IFERROR(__xludf.DUMMYFUNCTION("""COMPUTED_VALUE"""),45107.64583333333)</f>
        <v>45107.64583</v>
      </c>
      <c r="B2099" s="1">
        <f>IFERROR(__xludf.DUMMYFUNCTION("""COMPUTED_VALUE"""),3510.0)</f>
        <v>3510</v>
      </c>
      <c r="C2099" s="1">
        <f>IFERROR(__xludf.DUMMYFUNCTION("""COMPUTED_VALUE"""),3540.0)</f>
        <v>3540</v>
      </c>
      <c r="D2099" s="1">
        <f>IFERROR(__xludf.DUMMYFUNCTION("""COMPUTED_VALUE"""),3485.0)</f>
        <v>3485</v>
      </c>
      <c r="E2099" s="1">
        <f>IFERROR(__xludf.DUMMYFUNCTION("""COMPUTED_VALUE"""),3505.0)</f>
        <v>3505</v>
      </c>
      <c r="F2099" s="1">
        <f>IFERROR(__xludf.DUMMYFUNCTION("""COMPUTED_VALUE"""),920938.0)</f>
        <v>920938</v>
      </c>
    </row>
    <row r="2100">
      <c r="A2100" s="2">
        <f>IFERROR(__xludf.DUMMYFUNCTION("""COMPUTED_VALUE"""),45110.64583333333)</f>
        <v>45110.64583</v>
      </c>
      <c r="B2100" s="1">
        <f>IFERROR(__xludf.DUMMYFUNCTION("""COMPUTED_VALUE"""),3505.0)</f>
        <v>3505</v>
      </c>
      <c r="C2100" s="1">
        <f>IFERROR(__xludf.DUMMYFUNCTION("""COMPUTED_VALUE"""),3575.0)</f>
        <v>3575</v>
      </c>
      <c r="D2100" s="1">
        <f>IFERROR(__xludf.DUMMYFUNCTION("""COMPUTED_VALUE"""),3485.0)</f>
        <v>3485</v>
      </c>
      <c r="E2100" s="1">
        <f>IFERROR(__xludf.DUMMYFUNCTION("""COMPUTED_VALUE"""),3530.0)</f>
        <v>3530</v>
      </c>
      <c r="F2100" s="1">
        <f>IFERROR(__xludf.DUMMYFUNCTION("""COMPUTED_VALUE"""),917355.0)</f>
        <v>917355</v>
      </c>
    </row>
    <row r="2101">
      <c r="A2101" s="2">
        <f>IFERROR(__xludf.DUMMYFUNCTION("""COMPUTED_VALUE"""),45111.64583333333)</f>
        <v>45111.64583</v>
      </c>
      <c r="B2101" s="1">
        <f>IFERROR(__xludf.DUMMYFUNCTION("""COMPUTED_VALUE"""),3505.0)</f>
        <v>3505</v>
      </c>
      <c r="C2101" s="1">
        <f>IFERROR(__xludf.DUMMYFUNCTION("""COMPUTED_VALUE"""),3565.0)</f>
        <v>3565</v>
      </c>
      <c r="D2101" s="1">
        <f>IFERROR(__xludf.DUMMYFUNCTION("""COMPUTED_VALUE"""),3475.0)</f>
        <v>3475</v>
      </c>
      <c r="E2101" s="1">
        <f>IFERROR(__xludf.DUMMYFUNCTION("""COMPUTED_VALUE"""),3560.0)</f>
        <v>3560</v>
      </c>
      <c r="F2101" s="1">
        <f>IFERROR(__xludf.DUMMYFUNCTION("""COMPUTED_VALUE"""),723167.0)</f>
        <v>723167</v>
      </c>
    </row>
    <row r="2102">
      <c r="A2102" s="2">
        <f>IFERROR(__xludf.DUMMYFUNCTION("""COMPUTED_VALUE"""),45112.64583333333)</f>
        <v>45112.64583</v>
      </c>
      <c r="B2102" s="1">
        <f>IFERROR(__xludf.DUMMYFUNCTION("""COMPUTED_VALUE"""),3535.0)</f>
        <v>3535</v>
      </c>
      <c r="C2102" s="1">
        <f>IFERROR(__xludf.DUMMYFUNCTION("""COMPUTED_VALUE"""),3550.0)</f>
        <v>3550</v>
      </c>
      <c r="D2102" s="1">
        <f>IFERROR(__xludf.DUMMYFUNCTION("""COMPUTED_VALUE"""),3425.0)</f>
        <v>3425</v>
      </c>
      <c r="E2102" s="1">
        <f>IFERROR(__xludf.DUMMYFUNCTION("""COMPUTED_VALUE"""),3445.0)</f>
        <v>3445</v>
      </c>
      <c r="F2102" s="1">
        <f>IFERROR(__xludf.DUMMYFUNCTION("""COMPUTED_VALUE"""),698398.0)</f>
        <v>698398</v>
      </c>
    </row>
    <row r="2103">
      <c r="A2103" s="2">
        <f>IFERROR(__xludf.DUMMYFUNCTION("""COMPUTED_VALUE"""),45113.64583333333)</f>
        <v>45113.64583</v>
      </c>
      <c r="B2103" s="1">
        <f>IFERROR(__xludf.DUMMYFUNCTION("""COMPUTED_VALUE"""),3445.0)</f>
        <v>3445</v>
      </c>
      <c r="C2103" s="1">
        <f>IFERROR(__xludf.DUMMYFUNCTION("""COMPUTED_VALUE"""),3510.0)</f>
        <v>3510</v>
      </c>
      <c r="D2103" s="1">
        <f>IFERROR(__xludf.DUMMYFUNCTION("""COMPUTED_VALUE"""),3355.0)</f>
        <v>3355</v>
      </c>
      <c r="E2103" s="1">
        <f>IFERROR(__xludf.DUMMYFUNCTION("""COMPUTED_VALUE"""),3370.0)</f>
        <v>3370</v>
      </c>
      <c r="F2103" s="1">
        <f>IFERROR(__xludf.DUMMYFUNCTION("""COMPUTED_VALUE"""),586002.0)</f>
        <v>586002</v>
      </c>
    </row>
    <row r="2104">
      <c r="A2104" s="2">
        <f>IFERROR(__xludf.DUMMYFUNCTION("""COMPUTED_VALUE"""),45114.64583333333)</f>
        <v>45114.64583</v>
      </c>
      <c r="B2104" s="1">
        <f>IFERROR(__xludf.DUMMYFUNCTION("""COMPUTED_VALUE"""),3335.0)</f>
        <v>3335</v>
      </c>
      <c r="C2104" s="1">
        <f>IFERROR(__xludf.DUMMYFUNCTION("""COMPUTED_VALUE"""),3375.0)</f>
        <v>3375</v>
      </c>
      <c r="D2104" s="1">
        <f>IFERROR(__xludf.DUMMYFUNCTION("""COMPUTED_VALUE"""),3290.0)</f>
        <v>3290</v>
      </c>
      <c r="E2104" s="1">
        <f>IFERROR(__xludf.DUMMYFUNCTION("""COMPUTED_VALUE"""),3345.0)</f>
        <v>3345</v>
      </c>
      <c r="F2104" s="1">
        <f>IFERROR(__xludf.DUMMYFUNCTION("""COMPUTED_VALUE"""),369731.0)</f>
        <v>369731</v>
      </c>
    </row>
    <row r="2105">
      <c r="A2105" s="2">
        <f>IFERROR(__xludf.DUMMYFUNCTION("""COMPUTED_VALUE"""),45117.64583333333)</f>
        <v>45117.64583</v>
      </c>
      <c r="B2105" s="1">
        <f>IFERROR(__xludf.DUMMYFUNCTION("""COMPUTED_VALUE"""),3310.0)</f>
        <v>3310</v>
      </c>
      <c r="C2105" s="1">
        <f>IFERROR(__xludf.DUMMYFUNCTION("""COMPUTED_VALUE"""),3385.0)</f>
        <v>3385</v>
      </c>
      <c r="D2105" s="1">
        <f>IFERROR(__xludf.DUMMYFUNCTION("""COMPUTED_VALUE"""),3295.0)</f>
        <v>3295</v>
      </c>
      <c r="E2105" s="1">
        <f>IFERROR(__xludf.DUMMYFUNCTION("""COMPUTED_VALUE"""),3370.0)</f>
        <v>3370</v>
      </c>
      <c r="F2105" s="1">
        <f>IFERROR(__xludf.DUMMYFUNCTION("""COMPUTED_VALUE"""),278923.0)</f>
        <v>278923</v>
      </c>
    </row>
    <row r="2106">
      <c r="A2106" s="2">
        <f>IFERROR(__xludf.DUMMYFUNCTION("""COMPUTED_VALUE"""),45118.64583333333)</f>
        <v>45118.64583</v>
      </c>
      <c r="B2106" s="1">
        <f>IFERROR(__xludf.DUMMYFUNCTION("""COMPUTED_VALUE"""),3345.0)</f>
        <v>3345</v>
      </c>
      <c r="C2106" s="1">
        <f>IFERROR(__xludf.DUMMYFUNCTION("""COMPUTED_VALUE"""),3425.0)</f>
        <v>3425</v>
      </c>
      <c r="D2106" s="1">
        <f>IFERROR(__xludf.DUMMYFUNCTION("""COMPUTED_VALUE"""),3340.0)</f>
        <v>3340</v>
      </c>
      <c r="E2106" s="1">
        <f>IFERROR(__xludf.DUMMYFUNCTION("""COMPUTED_VALUE"""),3425.0)</f>
        <v>3425</v>
      </c>
      <c r="F2106" s="1">
        <f>IFERROR(__xludf.DUMMYFUNCTION("""COMPUTED_VALUE"""),417403.0)</f>
        <v>417403</v>
      </c>
    </row>
    <row r="2107">
      <c r="A2107" s="2">
        <f>IFERROR(__xludf.DUMMYFUNCTION("""COMPUTED_VALUE"""),45119.64583333333)</f>
        <v>45119.64583</v>
      </c>
      <c r="B2107" s="1">
        <f>IFERROR(__xludf.DUMMYFUNCTION("""COMPUTED_VALUE"""),3440.0)</f>
        <v>3440</v>
      </c>
      <c r="C2107" s="1">
        <f>IFERROR(__xludf.DUMMYFUNCTION("""COMPUTED_VALUE"""),3520.0)</f>
        <v>3520</v>
      </c>
      <c r="D2107" s="1">
        <f>IFERROR(__xludf.DUMMYFUNCTION("""COMPUTED_VALUE"""),3400.0)</f>
        <v>3400</v>
      </c>
      <c r="E2107" s="1">
        <f>IFERROR(__xludf.DUMMYFUNCTION("""COMPUTED_VALUE"""),3460.0)</f>
        <v>3460</v>
      </c>
      <c r="F2107" s="1">
        <f>IFERROR(__xludf.DUMMYFUNCTION("""COMPUTED_VALUE"""),590962.0)</f>
        <v>590962</v>
      </c>
    </row>
    <row r="2108">
      <c r="A2108" s="2">
        <f>IFERROR(__xludf.DUMMYFUNCTION("""COMPUTED_VALUE"""),45120.64583333333)</f>
        <v>45120.64583</v>
      </c>
      <c r="B2108" s="1">
        <f>IFERROR(__xludf.DUMMYFUNCTION("""COMPUTED_VALUE"""),3475.0)</f>
        <v>3475</v>
      </c>
      <c r="C2108" s="1">
        <f>IFERROR(__xludf.DUMMYFUNCTION("""COMPUTED_VALUE"""),3485.0)</f>
        <v>3485</v>
      </c>
      <c r="D2108" s="1">
        <f>IFERROR(__xludf.DUMMYFUNCTION("""COMPUTED_VALUE"""),3435.0)</f>
        <v>3435</v>
      </c>
      <c r="E2108" s="1">
        <f>IFERROR(__xludf.DUMMYFUNCTION("""COMPUTED_VALUE"""),3485.0)</f>
        <v>3485</v>
      </c>
      <c r="F2108" s="1">
        <f>IFERROR(__xludf.DUMMYFUNCTION("""COMPUTED_VALUE"""),305946.0)</f>
        <v>305946</v>
      </c>
    </row>
    <row r="2109">
      <c r="A2109" s="2">
        <f>IFERROR(__xludf.DUMMYFUNCTION("""COMPUTED_VALUE"""),45121.64583333333)</f>
        <v>45121.64583</v>
      </c>
      <c r="B2109" s="1">
        <f>IFERROR(__xludf.DUMMYFUNCTION("""COMPUTED_VALUE"""),3505.0)</f>
        <v>3505</v>
      </c>
      <c r="C2109" s="1">
        <f>IFERROR(__xludf.DUMMYFUNCTION("""COMPUTED_VALUE"""),3505.0)</f>
        <v>3505</v>
      </c>
      <c r="D2109" s="1">
        <f>IFERROR(__xludf.DUMMYFUNCTION("""COMPUTED_VALUE"""),3415.0)</f>
        <v>3415</v>
      </c>
      <c r="E2109" s="1">
        <f>IFERROR(__xludf.DUMMYFUNCTION("""COMPUTED_VALUE"""),3485.0)</f>
        <v>3485</v>
      </c>
      <c r="F2109" s="1">
        <f>IFERROR(__xludf.DUMMYFUNCTION("""COMPUTED_VALUE"""),380433.0)</f>
        <v>380433</v>
      </c>
    </row>
    <row r="2110">
      <c r="A2110" s="2">
        <f>IFERROR(__xludf.DUMMYFUNCTION("""COMPUTED_VALUE"""),45124.64583333333)</f>
        <v>45124.64583</v>
      </c>
      <c r="B2110" s="1">
        <f>IFERROR(__xludf.DUMMYFUNCTION("""COMPUTED_VALUE"""),3450.0)</f>
        <v>3450</v>
      </c>
      <c r="C2110" s="1">
        <f>IFERROR(__xludf.DUMMYFUNCTION("""COMPUTED_VALUE"""),3480.0)</f>
        <v>3480</v>
      </c>
      <c r="D2110" s="1">
        <f>IFERROR(__xludf.DUMMYFUNCTION("""COMPUTED_VALUE"""),3385.0)</f>
        <v>3385</v>
      </c>
      <c r="E2110" s="1">
        <f>IFERROR(__xludf.DUMMYFUNCTION("""COMPUTED_VALUE"""),3435.0)</f>
        <v>3435</v>
      </c>
      <c r="F2110" s="1">
        <f>IFERROR(__xludf.DUMMYFUNCTION("""COMPUTED_VALUE"""),358086.0)</f>
        <v>358086</v>
      </c>
    </row>
    <row r="2111">
      <c r="A2111" s="2">
        <f>IFERROR(__xludf.DUMMYFUNCTION("""COMPUTED_VALUE"""),45125.64583333333)</f>
        <v>45125.64583</v>
      </c>
      <c r="B2111" s="1">
        <f>IFERROR(__xludf.DUMMYFUNCTION("""COMPUTED_VALUE"""),3435.0)</f>
        <v>3435</v>
      </c>
      <c r="C2111" s="1">
        <f>IFERROR(__xludf.DUMMYFUNCTION("""COMPUTED_VALUE"""),3440.0)</f>
        <v>3440</v>
      </c>
      <c r="D2111" s="1">
        <f>IFERROR(__xludf.DUMMYFUNCTION("""COMPUTED_VALUE"""),3335.0)</f>
        <v>3335</v>
      </c>
      <c r="E2111" s="1">
        <f>IFERROR(__xludf.DUMMYFUNCTION("""COMPUTED_VALUE"""),3345.0)</f>
        <v>3345</v>
      </c>
      <c r="F2111" s="1">
        <f>IFERROR(__xludf.DUMMYFUNCTION("""COMPUTED_VALUE"""),469447.0)</f>
        <v>469447</v>
      </c>
    </row>
    <row r="2112">
      <c r="A2112" s="2">
        <f>IFERROR(__xludf.DUMMYFUNCTION("""COMPUTED_VALUE"""),45126.64583333333)</f>
        <v>45126.64583</v>
      </c>
      <c r="B2112" s="1">
        <f>IFERROR(__xludf.DUMMYFUNCTION("""COMPUTED_VALUE"""),3370.0)</f>
        <v>3370</v>
      </c>
      <c r="C2112" s="1">
        <f>IFERROR(__xludf.DUMMYFUNCTION("""COMPUTED_VALUE"""),3385.0)</f>
        <v>3385</v>
      </c>
      <c r="D2112" s="1">
        <f>IFERROR(__xludf.DUMMYFUNCTION("""COMPUTED_VALUE"""),3330.0)</f>
        <v>3330</v>
      </c>
      <c r="E2112" s="1">
        <f>IFERROR(__xludf.DUMMYFUNCTION("""COMPUTED_VALUE"""),3335.0)</f>
        <v>3335</v>
      </c>
      <c r="F2112" s="1">
        <f>IFERROR(__xludf.DUMMYFUNCTION("""COMPUTED_VALUE"""),290643.0)</f>
        <v>290643</v>
      </c>
    </row>
    <row r="2113">
      <c r="A2113" s="2">
        <f>IFERROR(__xludf.DUMMYFUNCTION("""COMPUTED_VALUE"""),45127.64583333333)</f>
        <v>45127.64583</v>
      </c>
      <c r="B2113" s="1">
        <f>IFERROR(__xludf.DUMMYFUNCTION("""COMPUTED_VALUE"""),3315.0)</f>
        <v>3315</v>
      </c>
      <c r="C2113" s="1">
        <f>IFERROR(__xludf.DUMMYFUNCTION("""COMPUTED_VALUE"""),3365.0)</f>
        <v>3365</v>
      </c>
      <c r="D2113" s="1">
        <f>IFERROR(__xludf.DUMMYFUNCTION("""COMPUTED_VALUE"""),3280.0)</f>
        <v>3280</v>
      </c>
      <c r="E2113" s="1">
        <f>IFERROR(__xludf.DUMMYFUNCTION("""COMPUTED_VALUE"""),3345.0)</f>
        <v>3345</v>
      </c>
      <c r="F2113" s="1">
        <f>IFERROR(__xludf.DUMMYFUNCTION("""COMPUTED_VALUE"""),258688.0)</f>
        <v>258688</v>
      </c>
    </row>
    <row r="2114">
      <c r="A2114" s="2">
        <f>IFERROR(__xludf.DUMMYFUNCTION("""COMPUTED_VALUE"""),45128.64583333333)</f>
        <v>45128.64583</v>
      </c>
      <c r="B2114" s="1">
        <f>IFERROR(__xludf.DUMMYFUNCTION("""COMPUTED_VALUE"""),3340.0)</f>
        <v>3340</v>
      </c>
      <c r="C2114" s="1">
        <f>IFERROR(__xludf.DUMMYFUNCTION("""COMPUTED_VALUE"""),3365.0)</f>
        <v>3365</v>
      </c>
      <c r="D2114" s="1">
        <f>IFERROR(__xludf.DUMMYFUNCTION("""COMPUTED_VALUE"""),3285.0)</f>
        <v>3285</v>
      </c>
      <c r="E2114" s="1">
        <f>IFERROR(__xludf.DUMMYFUNCTION("""COMPUTED_VALUE"""),3285.0)</f>
        <v>3285</v>
      </c>
      <c r="F2114" s="1">
        <f>IFERROR(__xludf.DUMMYFUNCTION("""COMPUTED_VALUE"""),309553.0)</f>
        <v>309553</v>
      </c>
    </row>
    <row r="2115">
      <c r="A2115" s="2">
        <f>IFERROR(__xludf.DUMMYFUNCTION("""COMPUTED_VALUE"""),45131.64583333333)</f>
        <v>45131.64583</v>
      </c>
      <c r="B2115" s="1">
        <f>IFERROR(__xludf.DUMMYFUNCTION("""COMPUTED_VALUE"""),3285.0)</f>
        <v>3285</v>
      </c>
      <c r="C2115" s="1">
        <f>IFERROR(__xludf.DUMMYFUNCTION("""COMPUTED_VALUE"""),3285.0)</f>
        <v>3285</v>
      </c>
      <c r="D2115" s="1">
        <f>IFERROR(__xludf.DUMMYFUNCTION("""COMPUTED_VALUE"""),3050.0)</f>
        <v>3050</v>
      </c>
      <c r="E2115" s="1">
        <f>IFERROR(__xludf.DUMMYFUNCTION("""COMPUTED_VALUE"""),3080.0)</f>
        <v>3080</v>
      </c>
      <c r="F2115" s="1">
        <f>IFERROR(__xludf.DUMMYFUNCTION("""COMPUTED_VALUE"""),836901.0)</f>
        <v>836901</v>
      </c>
    </row>
    <row r="2116">
      <c r="A2116" s="2">
        <f>IFERROR(__xludf.DUMMYFUNCTION("""COMPUTED_VALUE"""),45132.64583333333)</f>
        <v>45132.64583</v>
      </c>
      <c r="B2116" s="1">
        <f>IFERROR(__xludf.DUMMYFUNCTION("""COMPUTED_VALUE"""),3075.0)</f>
        <v>3075</v>
      </c>
      <c r="C2116" s="1">
        <f>IFERROR(__xludf.DUMMYFUNCTION("""COMPUTED_VALUE"""),3095.0)</f>
        <v>3095</v>
      </c>
      <c r="D2116" s="1">
        <f>IFERROR(__xludf.DUMMYFUNCTION("""COMPUTED_VALUE"""),2970.0)</f>
        <v>2970</v>
      </c>
      <c r="E2116" s="1">
        <f>IFERROR(__xludf.DUMMYFUNCTION("""COMPUTED_VALUE"""),2990.0)</f>
        <v>2990</v>
      </c>
      <c r="F2116" s="1">
        <f>IFERROR(__xludf.DUMMYFUNCTION("""COMPUTED_VALUE"""),575972.0)</f>
        <v>575972</v>
      </c>
    </row>
    <row r="2117">
      <c r="A2117" s="2">
        <f>IFERROR(__xludf.DUMMYFUNCTION("""COMPUTED_VALUE"""),45133.64583333333)</f>
        <v>45133.64583</v>
      </c>
      <c r="B2117" s="1">
        <f>IFERROR(__xludf.DUMMYFUNCTION("""COMPUTED_VALUE"""),2990.0)</f>
        <v>2990</v>
      </c>
      <c r="C2117" s="1">
        <f>IFERROR(__xludf.DUMMYFUNCTION("""COMPUTED_VALUE"""),3015.0)</f>
        <v>3015</v>
      </c>
      <c r="D2117" s="1">
        <f>IFERROR(__xludf.DUMMYFUNCTION("""COMPUTED_VALUE"""),2845.0)</f>
        <v>2845</v>
      </c>
      <c r="E2117" s="1">
        <f>IFERROR(__xludf.DUMMYFUNCTION("""COMPUTED_VALUE"""),2930.0)</f>
        <v>2930</v>
      </c>
      <c r="F2117" s="1">
        <f>IFERROR(__xludf.DUMMYFUNCTION("""COMPUTED_VALUE"""),932416.0)</f>
        <v>932416</v>
      </c>
    </row>
    <row r="2118">
      <c r="A2118" s="2">
        <f>IFERROR(__xludf.DUMMYFUNCTION("""COMPUTED_VALUE"""),45134.64583333333)</f>
        <v>45134.64583</v>
      </c>
      <c r="B2118" s="1">
        <f>IFERROR(__xludf.DUMMYFUNCTION("""COMPUTED_VALUE"""),2930.0)</f>
        <v>2930</v>
      </c>
      <c r="C2118" s="1">
        <f>IFERROR(__xludf.DUMMYFUNCTION("""COMPUTED_VALUE"""),3035.0)</f>
        <v>3035</v>
      </c>
      <c r="D2118" s="1">
        <f>IFERROR(__xludf.DUMMYFUNCTION("""COMPUTED_VALUE"""),2905.0)</f>
        <v>2905</v>
      </c>
      <c r="E2118" s="1">
        <f>IFERROR(__xludf.DUMMYFUNCTION("""COMPUTED_VALUE"""),3025.0)</f>
        <v>3025</v>
      </c>
      <c r="F2118" s="1">
        <f>IFERROR(__xludf.DUMMYFUNCTION("""COMPUTED_VALUE"""),381324.0)</f>
        <v>381324</v>
      </c>
    </row>
    <row r="2119">
      <c r="A2119" s="2">
        <f>IFERROR(__xludf.DUMMYFUNCTION("""COMPUTED_VALUE"""),45135.64583333333)</f>
        <v>45135.64583</v>
      </c>
      <c r="B2119" s="1">
        <f>IFERROR(__xludf.DUMMYFUNCTION("""COMPUTED_VALUE"""),3025.0)</f>
        <v>3025</v>
      </c>
      <c r="C2119" s="1">
        <f>IFERROR(__xludf.DUMMYFUNCTION("""COMPUTED_VALUE"""),3075.0)</f>
        <v>3075</v>
      </c>
      <c r="D2119" s="1">
        <f>IFERROR(__xludf.DUMMYFUNCTION("""COMPUTED_VALUE"""),2975.0)</f>
        <v>2975</v>
      </c>
      <c r="E2119" s="1">
        <f>IFERROR(__xludf.DUMMYFUNCTION("""COMPUTED_VALUE"""),3070.0)</f>
        <v>3070</v>
      </c>
      <c r="F2119" s="1">
        <f>IFERROR(__xludf.DUMMYFUNCTION("""COMPUTED_VALUE"""),242280.0)</f>
        <v>242280</v>
      </c>
    </row>
    <row r="2120">
      <c r="A2120" s="2">
        <f>IFERROR(__xludf.DUMMYFUNCTION("""COMPUTED_VALUE"""),45138.64583333333)</f>
        <v>45138.64583</v>
      </c>
      <c r="B2120" s="1">
        <f>IFERROR(__xludf.DUMMYFUNCTION("""COMPUTED_VALUE"""),3080.0)</f>
        <v>3080</v>
      </c>
      <c r="C2120" s="1">
        <f>IFERROR(__xludf.DUMMYFUNCTION("""COMPUTED_VALUE"""),3130.0)</f>
        <v>3130</v>
      </c>
      <c r="D2120" s="1">
        <f>IFERROR(__xludf.DUMMYFUNCTION("""COMPUTED_VALUE"""),3065.0)</f>
        <v>3065</v>
      </c>
      <c r="E2120" s="1">
        <f>IFERROR(__xludf.DUMMYFUNCTION("""COMPUTED_VALUE"""),3130.0)</f>
        <v>3130</v>
      </c>
      <c r="F2120" s="1">
        <f>IFERROR(__xludf.DUMMYFUNCTION("""COMPUTED_VALUE"""),237201.0)</f>
        <v>237201</v>
      </c>
    </row>
    <row r="2121">
      <c r="A2121" s="2">
        <f>IFERROR(__xludf.DUMMYFUNCTION("""COMPUTED_VALUE"""),45139.64583333333)</f>
        <v>45139.64583</v>
      </c>
      <c r="B2121" s="1">
        <f>IFERROR(__xludf.DUMMYFUNCTION("""COMPUTED_VALUE"""),3090.0)</f>
        <v>3090</v>
      </c>
      <c r="C2121" s="1">
        <f>IFERROR(__xludf.DUMMYFUNCTION("""COMPUTED_VALUE"""),3170.0)</f>
        <v>3170</v>
      </c>
      <c r="D2121" s="1">
        <f>IFERROR(__xludf.DUMMYFUNCTION("""COMPUTED_VALUE"""),3090.0)</f>
        <v>3090</v>
      </c>
      <c r="E2121" s="1">
        <f>IFERROR(__xludf.DUMMYFUNCTION("""COMPUTED_VALUE"""),3150.0)</f>
        <v>3150</v>
      </c>
      <c r="F2121" s="1">
        <f>IFERROR(__xludf.DUMMYFUNCTION("""COMPUTED_VALUE"""),290727.0)</f>
        <v>290727</v>
      </c>
    </row>
    <row r="2122">
      <c r="A2122" s="2">
        <f>IFERROR(__xludf.DUMMYFUNCTION("""COMPUTED_VALUE"""),45140.64583333333)</f>
        <v>45140.64583</v>
      </c>
      <c r="B2122" s="1">
        <f>IFERROR(__xludf.DUMMYFUNCTION("""COMPUTED_VALUE"""),3150.0)</f>
        <v>3150</v>
      </c>
      <c r="C2122" s="1">
        <f>IFERROR(__xludf.DUMMYFUNCTION("""COMPUTED_VALUE"""),3255.0)</f>
        <v>3255</v>
      </c>
      <c r="D2122" s="1">
        <f>IFERROR(__xludf.DUMMYFUNCTION("""COMPUTED_VALUE"""),3130.0)</f>
        <v>3130</v>
      </c>
      <c r="E2122" s="1">
        <f>IFERROR(__xludf.DUMMYFUNCTION("""COMPUTED_VALUE"""),3230.0)</f>
        <v>3230</v>
      </c>
      <c r="F2122" s="1">
        <f>IFERROR(__xludf.DUMMYFUNCTION("""COMPUTED_VALUE"""),755591.0)</f>
        <v>755591</v>
      </c>
    </row>
    <row r="2123">
      <c r="A2123" s="2">
        <f>IFERROR(__xludf.DUMMYFUNCTION("""COMPUTED_VALUE"""),45141.64583333333)</f>
        <v>45141.64583</v>
      </c>
      <c r="B2123" s="1">
        <f>IFERROR(__xludf.DUMMYFUNCTION("""COMPUTED_VALUE"""),3220.0)</f>
        <v>3220</v>
      </c>
      <c r="C2123" s="1">
        <f>IFERROR(__xludf.DUMMYFUNCTION("""COMPUTED_VALUE"""),3220.0)</f>
        <v>3220</v>
      </c>
      <c r="D2123" s="1">
        <f>IFERROR(__xludf.DUMMYFUNCTION("""COMPUTED_VALUE"""),3080.0)</f>
        <v>3080</v>
      </c>
      <c r="E2123" s="1">
        <f>IFERROR(__xludf.DUMMYFUNCTION("""COMPUTED_VALUE"""),3145.0)</f>
        <v>3145</v>
      </c>
      <c r="F2123" s="1">
        <f>IFERROR(__xludf.DUMMYFUNCTION("""COMPUTED_VALUE"""),520588.0)</f>
        <v>520588</v>
      </c>
    </row>
    <row r="2124">
      <c r="A2124" s="2">
        <f>IFERROR(__xludf.DUMMYFUNCTION("""COMPUTED_VALUE"""),45142.64583333333)</f>
        <v>45142.64583</v>
      </c>
      <c r="B2124" s="1">
        <f>IFERROR(__xludf.DUMMYFUNCTION("""COMPUTED_VALUE"""),3120.0)</f>
        <v>3120</v>
      </c>
      <c r="C2124" s="1">
        <f>IFERROR(__xludf.DUMMYFUNCTION("""COMPUTED_VALUE"""),3135.0)</f>
        <v>3135</v>
      </c>
      <c r="D2124" s="1">
        <f>IFERROR(__xludf.DUMMYFUNCTION("""COMPUTED_VALUE"""),3055.0)</f>
        <v>3055</v>
      </c>
      <c r="E2124" s="1">
        <f>IFERROR(__xludf.DUMMYFUNCTION("""COMPUTED_VALUE"""),3060.0)</f>
        <v>3060</v>
      </c>
      <c r="F2124" s="1">
        <f>IFERROR(__xludf.DUMMYFUNCTION("""COMPUTED_VALUE"""),255914.0)</f>
        <v>255914</v>
      </c>
    </row>
    <row r="2125">
      <c r="A2125" s="2">
        <f>IFERROR(__xludf.DUMMYFUNCTION("""COMPUTED_VALUE"""),45145.64583333333)</f>
        <v>45145.64583</v>
      </c>
      <c r="B2125" s="1">
        <f>IFERROR(__xludf.DUMMYFUNCTION("""COMPUTED_VALUE"""),3045.0)</f>
        <v>3045</v>
      </c>
      <c r="C2125" s="1">
        <f>IFERROR(__xludf.DUMMYFUNCTION("""COMPUTED_VALUE"""),3135.0)</f>
        <v>3135</v>
      </c>
      <c r="D2125" s="1">
        <f>IFERROR(__xludf.DUMMYFUNCTION("""COMPUTED_VALUE"""),3005.0)</f>
        <v>3005</v>
      </c>
      <c r="E2125" s="1">
        <f>IFERROR(__xludf.DUMMYFUNCTION("""COMPUTED_VALUE"""),3130.0)</f>
        <v>3130</v>
      </c>
      <c r="F2125" s="1">
        <f>IFERROR(__xludf.DUMMYFUNCTION("""COMPUTED_VALUE"""),238971.0)</f>
        <v>238971</v>
      </c>
    </row>
    <row r="2126">
      <c r="A2126" s="2">
        <f>IFERROR(__xludf.DUMMYFUNCTION("""COMPUTED_VALUE"""),45146.64583333333)</f>
        <v>45146.64583</v>
      </c>
      <c r="B2126" s="1">
        <f>IFERROR(__xludf.DUMMYFUNCTION("""COMPUTED_VALUE"""),3115.0)</f>
        <v>3115</v>
      </c>
      <c r="C2126" s="1">
        <f>IFERROR(__xludf.DUMMYFUNCTION("""COMPUTED_VALUE"""),3450.0)</f>
        <v>3450</v>
      </c>
      <c r="D2126" s="1">
        <f>IFERROR(__xludf.DUMMYFUNCTION("""COMPUTED_VALUE"""),3060.0)</f>
        <v>3060</v>
      </c>
      <c r="E2126" s="1">
        <f>IFERROR(__xludf.DUMMYFUNCTION("""COMPUTED_VALUE"""),3095.0)</f>
        <v>3095</v>
      </c>
      <c r="F2126" s="1">
        <f>IFERROR(__xludf.DUMMYFUNCTION("""COMPUTED_VALUE"""),3956877.0)</f>
        <v>3956877</v>
      </c>
    </row>
    <row r="2127">
      <c r="A2127" s="2">
        <f>IFERROR(__xludf.DUMMYFUNCTION("""COMPUTED_VALUE"""),45147.64583333333)</f>
        <v>45147.64583</v>
      </c>
      <c r="B2127" s="1">
        <f>IFERROR(__xludf.DUMMYFUNCTION("""COMPUTED_VALUE"""),3120.0)</f>
        <v>3120</v>
      </c>
      <c r="C2127" s="1">
        <f>IFERROR(__xludf.DUMMYFUNCTION("""COMPUTED_VALUE"""),3240.0)</f>
        <v>3240</v>
      </c>
      <c r="D2127" s="1">
        <f>IFERROR(__xludf.DUMMYFUNCTION("""COMPUTED_VALUE"""),3085.0)</f>
        <v>3085</v>
      </c>
      <c r="E2127" s="1">
        <f>IFERROR(__xludf.DUMMYFUNCTION("""COMPUTED_VALUE"""),3240.0)</f>
        <v>3240</v>
      </c>
      <c r="F2127" s="1">
        <f>IFERROR(__xludf.DUMMYFUNCTION("""COMPUTED_VALUE"""),635407.0)</f>
        <v>635407</v>
      </c>
    </row>
    <row r="2128">
      <c r="A2128" s="2">
        <f>IFERROR(__xludf.DUMMYFUNCTION("""COMPUTED_VALUE"""),45148.64583333333)</f>
        <v>45148.64583</v>
      </c>
      <c r="B2128" s="1">
        <f>IFERROR(__xludf.DUMMYFUNCTION("""COMPUTED_VALUE"""),3250.0)</f>
        <v>3250</v>
      </c>
      <c r="C2128" s="1">
        <f>IFERROR(__xludf.DUMMYFUNCTION("""COMPUTED_VALUE"""),3260.0)</f>
        <v>3260</v>
      </c>
      <c r="D2128" s="1">
        <f>IFERROR(__xludf.DUMMYFUNCTION("""COMPUTED_VALUE"""),3165.0)</f>
        <v>3165</v>
      </c>
      <c r="E2128" s="1">
        <f>IFERROR(__xludf.DUMMYFUNCTION("""COMPUTED_VALUE"""),3225.0)</f>
        <v>3225</v>
      </c>
      <c r="F2128" s="1">
        <f>IFERROR(__xludf.DUMMYFUNCTION("""COMPUTED_VALUE"""),462613.0)</f>
        <v>462613</v>
      </c>
    </row>
    <row r="2129">
      <c r="A2129" s="2">
        <f>IFERROR(__xludf.DUMMYFUNCTION("""COMPUTED_VALUE"""),45149.64583333333)</f>
        <v>45149.64583</v>
      </c>
      <c r="B2129" s="1">
        <f>IFERROR(__xludf.DUMMYFUNCTION("""COMPUTED_VALUE"""),3190.0)</f>
        <v>3190</v>
      </c>
      <c r="C2129" s="1">
        <f>IFERROR(__xludf.DUMMYFUNCTION("""COMPUTED_VALUE"""),3290.0)</f>
        <v>3290</v>
      </c>
      <c r="D2129" s="1">
        <f>IFERROR(__xludf.DUMMYFUNCTION("""COMPUTED_VALUE"""),3190.0)</f>
        <v>3190</v>
      </c>
      <c r="E2129" s="1">
        <f>IFERROR(__xludf.DUMMYFUNCTION("""COMPUTED_VALUE"""),3280.0)</f>
        <v>3280</v>
      </c>
      <c r="F2129" s="1">
        <f>IFERROR(__xludf.DUMMYFUNCTION("""COMPUTED_VALUE"""),422182.0)</f>
        <v>422182</v>
      </c>
    </row>
    <row r="2130">
      <c r="A2130" s="2">
        <f>IFERROR(__xludf.DUMMYFUNCTION("""COMPUTED_VALUE"""),45152.64583333333)</f>
        <v>45152.64583</v>
      </c>
      <c r="B2130" s="1">
        <f>IFERROR(__xludf.DUMMYFUNCTION("""COMPUTED_VALUE"""),3270.0)</f>
        <v>3270</v>
      </c>
      <c r="C2130" s="1">
        <f>IFERROR(__xludf.DUMMYFUNCTION("""COMPUTED_VALUE"""),3325.0)</f>
        <v>3325</v>
      </c>
      <c r="D2130" s="1">
        <f>IFERROR(__xludf.DUMMYFUNCTION("""COMPUTED_VALUE"""),3225.0)</f>
        <v>3225</v>
      </c>
      <c r="E2130" s="1">
        <f>IFERROR(__xludf.DUMMYFUNCTION("""COMPUTED_VALUE"""),3285.0)</f>
        <v>3285</v>
      </c>
      <c r="F2130" s="1">
        <f>IFERROR(__xludf.DUMMYFUNCTION("""COMPUTED_VALUE"""),572873.0)</f>
        <v>572873</v>
      </c>
    </row>
    <row r="2131">
      <c r="A2131" s="2">
        <f>IFERROR(__xludf.DUMMYFUNCTION("""COMPUTED_VALUE"""),45154.64583333333)</f>
        <v>45154.64583</v>
      </c>
      <c r="B2131" s="1">
        <f>IFERROR(__xludf.DUMMYFUNCTION("""COMPUTED_VALUE"""),3270.0)</f>
        <v>3270</v>
      </c>
      <c r="C2131" s="1">
        <f>IFERROR(__xludf.DUMMYFUNCTION("""COMPUTED_VALUE"""),3330.0)</f>
        <v>3330</v>
      </c>
      <c r="D2131" s="1">
        <f>IFERROR(__xludf.DUMMYFUNCTION("""COMPUTED_VALUE"""),3185.0)</f>
        <v>3185</v>
      </c>
      <c r="E2131" s="1">
        <f>IFERROR(__xludf.DUMMYFUNCTION("""COMPUTED_VALUE"""),3200.0)</f>
        <v>3200</v>
      </c>
      <c r="F2131" s="1">
        <f>IFERROR(__xludf.DUMMYFUNCTION("""COMPUTED_VALUE"""),706053.0)</f>
        <v>706053</v>
      </c>
    </row>
    <row r="2132">
      <c r="A2132" s="2">
        <f>IFERROR(__xludf.DUMMYFUNCTION("""COMPUTED_VALUE"""),45155.64583333333)</f>
        <v>45155.64583</v>
      </c>
      <c r="B2132" s="1">
        <f>IFERROR(__xludf.DUMMYFUNCTION("""COMPUTED_VALUE"""),3165.0)</f>
        <v>3165</v>
      </c>
      <c r="C2132" s="1">
        <f>IFERROR(__xludf.DUMMYFUNCTION("""COMPUTED_VALUE"""),3165.0)</f>
        <v>3165</v>
      </c>
      <c r="D2132" s="1">
        <f>IFERROR(__xludf.DUMMYFUNCTION("""COMPUTED_VALUE"""),3020.0)</f>
        <v>3020</v>
      </c>
      <c r="E2132" s="1">
        <f>IFERROR(__xludf.DUMMYFUNCTION("""COMPUTED_VALUE"""),3080.0)</f>
        <v>3080</v>
      </c>
      <c r="F2132" s="1">
        <f>IFERROR(__xludf.DUMMYFUNCTION("""COMPUTED_VALUE"""),479454.0)</f>
        <v>479454</v>
      </c>
    </row>
    <row r="2133">
      <c r="A2133" s="2">
        <f>IFERROR(__xludf.DUMMYFUNCTION("""COMPUTED_VALUE"""),45156.64583333333)</f>
        <v>45156.64583</v>
      </c>
      <c r="B2133" s="1">
        <f>IFERROR(__xludf.DUMMYFUNCTION("""COMPUTED_VALUE"""),3070.0)</f>
        <v>3070</v>
      </c>
      <c r="C2133" s="1">
        <f>IFERROR(__xludf.DUMMYFUNCTION("""COMPUTED_VALUE"""),3080.0)</f>
        <v>3080</v>
      </c>
      <c r="D2133" s="1">
        <f>IFERROR(__xludf.DUMMYFUNCTION("""COMPUTED_VALUE"""),2995.0)</f>
        <v>2995</v>
      </c>
      <c r="E2133" s="1">
        <f>IFERROR(__xludf.DUMMYFUNCTION("""COMPUTED_VALUE"""),3015.0)</f>
        <v>3015</v>
      </c>
      <c r="F2133" s="1">
        <f>IFERROR(__xludf.DUMMYFUNCTION("""COMPUTED_VALUE"""),322028.0)</f>
        <v>322028</v>
      </c>
    </row>
    <row r="2134">
      <c r="A2134" s="2">
        <f>IFERROR(__xludf.DUMMYFUNCTION("""COMPUTED_VALUE"""),45159.64583333333)</f>
        <v>45159.64583</v>
      </c>
      <c r="B2134" s="1">
        <f>IFERROR(__xludf.DUMMYFUNCTION("""COMPUTED_VALUE"""),3015.0)</f>
        <v>3015</v>
      </c>
      <c r="C2134" s="1">
        <f>IFERROR(__xludf.DUMMYFUNCTION("""COMPUTED_VALUE"""),3090.0)</f>
        <v>3090</v>
      </c>
      <c r="D2134" s="1">
        <f>IFERROR(__xludf.DUMMYFUNCTION("""COMPUTED_VALUE"""),2990.0)</f>
        <v>2990</v>
      </c>
      <c r="E2134" s="1">
        <f>IFERROR(__xludf.DUMMYFUNCTION("""COMPUTED_VALUE"""),3065.0)</f>
        <v>3065</v>
      </c>
      <c r="F2134" s="1">
        <f>IFERROR(__xludf.DUMMYFUNCTION("""COMPUTED_VALUE"""),229219.0)</f>
        <v>229219</v>
      </c>
    </row>
    <row r="2135">
      <c r="A2135" s="2">
        <f>IFERROR(__xludf.DUMMYFUNCTION("""COMPUTED_VALUE"""),45160.64583333333)</f>
        <v>45160.64583</v>
      </c>
      <c r="B2135" s="1">
        <f>IFERROR(__xludf.DUMMYFUNCTION("""COMPUTED_VALUE"""),3065.0)</f>
        <v>3065</v>
      </c>
      <c r="C2135" s="1">
        <f>IFERROR(__xludf.DUMMYFUNCTION("""COMPUTED_VALUE"""),3200.0)</f>
        <v>3200</v>
      </c>
      <c r="D2135" s="1">
        <f>IFERROR(__xludf.DUMMYFUNCTION("""COMPUTED_VALUE"""),3055.0)</f>
        <v>3055</v>
      </c>
      <c r="E2135" s="1">
        <f>IFERROR(__xludf.DUMMYFUNCTION("""COMPUTED_VALUE"""),3075.0)</f>
        <v>3075</v>
      </c>
      <c r="F2135" s="1">
        <f>IFERROR(__xludf.DUMMYFUNCTION("""COMPUTED_VALUE"""),416987.0)</f>
        <v>416987</v>
      </c>
    </row>
    <row r="2136">
      <c r="A2136" s="2">
        <f>IFERROR(__xludf.DUMMYFUNCTION("""COMPUTED_VALUE"""),45161.64583333333)</f>
        <v>45161.64583</v>
      </c>
      <c r="B2136" s="1">
        <f>IFERROR(__xludf.DUMMYFUNCTION("""COMPUTED_VALUE"""),3085.0)</f>
        <v>3085</v>
      </c>
      <c r="C2136" s="1">
        <f>IFERROR(__xludf.DUMMYFUNCTION("""COMPUTED_VALUE"""),3930.0)</f>
        <v>3930</v>
      </c>
      <c r="D2136" s="1">
        <f>IFERROR(__xludf.DUMMYFUNCTION("""COMPUTED_VALUE"""),3080.0)</f>
        <v>3080</v>
      </c>
      <c r="E2136" s="1">
        <f>IFERROR(__xludf.DUMMYFUNCTION("""COMPUTED_VALUE"""),3870.0)</f>
        <v>3870</v>
      </c>
      <c r="F2136" s="1">
        <f>IFERROR(__xludf.DUMMYFUNCTION("""COMPUTED_VALUE"""),3.787802E7)</f>
        <v>37878020</v>
      </c>
    </row>
    <row r="2137">
      <c r="A2137" s="2">
        <f>IFERROR(__xludf.DUMMYFUNCTION("""COMPUTED_VALUE"""),45162.64583333333)</f>
        <v>45162.64583</v>
      </c>
      <c r="B2137" s="1">
        <f>IFERROR(__xludf.DUMMYFUNCTION("""COMPUTED_VALUE"""),4250.0)</f>
        <v>4250</v>
      </c>
      <c r="C2137" s="1">
        <f>IFERROR(__xludf.DUMMYFUNCTION("""COMPUTED_VALUE"""),4435.0)</f>
        <v>4435</v>
      </c>
      <c r="D2137" s="1">
        <f>IFERROR(__xludf.DUMMYFUNCTION("""COMPUTED_VALUE"""),3755.0)</f>
        <v>3755</v>
      </c>
      <c r="E2137" s="1">
        <f>IFERROR(__xludf.DUMMYFUNCTION("""COMPUTED_VALUE"""),3820.0)</f>
        <v>3820</v>
      </c>
      <c r="F2137" s="1">
        <f>IFERROR(__xludf.DUMMYFUNCTION("""COMPUTED_VALUE"""),2.6196929E7)</f>
        <v>26196929</v>
      </c>
    </row>
    <row r="2138">
      <c r="A2138" s="2">
        <f>IFERROR(__xludf.DUMMYFUNCTION("""COMPUTED_VALUE"""),45163.64583333333)</f>
        <v>45163.64583</v>
      </c>
      <c r="B2138" s="1">
        <f>IFERROR(__xludf.DUMMYFUNCTION("""COMPUTED_VALUE"""),3775.0)</f>
        <v>3775</v>
      </c>
      <c r="C2138" s="1">
        <f>IFERROR(__xludf.DUMMYFUNCTION("""COMPUTED_VALUE"""),3860.0)</f>
        <v>3860</v>
      </c>
      <c r="D2138" s="1">
        <f>IFERROR(__xludf.DUMMYFUNCTION("""COMPUTED_VALUE"""),3560.0)</f>
        <v>3560</v>
      </c>
      <c r="E2138" s="1">
        <f>IFERROR(__xludf.DUMMYFUNCTION("""COMPUTED_VALUE"""),3565.0)</f>
        <v>3565</v>
      </c>
      <c r="F2138" s="1">
        <f>IFERROR(__xludf.DUMMYFUNCTION("""COMPUTED_VALUE"""),4399044.0)</f>
        <v>4399044</v>
      </c>
    </row>
    <row r="2139">
      <c r="A2139" s="2">
        <f>IFERROR(__xludf.DUMMYFUNCTION("""COMPUTED_VALUE"""),45166.64583333333)</f>
        <v>45166.64583</v>
      </c>
      <c r="B2139" s="1">
        <f>IFERROR(__xludf.DUMMYFUNCTION("""COMPUTED_VALUE"""),3625.0)</f>
        <v>3625</v>
      </c>
      <c r="C2139" s="1">
        <f>IFERROR(__xludf.DUMMYFUNCTION("""COMPUTED_VALUE"""),3715.0)</f>
        <v>3715</v>
      </c>
      <c r="D2139" s="1">
        <f>IFERROR(__xludf.DUMMYFUNCTION("""COMPUTED_VALUE"""),3505.0)</f>
        <v>3505</v>
      </c>
      <c r="E2139" s="1">
        <f>IFERROR(__xludf.DUMMYFUNCTION("""COMPUTED_VALUE"""),3650.0)</f>
        <v>3650</v>
      </c>
      <c r="F2139" s="1">
        <f>IFERROR(__xludf.DUMMYFUNCTION("""COMPUTED_VALUE"""),4756747.0)</f>
        <v>4756747</v>
      </c>
    </row>
    <row r="2140">
      <c r="A2140" s="2">
        <f>IFERROR(__xludf.DUMMYFUNCTION("""COMPUTED_VALUE"""),45167.64583333333)</f>
        <v>45167.64583</v>
      </c>
      <c r="B2140" s="1">
        <f>IFERROR(__xludf.DUMMYFUNCTION("""COMPUTED_VALUE"""),3800.0)</f>
        <v>3800</v>
      </c>
      <c r="C2140" s="1">
        <f>IFERROR(__xludf.DUMMYFUNCTION("""COMPUTED_VALUE"""),4075.0)</f>
        <v>4075</v>
      </c>
      <c r="D2140" s="1">
        <f>IFERROR(__xludf.DUMMYFUNCTION("""COMPUTED_VALUE"""),3720.0)</f>
        <v>3720</v>
      </c>
      <c r="E2140" s="1">
        <f>IFERROR(__xludf.DUMMYFUNCTION("""COMPUTED_VALUE"""),3755.0)</f>
        <v>3755</v>
      </c>
      <c r="F2140" s="1">
        <f>IFERROR(__xludf.DUMMYFUNCTION("""COMPUTED_VALUE"""),1.7189821E7)</f>
        <v>17189821</v>
      </c>
    </row>
    <row r="2141">
      <c r="A2141" s="2">
        <f>IFERROR(__xludf.DUMMYFUNCTION("""COMPUTED_VALUE"""),45168.64583333333)</f>
        <v>45168.64583</v>
      </c>
      <c r="B2141" s="1">
        <f>IFERROR(__xludf.DUMMYFUNCTION("""COMPUTED_VALUE"""),3800.0)</f>
        <v>3800</v>
      </c>
      <c r="C2141" s="1">
        <f>IFERROR(__xludf.DUMMYFUNCTION("""COMPUTED_VALUE"""),3840.0)</f>
        <v>3840</v>
      </c>
      <c r="D2141" s="1">
        <f>IFERROR(__xludf.DUMMYFUNCTION("""COMPUTED_VALUE"""),3730.0)</f>
        <v>3730</v>
      </c>
      <c r="E2141" s="1">
        <f>IFERROR(__xludf.DUMMYFUNCTION("""COMPUTED_VALUE"""),3755.0)</f>
        <v>3755</v>
      </c>
      <c r="F2141" s="1">
        <f>IFERROR(__xludf.DUMMYFUNCTION("""COMPUTED_VALUE"""),2781386.0)</f>
        <v>2781386</v>
      </c>
    </row>
    <row r="2142">
      <c r="A2142" s="2">
        <f>IFERROR(__xludf.DUMMYFUNCTION("""COMPUTED_VALUE"""),45169.64583333333)</f>
        <v>45169.64583</v>
      </c>
      <c r="B2142" s="1">
        <f>IFERROR(__xludf.DUMMYFUNCTION("""COMPUTED_VALUE"""),3755.0)</f>
        <v>3755</v>
      </c>
      <c r="C2142" s="1">
        <f>IFERROR(__xludf.DUMMYFUNCTION("""COMPUTED_VALUE"""),3755.0)</f>
        <v>3755</v>
      </c>
      <c r="D2142" s="1">
        <f>IFERROR(__xludf.DUMMYFUNCTION("""COMPUTED_VALUE"""),3625.0)</f>
        <v>3625</v>
      </c>
      <c r="E2142" s="1">
        <f>IFERROR(__xludf.DUMMYFUNCTION("""COMPUTED_VALUE"""),3630.0)</f>
        <v>3630</v>
      </c>
      <c r="F2142" s="1">
        <f>IFERROR(__xludf.DUMMYFUNCTION("""COMPUTED_VALUE"""),1681567.0)</f>
        <v>1681567</v>
      </c>
    </row>
    <row r="2143">
      <c r="A2143" s="2">
        <f>IFERROR(__xludf.DUMMYFUNCTION("""COMPUTED_VALUE"""),45170.64583333333)</f>
        <v>45170.64583</v>
      </c>
      <c r="B2143" s="1">
        <f>IFERROR(__xludf.DUMMYFUNCTION("""COMPUTED_VALUE"""),3645.0)</f>
        <v>3645</v>
      </c>
      <c r="C2143" s="1">
        <f>IFERROR(__xludf.DUMMYFUNCTION("""COMPUTED_VALUE"""),3785.0)</f>
        <v>3785</v>
      </c>
      <c r="D2143" s="1">
        <f>IFERROR(__xludf.DUMMYFUNCTION("""COMPUTED_VALUE"""),3645.0)</f>
        <v>3645</v>
      </c>
      <c r="E2143" s="1">
        <f>IFERROR(__xludf.DUMMYFUNCTION("""COMPUTED_VALUE"""),3670.0)</f>
        <v>3670</v>
      </c>
      <c r="F2143" s="1">
        <f>IFERROR(__xludf.DUMMYFUNCTION("""COMPUTED_VALUE"""),1537295.0)</f>
        <v>1537295</v>
      </c>
    </row>
    <row r="2144">
      <c r="A2144" s="2">
        <f>IFERROR(__xludf.DUMMYFUNCTION("""COMPUTED_VALUE"""),45173.64583333333)</f>
        <v>45173.64583</v>
      </c>
      <c r="B2144" s="1">
        <f>IFERROR(__xludf.DUMMYFUNCTION("""COMPUTED_VALUE"""),3600.0)</f>
        <v>3600</v>
      </c>
      <c r="C2144" s="1">
        <f>IFERROR(__xludf.DUMMYFUNCTION("""COMPUTED_VALUE"""),3685.0)</f>
        <v>3685</v>
      </c>
      <c r="D2144" s="1">
        <f>IFERROR(__xludf.DUMMYFUNCTION("""COMPUTED_VALUE"""),3520.0)</f>
        <v>3520</v>
      </c>
      <c r="E2144" s="1">
        <f>IFERROR(__xludf.DUMMYFUNCTION("""COMPUTED_VALUE"""),3570.0)</f>
        <v>3570</v>
      </c>
      <c r="F2144" s="1">
        <f>IFERROR(__xludf.DUMMYFUNCTION("""COMPUTED_VALUE"""),911106.0)</f>
        <v>911106</v>
      </c>
    </row>
    <row r="2145">
      <c r="A2145" s="2">
        <f>IFERROR(__xludf.DUMMYFUNCTION("""COMPUTED_VALUE"""),45174.64583333333)</f>
        <v>45174.64583</v>
      </c>
      <c r="B2145" s="1">
        <f>IFERROR(__xludf.DUMMYFUNCTION("""COMPUTED_VALUE"""),3565.0)</f>
        <v>3565</v>
      </c>
      <c r="C2145" s="1">
        <f>IFERROR(__xludf.DUMMYFUNCTION("""COMPUTED_VALUE"""),3710.0)</f>
        <v>3710</v>
      </c>
      <c r="D2145" s="1">
        <f>IFERROR(__xludf.DUMMYFUNCTION("""COMPUTED_VALUE"""),3510.0)</f>
        <v>3510</v>
      </c>
      <c r="E2145" s="1">
        <f>IFERROR(__xludf.DUMMYFUNCTION("""COMPUTED_VALUE"""),3610.0)</f>
        <v>3610</v>
      </c>
      <c r="F2145" s="1">
        <f>IFERROR(__xludf.DUMMYFUNCTION("""COMPUTED_VALUE"""),1409892.0)</f>
        <v>1409892</v>
      </c>
    </row>
    <row r="2146">
      <c r="A2146" s="2">
        <f>IFERROR(__xludf.DUMMYFUNCTION("""COMPUTED_VALUE"""),45175.64583333333)</f>
        <v>45175.64583</v>
      </c>
      <c r="B2146" s="1">
        <f>IFERROR(__xludf.DUMMYFUNCTION("""COMPUTED_VALUE"""),3845.0)</f>
        <v>3845</v>
      </c>
      <c r="C2146" s="1">
        <f>IFERROR(__xludf.DUMMYFUNCTION("""COMPUTED_VALUE"""),3880.0)</f>
        <v>3880</v>
      </c>
      <c r="D2146" s="1">
        <f>IFERROR(__xludf.DUMMYFUNCTION("""COMPUTED_VALUE"""),3545.0)</f>
        <v>3545</v>
      </c>
      <c r="E2146" s="1">
        <f>IFERROR(__xludf.DUMMYFUNCTION("""COMPUTED_VALUE"""),3555.0)</f>
        <v>3555</v>
      </c>
      <c r="F2146" s="1">
        <f>IFERROR(__xludf.DUMMYFUNCTION("""COMPUTED_VALUE"""),4031246.0)</f>
        <v>4031246</v>
      </c>
    </row>
    <row r="2147">
      <c r="A2147" s="2">
        <f>IFERROR(__xludf.DUMMYFUNCTION("""COMPUTED_VALUE"""),45176.64583333333)</f>
        <v>45176.64583</v>
      </c>
      <c r="B2147" s="1">
        <f>IFERROR(__xludf.DUMMYFUNCTION("""COMPUTED_VALUE"""),3550.0)</f>
        <v>3550</v>
      </c>
      <c r="C2147" s="1">
        <f>IFERROR(__xludf.DUMMYFUNCTION("""COMPUTED_VALUE"""),3650.0)</f>
        <v>3650</v>
      </c>
      <c r="D2147" s="1">
        <f>IFERROR(__xludf.DUMMYFUNCTION("""COMPUTED_VALUE"""),3435.0)</f>
        <v>3435</v>
      </c>
      <c r="E2147" s="1">
        <f>IFERROR(__xludf.DUMMYFUNCTION("""COMPUTED_VALUE"""),3460.0)</f>
        <v>3460</v>
      </c>
      <c r="F2147" s="1">
        <f>IFERROR(__xludf.DUMMYFUNCTION("""COMPUTED_VALUE"""),1279831.0)</f>
        <v>1279831</v>
      </c>
    </row>
    <row r="2148">
      <c r="A2148" s="2">
        <f>IFERROR(__xludf.DUMMYFUNCTION("""COMPUTED_VALUE"""),45177.64583333333)</f>
        <v>45177.64583</v>
      </c>
      <c r="B2148" s="1">
        <f>IFERROR(__xludf.DUMMYFUNCTION("""COMPUTED_VALUE"""),3475.0)</f>
        <v>3475</v>
      </c>
      <c r="C2148" s="1">
        <f>IFERROR(__xludf.DUMMYFUNCTION("""COMPUTED_VALUE"""),3500.0)</f>
        <v>3500</v>
      </c>
      <c r="D2148" s="1">
        <f>IFERROR(__xludf.DUMMYFUNCTION("""COMPUTED_VALUE"""),3420.0)</f>
        <v>3420</v>
      </c>
      <c r="E2148" s="1">
        <f>IFERROR(__xludf.DUMMYFUNCTION("""COMPUTED_VALUE"""),3425.0)</f>
        <v>3425</v>
      </c>
      <c r="F2148" s="1">
        <f>IFERROR(__xludf.DUMMYFUNCTION("""COMPUTED_VALUE"""),544028.0)</f>
        <v>544028</v>
      </c>
    </row>
    <row r="2149">
      <c r="A2149" s="2">
        <f>IFERROR(__xludf.DUMMYFUNCTION("""COMPUTED_VALUE"""),45180.64583333333)</f>
        <v>45180.64583</v>
      </c>
      <c r="B2149" s="1">
        <f>IFERROR(__xludf.DUMMYFUNCTION("""COMPUTED_VALUE"""),3425.0)</f>
        <v>3425</v>
      </c>
      <c r="C2149" s="1">
        <f>IFERROR(__xludf.DUMMYFUNCTION("""COMPUTED_VALUE"""),4020.0)</f>
        <v>4020</v>
      </c>
      <c r="D2149" s="1">
        <f>IFERROR(__xludf.DUMMYFUNCTION("""COMPUTED_VALUE"""),3425.0)</f>
        <v>3425</v>
      </c>
      <c r="E2149" s="1">
        <f>IFERROR(__xludf.DUMMYFUNCTION("""COMPUTED_VALUE"""),3695.0)</f>
        <v>3695</v>
      </c>
      <c r="F2149" s="1">
        <f>IFERROR(__xludf.DUMMYFUNCTION("""COMPUTED_VALUE"""),1.5539934E7)</f>
        <v>15539934</v>
      </c>
    </row>
    <row r="2150">
      <c r="A2150" s="2">
        <f>IFERROR(__xludf.DUMMYFUNCTION("""COMPUTED_VALUE"""),45181.64583333333)</f>
        <v>45181.64583</v>
      </c>
      <c r="B2150" s="1">
        <f>IFERROR(__xludf.DUMMYFUNCTION("""COMPUTED_VALUE"""),3640.0)</f>
        <v>3640</v>
      </c>
      <c r="C2150" s="1">
        <f>IFERROR(__xludf.DUMMYFUNCTION("""COMPUTED_VALUE"""),3760.0)</f>
        <v>3760</v>
      </c>
      <c r="D2150" s="1">
        <f>IFERROR(__xludf.DUMMYFUNCTION("""COMPUTED_VALUE"""),3510.0)</f>
        <v>3510</v>
      </c>
      <c r="E2150" s="1">
        <f>IFERROR(__xludf.DUMMYFUNCTION("""COMPUTED_VALUE"""),3540.0)</f>
        <v>3540</v>
      </c>
      <c r="F2150" s="1">
        <f>IFERROR(__xludf.DUMMYFUNCTION("""COMPUTED_VALUE"""),2416483.0)</f>
        <v>2416483</v>
      </c>
    </row>
    <row r="2151">
      <c r="A2151" s="2">
        <f>IFERROR(__xludf.DUMMYFUNCTION("""COMPUTED_VALUE"""),45182.64583333333)</f>
        <v>45182.64583</v>
      </c>
      <c r="B2151" s="1">
        <f>IFERROR(__xludf.DUMMYFUNCTION("""COMPUTED_VALUE"""),3530.0)</f>
        <v>3530</v>
      </c>
      <c r="C2151" s="1">
        <f>IFERROR(__xludf.DUMMYFUNCTION("""COMPUTED_VALUE"""),3880.0)</f>
        <v>3880</v>
      </c>
      <c r="D2151" s="1">
        <f>IFERROR(__xludf.DUMMYFUNCTION("""COMPUTED_VALUE"""),3515.0)</f>
        <v>3515</v>
      </c>
      <c r="E2151" s="1">
        <f>IFERROR(__xludf.DUMMYFUNCTION("""COMPUTED_VALUE"""),3625.0)</f>
        <v>3625</v>
      </c>
      <c r="F2151" s="1">
        <f>IFERROR(__xludf.DUMMYFUNCTION("""COMPUTED_VALUE"""),1.5215601E7)</f>
        <v>15215601</v>
      </c>
    </row>
    <row r="2152">
      <c r="A2152" s="2">
        <f>IFERROR(__xludf.DUMMYFUNCTION("""COMPUTED_VALUE"""),45183.64583333333)</f>
        <v>45183.64583</v>
      </c>
      <c r="B2152" s="1">
        <f>IFERROR(__xludf.DUMMYFUNCTION("""COMPUTED_VALUE"""),3595.0)</f>
        <v>3595</v>
      </c>
      <c r="C2152" s="1">
        <f>IFERROR(__xludf.DUMMYFUNCTION("""COMPUTED_VALUE"""),3655.0)</f>
        <v>3655</v>
      </c>
      <c r="D2152" s="1">
        <f>IFERROR(__xludf.DUMMYFUNCTION("""COMPUTED_VALUE"""),3515.0)</f>
        <v>3515</v>
      </c>
      <c r="E2152" s="1">
        <f>IFERROR(__xludf.DUMMYFUNCTION("""COMPUTED_VALUE"""),3605.0)</f>
        <v>3605</v>
      </c>
      <c r="F2152" s="1">
        <f>IFERROR(__xludf.DUMMYFUNCTION("""COMPUTED_VALUE"""),1773047.0)</f>
        <v>1773047</v>
      </c>
    </row>
    <row r="2153">
      <c r="A2153" s="2">
        <f>IFERROR(__xludf.DUMMYFUNCTION("""COMPUTED_VALUE"""),45184.64583333333)</f>
        <v>45184.64583</v>
      </c>
      <c r="B2153" s="1">
        <f>IFERROR(__xludf.DUMMYFUNCTION("""COMPUTED_VALUE"""),3600.0)</f>
        <v>3600</v>
      </c>
      <c r="C2153" s="1">
        <f>IFERROR(__xludf.DUMMYFUNCTION("""COMPUTED_VALUE"""),3760.0)</f>
        <v>3760</v>
      </c>
      <c r="D2153" s="1">
        <f>IFERROR(__xludf.DUMMYFUNCTION("""COMPUTED_VALUE"""),3575.0)</f>
        <v>3575</v>
      </c>
      <c r="E2153" s="1">
        <f>IFERROR(__xludf.DUMMYFUNCTION("""COMPUTED_VALUE"""),3750.0)</f>
        <v>3750</v>
      </c>
      <c r="F2153" s="1">
        <f>IFERROR(__xludf.DUMMYFUNCTION("""COMPUTED_VALUE"""),3963729.0)</f>
        <v>3963729</v>
      </c>
    </row>
    <row r="2154">
      <c r="A2154" s="2">
        <f>IFERROR(__xludf.DUMMYFUNCTION("""COMPUTED_VALUE"""),45187.64583333333)</f>
        <v>45187.64583</v>
      </c>
      <c r="B2154" s="1">
        <f>IFERROR(__xludf.DUMMYFUNCTION("""COMPUTED_VALUE"""),4105.0)</f>
        <v>4105</v>
      </c>
      <c r="C2154" s="1">
        <f>IFERROR(__xludf.DUMMYFUNCTION("""COMPUTED_VALUE"""),4110.0)</f>
        <v>4110</v>
      </c>
      <c r="D2154" s="1">
        <f>IFERROR(__xludf.DUMMYFUNCTION("""COMPUTED_VALUE"""),3695.0)</f>
        <v>3695</v>
      </c>
      <c r="E2154" s="1">
        <f>IFERROR(__xludf.DUMMYFUNCTION("""COMPUTED_VALUE"""),3695.0)</f>
        <v>3695</v>
      </c>
      <c r="F2154" s="1">
        <f>IFERROR(__xludf.DUMMYFUNCTION("""COMPUTED_VALUE"""),1.0086528E7)</f>
        <v>10086528</v>
      </c>
    </row>
    <row r="2155">
      <c r="A2155" s="2">
        <f>IFERROR(__xludf.DUMMYFUNCTION("""COMPUTED_VALUE"""),45188.64583333333)</f>
        <v>45188.64583</v>
      </c>
      <c r="B2155" s="1">
        <f>IFERROR(__xludf.DUMMYFUNCTION("""COMPUTED_VALUE"""),3640.0)</f>
        <v>3640</v>
      </c>
      <c r="C2155" s="1">
        <f>IFERROR(__xludf.DUMMYFUNCTION("""COMPUTED_VALUE"""),3945.0)</f>
        <v>3945</v>
      </c>
      <c r="D2155" s="1">
        <f>IFERROR(__xludf.DUMMYFUNCTION("""COMPUTED_VALUE"""),3630.0)</f>
        <v>3630</v>
      </c>
      <c r="E2155" s="1">
        <f>IFERROR(__xludf.DUMMYFUNCTION("""COMPUTED_VALUE"""),3930.0)</f>
        <v>3930</v>
      </c>
      <c r="F2155" s="1">
        <f>IFERROR(__xludf.DUMMYFUNCTION("""COMPUTED_VALUE"""),4537975.0)</f>
        <v>4537975</v>
      </c>
    </row>
    <row r="2156">
      <c r="A2156" s="2">
        <f>IFERROR(__xludf.DUMMYFUNCTION("""COMPUTED_VALUE"""),45189.64583333333)</f>
        <v>45189.64583</v>
      </c>
      <c r="B2156" s="1">
        <f>IFERROR(__xludf.DUMMYFUNCTION("""COMPUTED_VALUE"""),3875.0)</f>
        <v>3875</v>
      </c>
      <c r="C2156" s="1">
        <f>IFERROR(__xludf.DUMMYFUNCTION("""COMPUTED_VALUE"""),4250.0)</f>
        <v>4250</v>
      </c>
      <c r="D2156" s="1">
        <f>IFERROR(__xludf.DUMMYFUNCTION("""COMPUTED_VALUE"""),3740.0)</f>
        <v>3740</v>
      </c>
      <c r="E2156" s="1">
        <f>IFERROR(__xludf.DUMMYFUNCTION("""COMPUTED_VALUE"""),3855.0)</f>
        <v>3855</v>
      </c>
      <c r="F2156" s="1">
        <f>IFERROR(__xludf.DUMMYFUNCTION("""COMPUTED_VALUE"""),1.2196232E7)</f>
        <v>12196232</v>
      </c>
    </row>
    <row r="2157">
      <c r="A2157" s="2">
        <f>IFERROR(__xludf.DUMMYFUNCTION("""COMPUTED_VALUE"""),45190.64583333333)</f>
        <v>45190.64583</v>
      </c>
      <c r="B2157" s="1">
        <f>IFERROR(__xludf.DUMMYFUNCTION("""COMPUTED_VALUE"""),3855.0)</f>
        <v>3855</v>
      </c>
      <c r="C2157" s="1">
        <f>IFERROR(__xludf.DUMMYFUNCTION("""COMPUTED_VALUE"""),3965.0)</f>
        <v>3965</v>
      </c>
      <c r="D2157" s="1">
        <f>IFERROR(__xludf.DUMMYFUNCTION("""COMPUTED_VALUE"""),3640.0)</f>
        <v>3640</v>
      </c>
      <c r="E2157" s="1">
        <f>IFERROR(__xludf.DUMMYFUNCTION("""COMPUTED_VALUE"""),3640.0)</f>
        <v>3640</v>
      </c>
      <c r="F2157" s="1">
        <f>IFERROR(__xludf.DUMMYFUNCTION("""COMPUTED_VALUE"""),3533918.0)</f>
        <v>3533918</v>
      </c>
    </row>
    <row r="2158">
      <c r="A2158" s="2">
        <f>IFERROR(__xludf.DUMMYFUNCTION("""COMPUTED_VALUE"""),45191.64583333333)</f>
        <v>45191.64583</v>
      </c>
      <c r="B2158" s="1">
        <f>IFERROR(__xludf.DUMMYFUNCTION("""COMPUTED_VALUE"""),3530.0)</f>
        <v>3530</v>
      </c>
      <c r="C2158" s="1">
        <f>IFERROR(__xludf.DUMMYFUNCTION("""COMPUTED_VALUE"""),3600.0)</f>
        <v>3600</v>
      </c>
      <c r="D2158" s="1">
        <f>IFERROR(__xludf.DUMMYFUNCTION("""COMPUTED_VALUE"""),3480.0)</f>
        <v>3480</v>
      </c>
      <c r="E2158" s="1">
        <f>IFERROR(__xludf.DUMMYFUNCTION("""COMPUTED_VALUE"""),3500.0)</f>
        <v>3500</v>
      </c>
      <c r="F2158" s="1">
        <f>IFERROR(__xludf.DUMMYFUNCTION("""COMPUTED_VALUE"""),1420102.0)</f>
        <v>1420102</v>
      </c>
    </row>
    <row r="2159">
      <c r="A2159" s="2">
        <f>IFERROR(__xludf.DUMMYFUNCTION("""COMPUTED_VALUE"""),45194.64583333333)</f>
        <v>45194.64583</v>
      </c>
      <c r="B2159" s="1">
        <f>IFERROR(__xludf.DUMMYFUNCTION("""COMPUTED_VALUE"""),3490.0)</f>
        <v>3490</v>
      </c>
      <c r="C2159" s="1">
        <f>IFERROR(__xludf.DUMMYFUNCTION("""COMPUTED_VALUE"""),3570.0)</f>
        <v>3570</v>
      </c>
      <c r="D2159" s="1">
        <f>IFERROR(__xludf.DUMMYFUNCTION("""COMPUTED_VALUE"""),3360.0)</f>
        <v>3360</v>
      </c>
      <c r="E2159" s="1">
        <f>IFERROR(__xludf.DUMMYFUNCTION("""COMPUTED_VALUE"""),3360.0)</f>
        <v>3360</v>
      </c>
      <c r="F2159" s="1">
        <f>IFERROR(__xludf.DUMMYFUNCTION("""COMPUTED_VALUE"""),1109407.0)</f>
        <v>1109407</v>
      </c>
    </row>
    <row r="2160">
      <c r="A2160" s="2">
        <f>IFERROR(__xludf.DUMMYFUNCTION("""COMPUTED_VALUE"""),45195.64583333333)</f>
        <v>45195.64583</v>
      </c>
      <c r="B2160" s="1">
        <f>IFERROR(__xludf.DUMMYFUNCTION("""COMPUTED_VALUE"""),3340.0)</f>
        <v>3340</v>
      </c>
      <c r="C2160" s="1">
        <f>IFERROR(__xludf.DUMMYFUNCTION("""COMPUTED_VALUE"""),3415.0)</f>
        <v>3415</v>
      </c>
      <c r="D2160" s="1">
        <f>IFERROR(__xludf.DUMMYFUNCTION("""COMPUTED_VALUE"""),3210.0)</f>
        <v>3210</v>
      </c>
      <c r="E2160" s="1">
        <f>IFERROR(__xludf.DUMMYFUNCTION("""COMPUTED_VALUE"""),3235.0)</f>
        <v>3235</v>
      </c>
      <c r="F2160" s="1">
        <f>IFERROR(__xludf.DUMMYFUNCTION("""COMPUTED_VALUE"""),859242.0)</f>
        <v>859242</v>
      </c>
    </row>
    <row r="2161">
      <c r="A2161" s="2">
        <f>IFERROR(__xludf.DUMMYFUNCTION("""COMPUTED_VALUE"""),45196.64583333333)</f>
        <v>45196.64583</v>
      </c>
      <c r="B2161" s="1">
        <f>IFERROR(__xludf.DUMMYFUNCTION("""COMPUTED_VALUE"""),3170.0)</f>
        <v>3170</v>
      </c>
      <c r="C2161" s="1">
        <f>IFERROR(__xludf.DUMMYFUNCTION("""COMPUTED_VALUE"""),3275.0)</f>
        <v>3275</v>
      </c>
      <c r="D2161" s="1">
        <f>IFERROR(__xludf.DUMMYFUNCTION("""COMPUTED_VALUE"""),3170.0)</f>
        <v>3170</v>
      </c>
      <c r="E2161" s="1">
        <f>IFERROR(__xludf.DUMMYFUNCTION("""COMPUTED_VALUE"""),3260.0)</f>
        <v>3260</v>
      </c>
      <c r="F2161" s="1">
        <f>IFERROR(__xludf.DUMMYFUNCTION("""COMPUTED_VALUE"""),564690.0)</f>
        <v>564690</v>
      </c>
    </row>
    <row r="2162">
      <c r="A2162" s="2">
        <f>IFERROR(__xludf.DUMMYFUNCTION("""COMPUTED_VALUE"""),45203.64583333333)</f>
        <v>45203.64583</v>
      </c>
      <c r="B2162" s="1">
        <f>IFERROR(__xludf.DUMMYFUNCTION("""COMPUTED_VALUE"""),3190.0)</f>
        <v>3190</v>
      </c>
      <c r="C2162" s="1">
        <f>IFERROR(__xludf.DUMMYFUNCTION("""COMPUTED_VALUE"""),3435.0)</f>
        <v>3435</v>
      </c>
      <c r="D2162" s="1">
        <f>IFERROR(__xludf.DUMMYFUNCTION("""COMPUTED_VALUE"""),3145.0)</f>
        <v>3145</v>
      </c>
      <c r="E2162" s="1">
        <f>IFERROR(__xludf.DUMMYFUNCTION("""COMPUTED_VALUE"""),3265.0)</f>
        <v>3265</v>
      </c>
      <c r="F2162" s="1">
        <f>IFERROR(__xludf.DUMMYFUNCTION("""COMPUTED_VALUE"""),1593604.0)</f>
        <v>1593604</v>
      </c>
    </row>
    <row r="2163">
      <c r="A2163" s="2">
        <f>IFERROR(__xludf.DUMMYFUNCTION("""COMPUTED_VALUE"""),45204.64583333333)</f>
        <v>45204.64583</v>
      </c>
      <c r="B2163" s="1">
        <f>IFERROR(__xludf.DUMMYFUNCTION("""COMPUTED_VALUE"""),3270.0)</f>
        <v>3270</v>
      </c>
      <c r="C2163" s="1">
        <f>IFERROR(__xludf.DUMMYFUNCTION("""COMPUTED_VALUE"""),3345.0)</f>
        <v>3345</v>
      </c>
      <c r="D2163" s="1">
        <f>IFERROR(__xludf.DUMMYFUNCTION("""COMPUTED_VALUE"""),3105.0)</f>
        <v>3105</v>
      </c>
      <c r="E2163" s="1">
        <f>IFERROR(__xludf.DUMMYFUNCTION("""COMPUTED_VALUE"""),3105.0)</f>
        <v>3105</v>
      </c>
      <c r="F2163" s="1">
        <f>IFERROR(__xludf.DUMMYFUNCTION("""COMPUTED_VALUE"""),677581.0)</f>
        <v>677581</v>
      </c>
    </row>
    <row r="2164">
      <c r="A2164" s="2">
        <f>IFERROR(__xludf.DUMMYFUNCTION("""COMPUTED_VALUE"""),45205.64583333333)</f>
        <v>45205.64583</v>
      </c>
      <c r="B2164" s="1">
        <f>IFERROR(__xludf.DUMMYFUNCTION("""COMPUTED_VALUE"""),3210.0)</f>
        <v>3210</v>
      </c>
      <c r="C2164" s="1">
        <f>IFERROR(__xludf.DUMMYFUNCTION("""COMPUTED_VALUE"""),3830.0)</f>
        <v>3830</v>
      </c>
      <c r="D2164" s="1">
        <f>IFERROR(__xludf.DUMMYFUNCTION("""COMPUTED_VALUE"""),3210.0)</f>
        <v>3210</v>
      </c>
      <c r="E2164" s="1">
        <f>IFERROR(__xludf.DUMMYFUNCTION("""COMPUTED_VALUE"""),3605.0)</f>
        <v>3605</v>
      </c>
      <c r="F2164" s="1">
        <f>IFERROR(__xludf.DUMMYFUNCTION("""COMPUTED_VALUE"""),1.9042899E7)</f>
        <v>19042899</v>
      </c>
    </row>
    <row r="2165">
      <c r="A2165" s="2">
        <f>IFERROR(__xludf.DUMMYFUNCTION("""COMPUTED_VALUE"""),45209.64583333333)</f>
        <v>45209.64583</v>
      </c>
      <c r="B2165" s="1">
        <f>IFERROR(__xludf.DUMMYFUNCTION("""COMPUTED_VALUE"""),3620.0)</f>
        <v>3620</v>
      </c>
      <c r="C2165" s="1">
        <f>IFERROR(__xludf.DUMMYFUNCTION("""COMPUTED_VALUE"""),3830.0)</f>
        <v>3830</v>
      </c>
      <c r="D2165" s="1">
        <f>IFERROR(__xludf.DUMMYFUNCTION("""COMPUTED_VALUE"""),3400.0)</f>
        <v>3400</v>
      </c>
      <c r="E2165" s="1">
        <f>IFERROR(__xludf.DUMMYFUNCTION("""COMPUTED_VALUE"""),3445.0)</f>
        <v>3445</v>
      </c>
      <c r="F2165" s="1">
        <f>IFERROR(__xludf.DUMMYFUNCTION("""COMPUTED_VALUE"""),9318504.0)</f>
        <v>9318504</v>
      </c>
    </row>
    <row r="2166">
      <c r="A2166" s="2">
        <f>IFERROR(__xludf.DUMMYFUNCTION("""COMPUTED_VALUE"""),45210.64583333333)</f>
        <v>45210.64583</v>
      </c>
      <c r="B2166" s="1">
        <f>IFERROR(__xludf.DUMMYFUNCTION("""COMPUTED_VALUE"""),3500.0)</f>
        <v>3500</v>
      </c>
      <c r="C2166" s="1">
        <f>IFERROR(__xludf.DUMMYFUNCTION("""COMPUTED_VALUE"""),3655.0)</f>
        <v>3655</v>
      </c>
      <c r="D2166" s="1">
        <f>IFERROR(__xludf.DUMMYFUNCTION("""COMPUTED_VALUE"""),3485.0)</f>
        <v>3485</v>
      </c>
      <c r="E2166" s="1">
        <f>IFERROR(__xludf.DUMMYFUNCTION("""COMPUTED_VALUE"""),3575.0)</f>
        <v>3575</v>
      </c>
      <c r="F2166" s="1">
        <f>IFERROR(__xludf.DUMMYFUNCTION("""COMPUTED_VALUE"""),2643450.0)</f>
        <v>2643450</v>
      </c>
    </row>
    <row r="2167">
      <c r="A2167" s="2">
        <f>IFERROR(__xludf.DUMMYFUNCTION("""COMPUTED_VALUE"""),45211.64583333333)</f>
        <v>45211.64583</v>
      </c>
      <c r="B2167" s="1">
        <f>IFERROR(__xludf.DUMMYFUNCTION("""COMPUTED_VALUE"""),3610.0)</f>
        <v>3610</v>
      </c>
      <c r="C2167" s="1">
        <f>IFERROR(__xludf.DUMMYFUNCTION("""COMPUTED_VALUE"""),3700.0)</f>
        <v>3700</v>
      </c>
      <c r="D2167" s="1">
        <f>IFERROR(__xludf.DUMMYFUNCTION("""COMPUTED_VALUE"""),3595.0)</f>
        <v>3595</v>
      </c>
      <c r="E2167" s="1">
        <f>IFERROR(__xludf.DUMMYFUNCTION("""COMPUTED_VALUE"""),3645.0)</f>
        <v>3645</v>
      </c>
      <c r="F2167" s="1">
        <f>IFERROR(__xludf.DUMMYFUNCTION("""COMPUTED_VALUE"""),1452397.0)</f>
        <v>1452397</v>
      </c>
    </row>
    <row r="2168">
      <c r="A2168" s="2">
        <f>IFERROR(__xludf.DUMMYFUNCTION("""COMPUTED_VALUE"""),45212.64583333333)</f>
        <v>45212.64583</v>
      </c>
      <c r="B2168" s="1">
        <f>IFERROR(__xludf.DUMMYFUNCTION("""COMPUTED_VALUE"""),3620.0)</f>
        <v>3620</v>
      </c>
      <c r="C2168" s="1">
        <f>IFERROR(__xludf.DUMMYFUNCTION("""COMPUTED_VALUE"""),3800.0)</f>
        <v>3800</v>
      </c>
      <c r="D2168" s="1">
        <f>IFERROR(__xludf.DUMMYFUNCTION("""COMPUTED_VALUE"""),3450.0)</f>
        <v>3450</v>
      </c>
      <c r="E2168" s="1">
        <f>IFERROR(__xludf.DUMMYFUNCTION("""COMPUTED_VALUE"""),3510.0)</f>
        <v>3510</v>
      </c>
      <c r="F2168" s="1">
        <f>IFERROR(__xludf.DUMMYFUNCTION("""COMPUTED_VALUE"""),3180894.0)</f>
        <v>3180894</v>
      </c>
    </row>
    <row r="2169">
      <c r="A2169" s="2">
        <f>IFERROR(__xludf.DUMMYFUNCTION("""COMPUTED_VALUE"""),45215.64583333333)</f>
        <v>45215.64583</v>
      </c>
      <c r="B2169" s="1">
        <f>IFERROR(__xludf.DUMMYFUNCTION("""COMPUTED_VALUE"""),3480.0)</f>
        <v>3480</v>
      </c>
      <c r="C2169" s="1">
        <f>IFERROR(__xludf.DUMMYFUNCTION("""COMPUTED_VALUE"""),3565.0)</f>
        <v>3565</v>
      </c>
      <c r="D2169" s="1">
        <f>IFERROR(__xludf.DUMMYFUNCTION("""COMPUTED_VALUE"""),3280.0)</f>
        <v>3280</v>
      </c>
      <c r="E2169" s="1">
        <f>IFERROR(__xludf.DUMMYFUNCTION("""COMPUTED_VALUE"""),3330.0)</f>
        <v>3330</v>
      </c>
      <c r="F2169" s="1">
        <f>IFERROR(__xludf.DUMMYFUNCTION("""COMPUTED_VALUE"""),995105.0)</f>
        <v>995105</v>
      </c>
    </row>
    <row r="2170">
      <c r="A2170" s="2">
        <f>IFERROR(__xludf.DUMMYFUNCTION("""COMPUTED_VALUE"""),45216.64583333333)</f>
        <v>45216.64583</v>
      </c>
      <c r="B2170" s="1">
        <f>IFERROR(__xludf.DUMMYFUNCTION("""COMPUTED_VALUE"""),3350.0)</f>
        <v>3350</v>
      </c>
      <c r="C2170" s="1">
        <f>IFERROR(__xludf.DUMMYFUNCTION("""COMPUTED_VALUE"""),3470.0)</f>
        <v>3470</v>
      </c>
      <c r="D2170" s="1">
        <f>IFERROR(__xludf.DUMMYFUNCTION("""COMPUTED_VALUE"""),3350.0)</f>
        <v>3350</v>
      </c>
      <c r="E2170" s="1">
        <f>IFERROR(__xludf.DUMMYFUNCTION("""COMPUTED_VALUE"""),3435.0)</f>
        <v>3435</v>
      </c>
      <c r="F2170" s="1">
        <f>IFERROR(__xludf.DUMMYFUNCTION("""COMPUTED_VALUE"""),668111.0)</f>
        <v>668111</v>
      </c>
    </row>
    <row r="2171">
      <c r="A2171" s="2">
        <f>IFERROR(__xludf.DUMMYFUNCTION("""COMPUTED_VALUE"""),45217.64583333333)</f>
        <v>45217.64583</v>
      </c>
      <c r="B2171" s="1">
        <f>IFERROR(__xludf.DUMMYFUNCTION("""COMPUTED_VALUE"""),3450.0)</f>
        <v>3450</v>
      </c>
      <c r="C2171" s="1">
        <f>IFERROR(__xludf.DUMMYFUNCTION("""COMPUTED_VALUE"""),3495.0)</f>
        <v>3495</v>
      </c>
      <c r="D2171" s="1">
        <f>IFERROR(__xludf.DUMMYFUNCTION("""COMPUTED_VALUE"""),3360.0)</f>
        <v>3360</v>
      </c>
      <c r="E2171" s="1">
        <f>IFERROR(__xludf.DUMMYFUNCTION("""COMPUTED_VALUE"""),3375.0)</f>
        <v>3375</v>
      </c>
      <c r="F2171" s="1">
        <f>IFERROR(__xludf.DUMMYFUNCTION("""COMPUTED_VALUE"""),603701.0)</f>
        <v>603701</v>
      </c>
    </row>
    <row r="2172">
      <c r="A2172" s="2">
        <f>IFERROR(__xludf.DUMMYFUNCTION("""COMPUTED_VALUE"""),45218.64583333333)</f>
        <v>45218.64583</v>
      </c>
      <c r="B2172" s="1">
        <f>IFERROR(__xludf.DUMMYFUNCTION("""COMPUTED_VALUE"""),3340.0)</f>
        <v>3340</v>
      </c>
      <c r="C2172" s="1">
        <f>IFERROR(__xludf.DUMMYFUNCTION("""COMPUTED_VALUE"""),3395.0)</f>
        <v>3395</v>
      </c>
      <c r="D2172" s="1">
        <f>IFERROR(__xludf.DUMMYFUNCTION("""COMPUTED_VALUE"""),3240.0)</f>
        <v>3240</v>
      </c>
      <c r="E2172" s="1">
        <f>IFERROR(__xludf.DUMMYFUNCTION("""COMPUTED_VALUE"""),3265.0)</f>
        <v>3265</v>
      </c>
      <c r="F2172" s="1">
        <f>IFERROR(__xludf.DUMMYFUNCTION("""COMPUTED_VALUE"""),722604.0)</f>
        <v>722604</v>
      </c>
    </row>
    <row r="2173">
      <c r="A2173" s="2">
        <f>IFERROR(__xludf.DUMMYFUNCTION("""COMPUTED_VALUE"""),45219.64583333333)</f>
        <v>45219.64583</v>
      </c>
      <c r="B2173" s="1">
        <f>IFERROR(__xludf.DUMMYFUNCTION("""COMPUTED_VALUE"""),3230.0)</f>
        <v>3230</v>
      </c>
      <c r="C2173" s="1">
        <f>IFERROR(__xludf.DUMMYFUNCTION("""COMPUTED_VALUE"""),3290.0)</f>
        <v>3290</v>
      </c>
      <c r="D2173" s="1">
        <f>IFERROR(__xludf.DUMMYFUNCTION("""COMPUTED_VALUE"""),3155.0)</f>
        <v>3155</v>
      </c>
      <c r="E2173" s="1">
        <f>IFERROR(__xludf.DUMMYFUNCTION("""COMPUTED_VALUE"""),3215.0)</f>
        <v>3215</v>
      </c>
      <c r="F2173" s="1">
        <f>IFERROR(__xludf.DUMMYFUNCTION("""COMPUTED_VALUE"""),799760.0)</f>
        <v>799760</v>
      </c>
    </row>
    <row r="2174">
      <c r="A2174" s="2">
        <f>IFERROR(__xludf.DUMMYFUNCTION("""COMPUTED_VALUE"""),45222.64583333333)</f>
        <v>45222.64583</v>
      </c>
      <c r="B2174" s="1">
        <f>IFERROR(__xludf.DUMMYFUNCTION("""COMPUTED_VALUE"""),3170.0)</f>
        <v>3170</v>
      </c>
      <c r="C2174" s="1">
        <f>IFERROR(__xludf.DUMMYFUNCTION("""COMPUTED_VALUE"""),3255.0)</f>
        <v>3255</v>
      </c>
      <c r="D2174" s="1">
        <f>IFERROR(__xludf.DUMMYFUNCTION("""COMPUTED_VALUE"""),3150.0)</f>
        <v>3150</v>
      </c>
      <c r="E2174" s="1">
        <f>IFERROR(__xludf.DUMMYFUNCTION("""COMPUTED_VALUE"""),3195.0)</f>
        <v>3195</v>
      </c>
      <c r="F2174" s="1">
        <f>IFERROR(__xludf.DUMMYFUNCTION("""COMPUTED_VALUE"""),440414.0)</f>
        <v>440414</v>
      </c>
    </row>
    <row r="2175">
      <c r="A2175" s="2">
        <f>IFERROR(__xludf.DUMMYFUNCTION("""COMPUTED_VALUE"""),45223.64583333333)</f>
        <v>45223.64583</v>
      </c>
      <c r="B2175" s="1">
        <f>IFERROR(__xludf.DUMMYFUNCTION("""COMPUTED_VALUE"""),3210.0)</f>
        <v>3210</v>
      </c>
      <c r="C2175" s="1">
        <f>IFERROR(__xludf.DUMMYFUNCTION("""COMPUTED_VALUE"""),3340.0)</f>
        <v>3340</v>
      </c>
      <c r="D2175" s="1">
        <f>IFERROR(__xludf.DUMMYFUNCTION("""COMPUTED_VALUE"""),3115.0)</f>
        <v>3115</v>
      </c>
      <c r="E2175" s="1">
        <f>IFERROR(__xludf.DUMMYFUNCTION("""COMPUTED_VALUE"""),3340.0)</f>
        <v>3340</v>
      </c>
      <c r="F2175" s="1">
        <f>IFERROR(__xludf.DUMMYFUNCTION("""COMPUTED_VALUE"""),995281.0)</f>
        <v>995281</v>
      </c>
    </row>
    <row r="2176">
      <c r="A2176" s="2">
        <f>IFERROR(__xludf.DUMMYFUNCTION("""COMPUTED_VALUE"""),45224.64583333333)</f>
        <v>45224.64583</v>
      </c>
      <c r="B2176" s="1">
        <f>IFERROR(__xludf.DUMMYFUNCTION("""COMPUTED_VALUE"""),3420.0)</f>
        <v>3420</v>
      </c>
      <c r="C2176" s="1">
        <f>IFERROR(__xludf.DUMMYFUNCTION("""COMPUTED_VALUE"""),3440.0)</f>
        <v>3440</v>
      </c>
      <c r="D2176" s="1">
        <f>IFERROR(__xludf.DUMMYFUNCTION("""COMPUTED_VALUE"""),3315.0)</f>
        <v>3315</v>
      </c>
      <c r="E2176" s="1">
        <f>IFERROR(__xludf.DUMMYFUNCTION("""COMPUTED_VALUE"""),3365.0)</f>
        <v>3365</v>
      </c>
      <c r="F2176" s="1">
        <f>IFERROR(__xludf.DUMMYFUNCTION("""COMPUTED_VALUE"""),951473.0)</f>
        <v>951473</v>
      </c>
    </row>
    <row r="2177">
      <c r="A2177" s="2">
        <f>IFERROR(__xludf.DUMMYFUNCTION("""COMPUTED_VALUE"""),45225.64583333333)</f>
        <v>45225.64583</v>
      </c>
      <c r="B2177" s="1">
        <f>IFERROR(__xludf.DUMMYFUNCTION("""COMPUTED_VALUE"""),3285.0)</f>
        <v>3285</v>
      </c>
      <c r="C2177" s="1">
        <f>IFERROR(__xludf.DUMMYFUNCTION("""COMPUTED_VALUE"""),3305.0)</f>
        <v>3305</v>
      </c>
      <c r="D2177" s="1">
        <f>IFERROR(__xludf.DUMMYFUNCTION("""COMPUTED_VALUE"""),3125.0)</f>
        <v>3125</v>
      </c>
      <c r="E2177" s="1">
        <f>IFERROR(__xludf.DUMMYFUNCTION("""COMPUTED_VALUE"""),3150.0)</f>
        <v>3150</v>
      </c>
      <c r="F2177" s="1">
        <f>IFERROR(__xludf.DUMMYFUNCTION("""COMPUTED_VALUE"""),750391.0)</f>
        <v>750391</v>
      </c>
    </row>
    <row r="2178">
      <c r="A2178" s="2">
        <f>IFERROR(__xludf.DUMMYFUNCTION("""COMPUTED_VALUE"""),45226.64583333333)</f>
        <v>45226.64583</v>
      </c>
      <c r="B2178" s="1">
        <f>IFERROR(__xludf.DUMMYFUNCTION("""COMPUTED_VALUE"""),3150.0)</f>
        <v>3150</v>
      </c>
      <c r="C2178" s="1">
        <f>IFERROR(__xludf.DUMMYFUNCTION("""COMPUTED_VALUE"""),3190.0)</f>
        <v>3190</v>
      </c>
      <c r="D2178" s="1">
        <f>IFERROR(__xludf.DUMMYFUNCTION("""COMPUTED_VALUE"""),3110.0)</f>
        <v>3110</v>
      </c>
      <c r="E2178" s="1">
        <f>IFERROR(__xludf.DUMMYFUNCTION("""COMPUTED_VALUE"""),3125.0)</f>
        <v>3125</v>
      </c>
      <c r="F2178" s="1">
        <f>IFERROR(__xludf.DUMMYFUNCTION("""COMPUTED_VALUE"""),445483.0)</f>
        <v>445483</v>
      </c>
    </row>
    <row r="2179">
      <c r="A2179" s="2">
        <f>IFERROR(__xludf.DUMMYFUNCTION("""COMPUTED_VALUE"""),45229.64583333333)</f>
        <v>45229.64583</v>
      </c>
      <c r="B2179" s="1">
        <f>IFERROR(__xludf.DUMMYFUNCTION("""COMPUTED_VALUE"""),3090.0)</f>
        <v>3090</v>
      </c>
      <c r="C2179" s="1">
        <f>IFERROR(__xludf.DUMMYFUNCTION("""COMPUTED_VALUE"""),3200.0)</f>
        <v>3200</v>
      </c>
      <c r="D2179" s="1">
        <f>IFERROR(__xludf.DUMMYFUNCTION("""COMPUTED_VALUE"""),3025.0)</f>
        <v>3025</v>
      </c>
      <c r="E2179" s="1">
        <f>IFERROR(__xludf.DUMMYFUNCTION("""COMPUTED_VALUE"""),3180.0)</f>
        <v>3180</v>
      </c>
      <c r="F2179" s="1">
        <f>IFERROR(__xludf.DUMMYFUNCTION("""COMPUTED_VALUE"""),359482.0)</f>
        <v>359482</v>
      </c>
    </row>
    <row r="2180">
      <c r="A2180" s="2">
        <f>IFERROR(__xludf.DUMMYFUNCTION("""COMPUTED_VALUE"""),45230.64583333333)</f>
        <v>45230.64583</v>
      </c>
      <c r="B2180" s="1">
        <f>IFERROR(__xludf.DUMMYFUNCTION("""COMPUTED_VALUE"""),3230.0)</f>
        <v>3230</v>
      </c>
      <c r="C2180" s="1">
        <f>IFERROR(__xludf.DUMMYFUNCTION("""COMPUTED_VALUE"""),3290.0)</f>
        <v>3290</v>
      </c>
      <c r="D2180" s="1">
        <f>IFERROR(__xludf.DUMMYFUNCTION("""COMPUTED_VALUE"""),3040.0)</f>
        <v>3040</v>
      </c>
      <c r="E2180" s="1">
        <f>IFERROR(__xludf.DUMMYFUNCTION("""COMPUTED_VALUE"""),3070.0)</f>
        <v>3070</v>
      </c>
      <c r="F2180" s="1">
        <f>IFERROR(__xludf.DUMMYFUNCTION("""COMPUTED_VALUE"""),448440.0)</f>
        <v>448440</v>
      </c>
    </row>
    <row r="2181">
      <c r="A2181" s="2">
        <f>IFERROR(__xludf.DUMMYFUNCTION("""COMPUTED_VALUE"""),45231.64583333333)</f>
        <v>45231.64583</v>
      </c>
      <c r="B2181" s="1">
        <f>IFERROR(__xludf.DUMMYFUNCTION("""COMPUTED_VALUE"""),3120.0)</f>
        <v>3120</v>
      </c>
      <c r="C2181" s="1">
        <f>IFERROR(__xludf.DUMMYFUNCTION("""COMPUTED_VALUE"""),3180.0)</f>
        <v>3180</v>
      </c>
      <c r="D2181" s="1">
        <f>IFERROR(__xludf.DUMMYFUNCTION("""COMPUTED_VALUE"""),3100.0)</f>
        <v>3100</v>
      </c>
      <c r="E2181" s="1">
        <f>IFERROR(__xludf.DUMMYFUNCTION("""COMPUTED_VALUE"""),3160.0)</f>
        <v>3160</v>
      </c>
      <c r="F2181" s="1">
        <f>IFERROR(__xludf.DUMMYFUNCTION("""COMPUTED_VALUE"""),186666.0)</f>
        <v>186666</v>
      </c>
    </row>
    <row r="2182">
      <c r="A2182" s="2">
        <f>IFERROR(__xludf.DUMMYFUNCTION("""COMPUTED_VALUE"""),45232.64583333333)</f>
        <v>45232.64583</v>
      </c>
      <c r="B2182" s="1">
        <f>IFERROR(__xludf.DUMMYFUNCTION("""COMPUTED_VALUE"""),3210.0)</f>
        <v>3210</v>
      </c>
      <c r="C2182" s="1">
        <f>IFERROR(__xludf.DUMMYFUNCTION("""COMPUTED_VALUE"""),3255.0)</f>
        <v>3255</v>
      </c>
      <c r="D2182" s="1">
        <f>IFERROR(__xludf.DUMMYFUNCTION("""COMPUTED_VALUE"""),3210.0)</f>
        <v>3210</v>
      </c>
      <c r="E2182" s="1">
        <f>IFERROR(__xludf.DUMMYFUNCTION("""COMPUTED_VALUE"""),3235.0)</f>
        <v>3235</v>
      </c>
      <c r="F2182" s="1">
        <f>IFERROR(__xludf.DUMMYFUNCTION("""COMPUTED_VALUE"""),377042.0)</f>
        <v>377042</v>
      </c>
    </row>
    <row r="2183">
      <c r="A2183" s="2">
        <f>IFERROR(__xludf.DUMMYFUNCTION("""COMPUTED_VALUE"""),45233.64583333333)</f>
        <v>45233.64583</v>
      </c>
      <c r="B2183" s="1">
        <f>IFERROR(__xludf.DUMMYFUNCTION("""COMPUTED_VALUE"""),3270.0)</f>
        <v>3270</v>
      </c>
      <c r="C2183" s="1">
        <f>IFERROR(__xludf.DUMMYFUNCTION("""COMPUTED_VALUE"""),3310.0)</f>
        <v>3310</v>
      </c>
      <c r="D2183" s="1">
        <f>IFERROR(__xludf.DUMMYFUNCTION("""COMPUTED_VALUE"""),3210.0)</f>
        <v>3210</v>
      </c>
      <c r="E2183" s="1">
        <f>IFERROR(__xludf.DUMMYFUNCTION("""COMPUTED_VALUE"""),3290.0)</f>
        <v>3290</v>
      </c>
      <c r="F2183" s="1">
        <f>IFERROR(__xludf.DUMMYFUNCTION("""COMPUTED_VALUE"""),410517.0)</f>
        <v>410517</v>
      </c>
    </row>
    <row r="2184">
      <c r="A2184" s="2">
        <f>IFERROR(__xludf.DUMMYFUNCTION("""COMPUTED_VALUE"""),45236.64583333333)</f>
        <v>45236.64583</v>
      </c>
      <c r="B2184" s="1">
        <f>IFERROR(__xludf.DUMMYFUNCTION("""COMPUTED_VALUE"""),3350.0)</f>
        <v>3350</v>
      </c>
      <c r="C2184" s="1">
        <f>IFERROR(__xludf.DUMMYFUNCTION("""COMPUTED_VALUE"""),3600.0)</f>
        <v>3600</v>
      </c>
      <c r="D2184" s="1">
        <f>IFERROR(__xludf.DUMMYFUNCTION("""COMPUTED_VALUE"""),3270.0)</f>
        <v>3270</v>
      </c>
      <c r="E2184" s="1">
        <f>IFERROR(__xludf.DUMMYFUNCTION("""COMPUTED_VALUE"""),3400.0)</f>
        <v>3400</v>
      </c>
      <c r="F2184" s="1">
        <f>IFERROR(__xludf.DUMMYFUNCTION("""COMPUTED_VALUE"""),4101901.0)</f>
        <v>4101901</v>
      </c>
    </row>
    <row r="2185">
      <c r="A2185" s="2">
        <f>IFERROR(__xludf.DUMMYFUNCTION("""COMPUTED_VALUE"""),45237.64583333333)</f>
        <v>45237.64583</v>
      </c>
      <c r="B2185" s="1">
        <f>IFERROR(__xludf.DUMMYFUNCTION("""COMPUTED_VALUE"""),3405.0)</f>
        <v>3405</v>
      </c>
      <c r="C2185" s="1">
        <f>IFERROR(__xludf.DUMMYFUNCTION("""COMPUTED_VALUE"""),3430.0)</f>
        <v>3430</v>
      </c>
      <c r="D2185" s="1">
        <f>IFERROR(__xludf.DUMMYFUNCTION("""COMPUTED_VALUE"""),3270.0)</f>
        <v>3270</v>
      </c>
      <c r="E2185" s="1">
        <f>IFERROR(__xludf.DUMMYFUNCTION("""COMPUTED_VALUE"""),3335.0)</f>
        <v>3335</v>
      </c>
      <c r="F2185" s="1">
        <f>IFERROR(__xludf.DUMMYFUNCTION("""COMPUTED_VALUE"""),902562.0)</f>
        <v>902562</v>
      </c>
    </row>
    <row r="2186">
      <c r="A2186" s="2">
        <f>IFERROR(__xludf.DUMMYFUNCTION("""COMPUTED_VALUE"""),45238.64583333333)</f>
        <v>45238.64583</v>
      </c>
      <c r="B2186" s="1">
        <f>IFERROR(__xludf.DUMMYFUNCTION("""COMPUTED_VALUE"""),3365.0)</f>
        <v>3365</v>
      </c>
      <c r="C2186" s="1">
        <f>IFERROR(__xludf.DUMMYFUNCTION("""COMPUTED_VALUE"""),3400.0)</f>
        <v>3400</v>
      </c>
      <c r="D2186" s="1">
        <f>IFERROR(__xludf.DUMMYFUNCTION("""COMPUTED_VALUE"""),3280.0)</f>
        <v>3280</v>
      </c>
      <c r="E2186" s="1">
        <f>IFERROR(__xludf.DUMMYFUNCTION("""COMPUTED_VALUE"""),3280.0)</f>
        <v>3280</v>
      </c>
      <c r="F2186" s="1">
        <f>IFERROR(__xludf.DUMMYFUNCTION("""COMPUTED_VALUE"""),439085.0)</f>
        <v>439085</v>
      </c>
    </row>
    <row r="2187">
      <c r="A2187" s="2">
        <f>IFERROR(__xludf.DUMMYFUNCTION("""COMPUTED_VALUE"""),45239.64583333333)</f>
        <v>45239.64583</v>
      </c>
      <c r="B2187" s="1">
        <f>IFERROR(__xludf.DUMMYFUNCTION("""COMPUTED_VALUE"""),3285.0)</f>
        <v>3285</v>
      </c>
      <c r="C2187" s="1">
        <f>IFERROR(__xludf.DUMMYFUNCTION("""COMPUTED_VALUE"""),3325.0)</f>
        <v>3325</v>
      </c>
      <c r="D2187" s="1">
        <f>IFERROR(__xludf.DUMMYFUNCTION("""COMPUTED_VALUE"""),3250.0)</f>
        <v>3250</v>
      </c>
      <c r="E2187" s="1">
        <f>IFERROR(__xludf.DUMMYFUNCTION("""COMPUTED_VALUE"""),3260.0)</f>
        <v>3260</v>
      </c>
      <c r="F2187" s="1">
        <f>IFERROR(__xludf.DUMMYFUNCTION("""COMPUTED_VALUE"""),200838.0)</f>
        <v>200838</v>
      </c>
    </row>
    <row r="2188">
      <c r="A2188" s="2">
        <f>IFERROR(__xludf.DUMMYFUNCTION("""COMPUTED_VALUE"""),45240.64583333333)</f>
        <v>45240.64583</v>
      </c>
      <c r="B2188" s="1">
        <f>IFERROR(__xludf.DUMMYFUNCTION("""COMPUTED_VALUE"""),3225.0)</f>
        <v>3225</v>
      </c>
      <c r="C2188" s="1">
        <f>IFERROR(__xludf.DUMMYFUNCTION("""COMPUTED_VALUE"""),3265.0)</f>
        <v>3265</v>
      </c>
      <c r="D2188" s="1">
        <f>IFERROR(__xludf.DUMMYFUNCTION("""COMPUTED_VALUE"""),3180.0)</f>
        <v>3180</v>
      </c>
      <c r="E2188" s="1">
        <f>IFERROR(__xludf.DUMMYFUNCTION("""COMPUTED_VALUE"""),3195.0)</f>
        <v>3195</v>
      </c>
      <c r="F2188" s="1">
        <f>IFERROR(__xludf.DUMMYFUNCTION("""COMPUTED_VALUE"""),271414.0)</f>
        <v>271414</v>
      </c>
    </row>
    <row r="2189">
      <c r="A2189" s="2">
        <f>IFERROR(__xludf.DUMMYFUNCTION("""COMPUTED_VALUE"""),45243.64583333333)</f>
        <v>45243.64583</v>
      </c>
      <c r="B2189" s="1">
        <f>IFERROR(__xludf.DUMMYFUNCTION("""COMPUTED_VALUE"""),3200.0)</f>
        <v>3200</v>
      </c>
      <c r="C2189" s="1">
        <f>IFERROR(__xludf.DUMMYFUNCTION("""COMPUTED_VALUE"""),3290.0)</f>
        <v>3290</v>
      </c>
      <c r="D2189" s="1">
        <f>IFERROR(__xludf.DUMMYFUNCTION("""COMPUTED_VALUE"""),3160.0)</f>
        <v>3160</v>
      </c>
      <c r="E2189" s="1">
        <f>IFERROR(__xludf.DUMMYFUNCTION("""COMPUTED_VALUE"""),3165.0)</f>
        <v>3165</v>
      </c>
      <c r="F2189" s="1">
        <f>IFERROR(__xludf.DUMMYFUNCTION("""COMPUTED_VALUE"""),221945.0)</f>
        <v>221945</v>
      </c>
    </row>
    <row r="2190">
      <c r="A2190" s="2">
        <f>IFERROR(__xludf.DUMMYFUNCTION("""COMPUTED_VALUE"""),45244.64583333333)</f>
        <v>45244.64583</v>
      </c>
      <c r="B2190" s="1">
        <f>IFERROR(__xludf.DUMMYFUNCTION("""COMPUTED_VALUE"""),3175.0)</f>
        <v>3175</v>
      </c>
      <c r="C2190" s="1">
        <f>IFERROR(__xludf.DUMMYFUNCTION("""COMPUTED_VALUE"""),3340.0)</f>
        <v>3340</v>
      </c>
      <c r="D2190" s="1">
        <f>IFERROR(__xludf.DUMMYFUNCTION("""COMPUTED_VALUE"""),3175.0)</f>
        <v>3175</v>
      </c>
      <c r="E2190" s="1">
        <f>IFERROR(__xludf.DUMMYFUNCTION("""COMPUTED_VALUE"""),3290.0)</f>
        <v>3290</v>
      </c>
      <c r="F2190" s="1">
        <f>IFERROR(__xludf.DUMMYFUNCTION("""COMPUTED_VALUE"""),548626.0)</f>
        <v>548626</v>
      </c>
    </row>
    <row r="2191">
      <c r="A2191" s="2">
        <f>IFERROR(__xludf.DUMMYFUNCTION("""COMPUTED_VALUE"""),45245.64583333333)</f>
        <v>45245.64583</v>
      </c>
      <c r="B2191" s="1">
        <f>IFERROR(__xludf.DUMMYFUNCTION("""COMPUTED_VALUE"""),3355.0)</f>
        <v>3355</v>
      </c>
      <c r="C2191" s="1">
        <f>IFERROR(__xludf.DUMMYFUNCTION("""COMPUTED_VALUE"""),3410.0)</f>
        <v>3410</v>
      </c>
      <c r="D2191" s="1">
        <f>IFERROR(__xludf.DUMMYFUNCTION("""COMPUTED_VALUE"""),3330.0)</f>
        <v>3330</v>
      </c>
      <c r="E2191" s="1">
        <f>IFERROR(__xludf.DUMMYFUNCTION("""COMPUTED_VALUE"""),3370.0)</f>
        <v>3370</v>
      </c>
      <c r="F2191" s="1">
        <f>IFERROR(__xludf.DUMMYFUNCTION("""COMPUTED_VALUE"""),468267.0)</f>
        <v>468267</v>
      </c>
    </row>
    <row r="2192">
      <c r="A2192" s="2">
        <f>IFERROR(__xludf.DUMMYFUNCTION("""COMPUTED_VALUE"""),45246.64583333333)</f>
        <v>45246.64583</v>
      </c>
      <c r="B2192" s="1">
        <f>IFERROR(__xludf.DUMMYFUNCTION("""COMPUTED_VALUE"""),3350.0)</f>
        <v>3350</v>
      </c>
      <c r="C2192" s="1">
        <f>IFERROR(__xludf.DUMMYFUNCTION("""COMPUTED_VALUE"""),3410.0)</f>
        <v>3410</v>
      </c>
      <c r="D2192" s="1">
        <f>IFERROR(__xludf.DUMMYFUNCTION("""COMPUTED_VALUE"""),3350.0)</f>
        <v>3350</v>
      </c>
      <c r="E2192" s="1">
        <f>IFERROR(__xludf.DUMMYFUNCTION("""COMPUTED_VALUE"""),3400.0)</f>
        <v>3400</v>
      </c>
      <c r="F2192" s="1">
        <f>IFERROR(__xludf.DUMMYFUNCTION("""COMPUTED_VALUE"""),258784.0)</f>
        <v>258784</v>
      </c>
    </row>
    <row r="2193">
      <c r="A2193" s="2">
        <f>IFERROR(__xludf.DUMMYFUNCTION("""COMPUTED_VALUE"""),45247.64583333333)</f>
        <v>45247.64583</v>
      </c>
      <c r="B2193" s="1">
        <f>IFERROR(__xludf.DUMMYFUNCTION("""COMPUTED_VALUE"""),3375.0)</f>
        <v>3375</v>
      </c>
      <c r="C2193" s="1">
        <f>IFERROR(__xludf.DUMMYFUNCTION("""COMPUTED_VALUE"""),3390.0)</f>
        <v>3390</v>
      </c>
      <c r="D2193" s="1">
        <f>IFERROR(__xludf.DUMMYFUNCTION("""COMPUTED_VALUE"""),3295.0)</f>
        <v>3295</v>
      </c>
      <c r="E2193" s="1">
        <f>IFERROR(__xludf.DUMMYFUNCTION("""COMPUTED_VALUE"""),3330.0)</f>
        <v>3330</v>
      </c>
      <c r="F2193" s="1">
        <f>IFERROR(__xludf.DUMMYFUNCTION("""COMPUTED_VALUE"""),446537.0)</f>
        <v>446537</v>
      </c>
    </row>
    <row r="2194">
      <c r="A2194" s="2">
        <f>IFERROR(__xludf.DUMMYFUNCTION("""COMPUTED_VALUE"""),45250.64583333333)</f>
        <v>45250.64583</v>
      </c>
      <c r="B2194" s="1">
        <f>IFERROR(__xludf.DUMMYFUNCTION("""COMPUTED_VALUE"""),3335.0)</f>
        <v>3335</v>
      </c>
      <c r="C2194" s="1">
        <f>IFERROR(__xludf.DUMMYFUNCTION("""COMPUTED_VALUE"""),3415.0)</f>
        <v>3415</v>
      </c>
      <c r="D2194" s="1">
        <f>IFERROR(__xludf.DUMMYFUNCTION("""COMPUTED_VALUE"""),3310.0)</f>
        <v>3310</v>
      </c>
      <c r="E2194" s="1">
        <f>IFERROR(__xludf.DUMMYFUNCTION("""COMPUTED_VALUE"""),3360.0)</f>
        <v>3360</v>
      </c>
      <c r="F2194" s="1">
        <f>IFERROR(__xludf.DUMMYFUNCTION("""COMPUTED_VALUE"""),306923.0)</f>
        <v>306923</v>
      </c>
    </row>
    <row r="2195">
      <c r="A2195" s="2">
        <f>IFERROR(__xludf.DUMMYFUNCTION("""COMPUTED_VALUE"""),45251.64583333333)</f>
        <v>45251.64583</v>
      </c>
      <c r="B2195" s="1">
        <f>IFERROR(__xludf.DUMMYFUNCTION("""COMPUTED_VALUE"""),3365.0)</f>
        <v>3365</v>
      </c>
      <c r="C2195" s="1">
        <f>IFERROR(__xludf.DUMMYFUNCTION("""COMPUTED_VALUE"""),3425.0)</f>
        <v>3425</v>
      </c>
      <c r="D2195" s="1">
        <f>IFERROR(__xludf.DUMMYFUNCTION("""COMPUTED_VALUE"""),3365.0)</f>
        <v>3365</v>
      </c>
      <c r="E2195" s="1">
        <f>IFERROR(__xludf.DUMMYFUNCTION("""COMPUTED_VALUE"""),3400.0)</f>
        <v>3400</v>
      </c>
      <c r="F2195" s="1">
        <f>IFERROR(__xludf.DUMMYFUNCTION("""COMPUTED_VALUE"""),361487.0)</f>
        <v>361487</v>
      </c>
    </row>
    <row r="2196">
      <c r="A2196" s="2">
        <f>IFERROR(__xludf.DUMMYFUNCTION("""COMPUTED_VALUE"""),45252.64583333333)</f>
        <v>45252.64583</v>
      </c>
      <c r="B2196" s="1">
        <f>IFERROR(__xludf.DUMMYFUNCTION("""COMPUTED_VALUE"""),3370.0)</f>
        <v>3370</v>
      </c>
      <c r="C2196" s="1">
        <f>IFERROR(__xludf.DUMMYFUNCTION("""COMPUTED_VALUE"""),3435.0)</f>
        <v>3435</v>
      </c>
      <c r="D2196" s="1">
        <f>IFERROR(__xludf.DUMMYFUNCTION("""COMPUTED_VALUE"""),3355.0)</f>
        <v>3355</v>
      </c>
      <c r="E2196" s="1">
        <f>IFERROR(__xludf.DUMMYFUNCTION("""COMPUTED_VALUE"""),3415.0)</f>
        <v>3415</v>
      </c>
      <c r="F2196" s="1">
        <f>IFERROR(__xludf.DUMMYFUNCTION("""COMPUTED_VALUE"""),336481.0)</f>
        <v>336481</v>
      </c>
    </row>
    <row r="2197">
      <c r="A2197" s="2">
        <f>IFERROR(__xludf.DUMMYFUNCTION("""COMPUTED_VALUE"""),45253.64583333333)</f>
        <v>45253.64583</v>
      </c>
      <c r="B2197" s="1">
        <f>IFERROR(__xludf.DUMMYFUNCTION("""COMPUTED_VALUE"""),3405.0)</f>
        <v>3405</v>
      </c>
      <c r="C2197" s="1">
        <f>IFERROR(__xludf.DUMMYFUNCTION("""COMPUTED_VALUE"""),3475.0)</f>
        <v>3475</v>
      </c>
      <c r="D2197" s="1">
        <f>IFERROR(__xludf.DUMMYFUNCTION("""COMPUTED_VALUE"""),3400.0)</f>
        <v>3400</v>
      </c>
      <c r="E2197" s="1">
        <f>IFERROR(__xludf.DUMMYFUNCTION("""COMPUTED_VALUE"""),3410.0)</f>
        <v>3410</v>
      </c>
      <c r="F2197" s="1">
        <f>IFERROR(__xludf.DUMMYFUNCTION("""COMPUTED_VALUE"""),542373.0)</f>
        <v>542373</v>
      </c>
    </row>
    <row r="2198">
      <c r="A2198" s="2">
        <f>IFERROR(__xludf.DUMMYFUNCTION("""COMPUTED_VALUE"""),45254.64583333333)</f>
        <v>45254.64583</v>
      </c>
      <c r="B2198" s="1">
        <f>IFERROR(__xludf.DUMMYFUNCTION("""COMPUTED_VALUE"""),3405.0)</f>
        <v>3405</v>
      </c>
      <c r="C2198" s="1">
        <f>IFERROR(__xludf.DUMMYFUNCTION("""COMPUTED_VALUE"""),3480.0)</f>
        <v>3480</v>
      </c>
      <c r="D2198" s="1">
        <f>IFERROR(__xludf.DUMMYFUNCTION("""COMPUTED_VALUE"""),3400.0)</f>
        <v>3400</v>
      </c>
      <c r="E2198" s="1">
        <f>IFERROR(__xludf.DUMMYFUNCTION("""COMPUTED_VALUE"""),3440.0)</f>
        <v>3440</v>
      </c>
      <c r="F2198" s="1">
        <f>IFERROR(__xludf.DUMMYFUNCTION("""COMPUTED_VALUE"""),474298.0)</f>
        <v>474298</v>
      </c>
    </row>
    <row r="2199">
      <c r="A2199" s="2">
        <f>IFERROR(__xludf.DUMMYFUNCTION("""COMPUTED_VALUE"""),45257.64583333333)</f>
        <v>45257.64583</v>
      </c>
      <c r="B2199" s="1">
        <f>IFERROR(__xludf.DUMMYFUNCTION("""COMPUTED_VALUE"""),3420.0)</f>
        <v>3420</v>
      </c>
      <c r="C2199" s="1">
        <f>IFERROR(__xludf.DUMMYFUNCTION("""COMPUTED_VALUE"""),3425.0)</f>
        <v>3425</v>
      </c>
      <c r="D2199" s="1">
        <f>IFERROR(__xludf.DUMMYFUNCTION("""COMPUTED_VALUE"""),3300.0)</f>
        <v>3300</v>
      </c>
      <c r="E2199" s="1">
        <f>IFERROR(__xludf.DUMMYFUNCTION("""COMPUTED_VALUE"""),3310.0)</f>
        <v>3310</v>
      </c>
      <c r="F2199" s="1">
        <f>IFERROR(__xludf.DUMMYFUNCTION("""COMPUTED_VALUE"""),453811.0)</f>
        <v>453811</v>
      </c>
    </row>
    <row r="2200">
      <c r="A2200" s="2">
        <f>IFERROR(__xludf.DUMMYFUNCTION("""COMPUTED_VALUE"""),45258.64583333333)</f>
        <v>45258.64583</v>
      </c>
      <c r="B2200" s="1">
        <f>IFERROR(__xludf.DUMMYFUNCTION("""COMPUTED_VALUE"""),3310.0)</f>
        <v>3310</v>
      </c>
      <c r="C2200" s="1">
        <f>IFERROR(__xludf.DUMMYFUNCTION("""COMPUTED_VALUE"""),3360.0)</f>
        <v>3360</v>
      </c>
      <c r="D2200" s="1">
        <f>IFERROR(__xludf.DUMMYFUNCTION("""COMPUTED_VALUE"""),3310.0)</f>
        <v>3310</v>
      </c>
      <c r="E2200" s="1">
        <f>IFERROR(__xludf.DUMMYFUNCTION("""COMPUTED_VALUE"""),3320.0)</f>
        <v>3320</v>
      </c>
      <c r="F2200" s="1">
        <f>IFERROR(__xludf.DUMMYFUNCTION("""COMPUTED_VALUE"""),300560.0)</f>
        <v>300560</v>
      </c>
    </row>
    <row r="2201">
      <c r="A2201" s="2">
        <f>IFERROR(__xludf.DUMMYFUNCTION("""COMPUTED_VALUE"""),45259.64583333333)</f>
        <v>45259.64583</v>
      </c>
      <c r="B2201" s="1">
        <f>IFERROR(__xludf.DUMMYFUNCTION("""COMPUTED_VALUE"""),3345.0)</f>
        <v>3345</v>
      </c>
      <c r="C2201" s="1">
        <f>IFERROR(__xludf.DUMMYFUNCTION("""COMPUTED_VALUE"""),3490.0)</f>
        <v>3490</v>
      </c>
      <c r="D2201" s="1">
        <f>IFERROR(__xludf.DUMMYFUNCTION("""COMPUTED_VALUE"""),3320.0)</f>
        <v>3320</v>
      </c>
      <c r="E2201" s="1">
        <f>IFERROR(__xludf.DUMMYFUNCTION("""COMPUTED_VALUE"""),3475.0)</f>
        <v>3475</v>
      </c>
      <c r="F2201" s="1">
        <f>IFERROR(__xludf.DUMMYFUNCTION("""COMPUTED_VALUE"""),1064201.0)</f>
        <v>1064201</v>
      </c>
    </row>
    <row r="2202">
      <c r="A2202" s="2">
        <f>IFERROR(__xludf.DUMMYFUNCTION("""COMPUTED_VALUE"""),45260.64583333333)</f>
        <v>45260.64583</v>
      </c>
      <c r="B2202" s="1">
        <f>IFERROR(__xludf.DUMMYFUNCTION("""COMPUTED_VALUE"""),3475.0)</f>
        <v>3475</v>
      </c>
      <c r="C2202" s="1">
        <f>IFERROR(__xludf.DUMMYFUNCTION("""COMPUTED_VALUE"""),3500.0)</f>
        <v>3500</v>
      </c>
      <c r="D2202" s="1">
        <f>IFERROR(__xludf.DUMMYFUNCTION("""COMPUTED_VALUE"""),3425.0)</f>
        <v>3425</v>
      </c>
      <c r="E2202" s="1">
        <f>IFERROR(__xludf.DUMMYFUNCTION("""COMPUTED_VALUE"""),3500.0)</f>
        <v>3500</v>
      </c>
      <c r="F2202" s="1">
        <f>IFERROR(__xludf.DUMMYFUNCTION("""COMPUTED_VALUE"""),459889.0)</f>
        <v>459889</v>
      </c>
    </row>
    <row r="2203">
      <c r="A2203" s="2">
        <f>IFERROR(__xludf.DUMMYFUNCTION("""COMPUTED_VALUE"""),45261.64583333333)</f>
        <v>45261.64583</v>
      </c>
      <c r="B2203" s="1">
        <f>IFERROR(__xludf.DUMMYFUNCTION("""COMPUTED_VALUE"""),3500.0)</f>
        <v>3500</v>
      </c>
      <c r="C2203" s="1">
        <f>IFERROR(__xludf.DUMMYFUNCTION("""COMPUTED_VALUE"""),3560.0)</f>
        <v>3560</v>
      </c>
      <c r="D2203" s="1">
        <f>IFERROR(__xludf.DUMMYFUNCTION("""COMPUTED_VALUE"""),3465.0)</f>
        <v>3465</v>
      </c>
      <c r="E2203" s="1">
        <f>IFERROR(__xludf.DUMMYFUNCTION("""COMPUTED_VALUE"""),3485.0)</f>
        <v>3485</v>
      </c>
      <c r="F2203" s="1">
        <f>IFERROR(__xludf.DUMMYFUNCTION("""COMPUTED_VALUE"""),590675.0)</f>
        <v>590675</v>
      </c>
    </row>
    <row r="2204">
      <c r="A2204" s="2">
        <f>IFERROR(__xludf.DUMMYFUNCTION("""COMPUTED_VALUE"""),45264.64583333333)</f>
        <v>45264.64583</v>
      </c>
      <c r="B2204" s="1">
        <f>IFERROR(__xludf.DUMMYFUNCTION("""COMPUTED_VALUE"""),3500.0)</f>
        <v>3500</v>
      </c>
      <c r="C2204" s="1">
        <f>IFERROR(__xludf.DUMMYFUNCTION("""COMPUTED_VALUE"""),3605.0)</f>
        <v>3605</v>
      </c>
      <c r="D2204" s="1">
        <f>IFERROR(__xludf.DUMMYFUNCTION("""COMPUTED_VALUE"""),3485.0)</f>
        <v>3485</v>
      </c>
      <c r="E2204" s="1">
        <f>IFERROR(__xludf.DUMMYFUNCTION("""COMPUTED_VALUE"""),3530.0)</f>
        <v>3530</v>
      </c>
      <c r="F2204" s="1">
        <f>IFERROR(__xludf.DUMMYFUNCTION("""COMPUTED_VALUE"""),1012594.0)</f>
        <v>1012594</v>
      </c>
    </row>
    <row r="2205">
      <c r="A2205" s="2">
        <f>IFERROR(__xludf.DUMMYFUNCTION("""COMPUTED_VALUE"""),45265.64583333333)</f>
        <v>45265.64583</v>
      </c>
      <c r="B2205" s="1">
        <f>IFERROR(__xludf.DUMMYFUNCTION("""COMPUTED_VALUE"""),3635.0)</f>
        <v>3635</v>
      </c>
      <c r="C2205" s="1">
        <f>IFERROR(__xludf.DUMMYFUNCTION("""COMPUTED_VALUE"""),3820.0)</f>
        <v>3820</v>
      </c>
      <c r="D2205" s="1">
        <f>IFERROR(__xludf.DUMMYFUNCTION("""COMPUTED_VALUE"""),3460.0)</f>
        <v>3460</v>
      </c>
      <c r="E2205" s="1">
        <f>IFERROR(__xludf.DUMMYFUNCTION("""COMPUTED_VALUE"""),3465.0)</f>
        <v>3465</v>
      </c>
      <c r="F2205" s="1">
        <f>IFERROR(__xludf.DUMMYFUNCTION("""COMPUTED_VALUE"""),5155551.0)</f>
        <v>5155551</v>
      </c>
    </row>
    <row r="2206">
      <c r="A2206" s="2">
        <f>IFERROR(__xludf.DUMMYFUNCTION("""COMPUTED_VALUE"""),45266.64583333333)</f>
        <v>45266.64583</v>
      </c>
      <c r="B2206" s="1">
        <f>IFERROR(__xludf.DUMMYFUNCTION("""COMPUTED_VALUE"""),3500.0)</f>
        <v>3500</v>
      </c>
      <c r="C2206" s="1">
        <f>IFERROR(__xludf.DUMMYFUNCTION("""COMPUTED_VALUE"""),3645.0)</f>
        <v>3645</v>
      </c>
      <c r="D2206" s="1">
        <f>IFERROR(__xludf.DUMMYFUNCTION("""COMPUTED_VALUE"""),3500.0)</f>
        <v>3500</v>
      </c>
      <c r="E2206" s="1">
        <f>IFERROR(__xludf.DUMMYFUNCTION("""COMPUTED_VALUE"""),3585.0)</f>
        <v>3585</v>
      </c>
      <c r="F2206" s="1">
        <f>IFERROR(__xludf.DUMMYFUNCTION("""COMPUTED_VALUE"""),2050341.0)</f>
        <v>2050341</v>
      </c>
    </row>
    <row r="2207">
      <c r="A2207" s="2">
        <f>IFERROR(__xludf.DUMMYFUNCTION("""COMPUTED_VALUE"""),45267.64583333333)</f>
        <v>45267.64583</v>
      </c>
      <c r="B2207" s="1">
        <f>IFERROR(__xludf.DUMMYFUNCTION("""COMPUTED_VALUE"""),3600.0)</f>
        <v>3600</v>
      </c>
      <c r="C2207" s="1">
        <f>IFERROR(__xludf.DUMMYFUNCTION("""COMPUTED_VALUE"""),3610.0)</f>
        <v>3610</v>
      </c>
      <c r="D2207" s="1">
        <f>IFERROR(__xludf.DUMMYFUNCTION("""COMPUTED_VALUE"""),3485.0)</f>
        <v>3485</v>
      </c>
      <c r="E2207" s="1">
        <f>IFERROR(__xludf.DUMMYFUNCTION("""COMPUTED_VALUE"""),3500.0)</f>
        <v>3500</v>
      </c>
      <c r="F2207" s="1">
        <f>IFERROR(__xludf.DUMMYFUNCTION("""COMPUTED_VALUE"""),855125.0)</f>
        <v>855125</v>
      </c>
    </row>
    <row r="2208">
      <c r="A2208" s="2">
        <f>IFERROR(__xludf.DUMMYFUNCTION("""COMPUTED_VALUE"""),45268.64583333333)</f>
        <v>45268.64583</v>
      </c>
      <c r="B2208" s="1">
        <f>IFERROR(__xludf.DUMMYFUNCTION("""COMPUTED_VALUE"""),3530.0)</f>
        <v>3530</v>
      </c>
      <c r="C2208" s="1">
        <f>IFERROR(__xludf.DUMMYFUNCTION("""COMPUTED_VALUE"""),3580.0)</f>
        <v>3580</v>
      </c>
      <c r="D2208" s="1">
        <f>IFERROR(__xludf.DUMMYFUNCTION("""COMPUTED_VALUE"""),3515.0)</f>
        <v>3515</v>
      </c>
      <c r="E2208" s="1">
        <f>IFERROR(__xludf.DUMMYFUNCTION("""COMPUTED_VALUE"""),3540.0)</f>
        <v>3540</v>
      </c>
      <c r="F2208" s="1">
        <f>IFERROR(__xludf.DUMMYFUNCTION("""COMPUTED_VALUE"""),531497.0)</f>
        <v>531497</v>
      </c>
    </row>
    <row r="2209">
      <c r="A2209" s="2">
        <f>IFERROR(__xludf.DUMMYFUNCTION("""COMPUTED_VALUE"""),45271.64583333333)</f>
        <v>45271.64583</v>
      </c>
      <c r="B2209" s="1">
        <f>IFERROR(__xludf.DUMMYFUNCTION("""COMPUTED_VALUE"""),3555.0)</f>
        <v>3555</v>
      </c>
      <c r="C2209" s="1">
        <f>IFERROR(__xludf.DUMMYFUNCTION("""COMPUTED_VALUE"""),3745.0)</f>
        <v>3745</v>
      </c>
      <c r="D2209" s="1">
        <f>IFERROR(__xludf.DUMMYFUNCTION("""COMPUTED_VALUE"""),3540.0)</f>
        <v>3540</v>
      </c>
      <c r="E2209" s="1">
        <f>IFERROR(__xludf.DUMMYFUNCTION("""COMPUTED_VALUE"""),3645.0)</f>
        <v>3645</v>
      </c>
      <c r="F2209" s="1">
        <f>IFERROR(__xludf.DUMMYFUNCTION("""COMPUTED_VALUE"""),2070837.0)</f>
        <v>2070837</v>
      </c>
    </row>
    <row r="2210">
      <c r="A2210" s="2">
        <f>IFERROR(__xludf.DUMMYFUNCTION("""COMPUTED_VALUE"""),45272.64583333333)</f>
        <v>45272.64583</v>
      </c>
      <c r="B2210" s="1">
        <f>IFERROR(__xludf.DUMMYFUNCTION("""COMPUTED_VALUE"""),3645.0)</f>
        <v>3645</v>
      </c>
      <c r="C2210" s="1">
        <f>IFERROR(__xludf.DUMMYFUNCTION("""COMPUTED_VALUE"""),3650.0)</f>
        <v>3650</v>
      </c>
      <c r="D2210" s="1">
        <f>IFERROR(__xludf.DUMMYFUNCTION("""COMPUTED_VALUE"""),3565.0)</f>
        <v>3565</v>
      </c>
      <c r="E2210" s="1">
        <f>IFERROR(__xludf.DUMMYFUNCTION("""COMPUTED_VALUE"""),3580.0)</f>
        <v>3580</v>
      </c>
      <c r="F2210" s="1">
        <f>IFERROR(__xludf.DUMMYFUNCTION("""COMPUTED_VALUE"""),605289.0)</f>
        <v>605289</v>
      </c>
    </row>
    <row r="2211">
      <c r="A2211" s="2">
        <f>IFERROR(__xludf.DUMMYFUNCTION("""COMPUTED_VALUE"""),45273.64583333333)</f>
        <v>45273.64583</v>
      </c>
      <c r="B2211" s="1">
        <f>IFERROR(__xludf.DUMMYFUNCTION("""COMPUTED_VALUE"""),3540.0)</f>
        <v>3540</v>
      </c>
      <c r="C2211" s="1">
        <f>IFERROR(__xludf.DUMMYFUNCTION("""COMPUTED_VALUE"""),3580.0)</f>
        <v>3580</v>
      </c>
      <c r="D2211" s="1">
        <f>IFERROR(__xludf.DUMMYFUNCTION("""COMPUTED_VALUE"""),3500.0)</f>
        <v>3500</v>
      </c>
      <c r="E2211" s="1">
        <f>IFERROR(__xludf.DUMMYFUNCTION("""COMPUTED_VALUE"""),3500.0)</f>
        <v>3500</v>
      </c>
      <c r="F2211" s="1">
        <f>IFERROR(__xludf.DUMMYFUNCTION("""COMPUTED_VALUE"""),514259.0)</f>
        <v>514259</v>
      </c>
    </row>
    <row r="2212">
      <c r="A2212" s="2">
        <f>IFERROR(__xludf.DUMMYFUNCTION("""COMPUTED_VALUE"""),45274.64583333333)</f>
        <v>45274.64583</v>
      </c>
      <c r="B2212" s="1">
        <f>IFERROR(__xludf.DUMMYFUNCTION("""COMPUTED_VALUE"""),3530.0)</f>
        <v>3530</v>
      </c>
      <c r="C2212" s="1">
        <f>IFERROR(__xludf.DUMMYFUNCTION("""COMPUTED_VALUE"""),3575.0)</f>
        <v>3575</v>
      </c>
      <c r="D2212" s="1">
        <f>IFERROR(__xludf.DUMMYFUNCTION("""COMPUTED_VALUE"""),3445.0)</f>
        <v>3445</v>
      </c>
      <c r="E2212" s="1">
        <f>IFERROR(__xludf.DUMMYFUNCTION("""COMPUTED_VALUE"""),3455.0)</f>
        <v>3455</v>
      </c>
      <c r="F2212" s="1">
        <f>IFERROR(__xludf.DUMMYFUNCTION("""COMPUTED_VALUE"""),551775.0)</f>
        <v>551775</v>
      </c>
    </row>
    <row r="2213">
      <c r="A2213" s="2">
        <f>IFERROR(__xludf.DUMMYFUNCTION("""COMPUTED_VALUE"""),45275.64583333333)</f>
        <v>45275.64583</v>
      </c>
      <c r="B2213" s="1">
        <f>IFERROR(__xludf.DUMMYFUNCTION("""COMPUTED_VALUE"""),3475.0)</f>
        <v>3475</v>
      </c>
      <c r="C2213" s="1">
        <f>IFERROR(__xludf.DUMMYFUNCTION("""COMPUTED_VALUE"""),3565.0)</f>
        <v>3565</v>
      </c>
      <c r="D2213" s="1">
        <f>IFERROR(__xludf.DUMMYFUNCTION("""COMPUTED_VALUE"""),3470.0)</f>
        <v>3470</v>
      </c>
      <c r="E2213" s="1">
        <f>IFERROR(__xludf.DUMMYFUNCTION("""COMPUTED_VALUE"""),3505.0)</f>
        <v>3505</v>
      </c>
      <c r="F2213" s="1">
        <f>IFERROR(__xludf.DUMMYFUNCTION("""COMPUTED_VALUE"""),386332.0)</f>
        <v>386332</v>
      </c>
    </row>
    <row r="2214">
      <c r="A2214" s="2">
        <f>IFERROR(__xludf.DUMMYFUNCTION("""COMPUTED_VALUE"""),45278.64583333333)</f>
        <v>45278.64583</v>
      </c>
      <c r="B2214" s="1">
        <f>IFERROR(__xludf.DUMMYFUNCTION("""COMPUTED_VALUE"""),3555.0)</f>
        <v>3555</v>
      </c>
      <c r="C2214" s="1">
        <f>IFERROR(__xludf.DUMMYFUNCTION("""COMPUTED_VALUE"""),3570.0)</f>
        <v>3570</v>
      </c>
      <c r="D2214" s="1">
        <f>IFERROR(__xludf.DUMMYFUNCTION("""COMPUTED_VALUE"""),3485.0)</f>
        <v>3485</v>
      </c>
      <c r="E2214" s="1">
        <f>IFERROR(__xludf.DUMMYFUNCTION("""COMPUTED_VALUE"""),3490.0)</f>
        <v>3490</v>
      </c>
      <c r="F2214" s="1">
        <f>IFERROR(__xludf.DUMMYFUNCTION("""COMPUTED_VALUE"""),291955.0)</f>
        <v>291955</v>
      </c>
    </row>
    <row r="2215">
      <c r="A2215" s="2">
        <f>IFERROR(__xludf.DUMMYFUNCTION("""COMPUTED_VALUE"""),45279.64583333333)</f>
        <v>45279.64583</v>
      </c>
      <c r="B2215" s="1">
        <f>IFERROR(__xludf.DUMMYFUNCTION("""COMPUTED_VALUE"""),3460.0)</f>
        <v>3460</v>
      </c>
      <c r="C2215" s="1">
        <f>IFERROR(__xludf.DUMMYFUNCTION("""COMPUTED_VALUE"""),3505.0)</f>
        <v>3505</v>
      </c>
      <c r="D2215" s="1">
        <f>IFERROR(__xludf.DUMMYFUNCTION("""COMPUTED_VALUE"""),3450.0)</f>
        <v>3450</v>
      </c>
      <c r="E2215" s="1">
        <f>IFERROR(__xludf.DUMMYFUNCTION("""COMPUTED_VALUE"""),3450.0)</f>
        <v>3450</v>
      </c>
      <c r="F2215" s="1">
        <f>IFERROR(__xludf.DUMMYFUNCTION("""COMPUTED_VALUE"""),348884.0)</f>
        <v>348884</v>
      </c>
    </row>
    <row r="2216">
      <c r="A2216" s="2">
        <f>IFERROR(__xludf.DUMMYFUNCTION("""COMPUTED_VALUE"""),45280.64583333333)</f>
        <v>45280.64583</v>
      </c>
      <c r="B2216" s="1">
        <f>IFERROR(__xludf.DUMMYFUNCTION("""COMPUTED_VALUE"""),3450.0)</f>
        <v>3450</v>
      </c>
      <c r="C2216" s="1">
        <f>IFERROR(__xludf.DUMMYFUNCTION("""COMPUTED_VALUE"""),3515.0)</f>
        <v>3515</v>
      </c>
      <c r="D2216" s="1">
        <f>IFERROR(__xludf.DUMMYFUNCTION("""COMPUTED_VALUE"""),3445.0)</f>
        <v>3445</v>
      </c>
      <c r="E2216" s="1">
        <f>IFERROR(__xludf.DUMMYFUNCTION("""COMPUTED_VALUE"""),3450.0)</f>
        <v>3450</v>
      </c>
      <c r="F2216" s="1">
        <f>IFERROR(__xludf.DUMMYFUNCTION("""COMPUTED_VALUE"""),397330.0)</f>
        <v>397330</v>
      </c>
    </row>
    <row r="2217">
      <c r="A2217" s="2">
        <f>IFERROR(__xludf.DUMMYFUNCTION("""COMPUTED_VALUE"""),45281.64583333333)</f>
        <v>45281.64583</v>
      </c>
      <c r="B2217" s="1">
        <f>IFERROR(__xludf.DUMMYFUNCTION("""COMPUTED_VALUE"""),3400.0)</f>
        <v>3400</v>
      </c>
      <c r="C2217" s="1">
        <f>IFERROR(__xludf.DUMMYFUNCTION("""COMPUTED_VALUE"""),3410.0)</f>
        <v>3410</v>
      </c>
      <c r="D2217" s="1">
        <f>IFERROR(__xludf.DUMMYFUNCTION("""COMPUTED_VALUE"""),3375.0)</f>
        <v>3375</v>
      </c>
      <c r="E2217" s="1">
        <f>IFERROR(__xludf.DUMMYFUNCTION("""COMPUTED_VALUE"""),3385.0)</f>
        <v>3385</v>
      </c>
      <c r="F2217" s="1">
        <f>IFERROR(__xludf.DUMMYFUNCTION("""COMPUTED_VALUE"""),516227.0)</f>
        <v>516227</v>
      </c>
    </row>
    <row r="2218">
      <c r="A2218" s="2">
        <f>IFERROR(__xludf.DUMMYFUNCTION("""COMPUTED_VALUE"""),45282.64583333333)</f>
        <v>45282.64583</v>
      </c>
      <c r="B2218" s="1">
        <f>IFERROR(__xludf.DUMMYFUNCTION("""COMPUTED_VALUE"""),3395.0)</f>
        <v>3395</v>
      </c>
      <c r="C2218" s="1">
        <f>IFERROR(__xludf.DUMMYFUNCTION("""COMPUTED_VALUE"""),3395.0)</f>
        <v>3395</v>
      </c>
      <c r="D2218" s="1">
        <f>IFERROR(__xludf.DUMMYFUNCTION("""COMPUTED_VALUE"""),3325.0)</f>
        <v>3325</v>
      </c>
      <c r="E2218" s="1">
        <f>IFERROR(__xludf.DUMMYFUNCTION("""COMPUTED_VALUE"""),3335.0)</f>
        <v>3335</v>
      </c>
      <c r="F2218" s="1">
        <f>IFERROR(__xludf.DUMMYFUNCTION("""COMPUTED_VALUE"""),408543.0)</f>
        <v>408543</v>
      </c>
    </row>
    <row r="2219">
      <c r="A2219" s="2">
        <f>IFERROR(__xludf.DUMMYFUNCTION("""COMPUTED_VALUE"""),45286.64583333333)</f>
        <v>45286.64583</v>
      </c>
      <c r="B2219" s="1">
        <f>IFERROR(__xludf.DUMMYFUNCTION("""COMPUTED_VALUE"""),3335.0)</f>
        <v>3335</v>
      </c>
      <c r="C2219" s="1">
        <f>IFERROR(__xludf.DUMMYFUNCTION("""COMPUTED_VALUE"""),3340.0)</f>
        <v>3340</v>
      </c>
      <c r="D2219" s="1">
        <f>IFERROR(__xludf.DUMMYFUNCTION("""COMPUTED_VALUE"""),3285.0)</f>
        <v>3285</v>
      </c>
      <c r="E2219" s="1">
        <f>IFERROR(__xludf.DUMMYFUNCTION("""COMPUTED_VALUE"""),3300.0)</f>
        <v>3300</v>
      </c>
      <c r="F2219" s="1">
        <f>IFERROR(__xludf.DUMMYFUNCTION("""COMPUTED_VALUE"""),293975.0)</f>
        <v>293975</v>
      </c>
    </row>
    <row r="2220">
      <c r="A2220" s="2">
        <f>IFERROR(__xludf.DUMMYFUNCTION("""COMPUTED_VALUE"""),45287.64583333333)</f>
        <v>45287.64583</v>
      </c>
      <c r="B2220" s="1">
        <f>IFERROR(__xludf.DUMMYFUNCTION("""COMPUTED_VALUE"""),3300.0)</f>
        <v>3300</v>
      </c>
      <c r="C2220" s="1">
        <f>IFERROR(__xludf.DUMMYFUNCTION("""COMPUTED_VALUE"""),3395.0)</f>
        <v>3395</v>
      </c>
      <c r="D2220" s="1">
        <f>IFERROR(__xludf.DUMMYFUNCTION("""COMPUTED_VALUE"""),3290.0)</f>
        <v>3290</v>
      </c>
      <c r="E2220" s="1">
        <f>IFERROR(__xludf.DUMMYFUNCTION("""COMPUTED_VALUE"""),3395.0)</f>
        <v>3395</v>
      </c>
      <c r="F2220" s="1">
        <f>IFERROR(__xludf.DUMMYFUNCTION("""COMPUTED_VALUE"""),300947.0)</f>
        <v>300947</v>
      </c>
    </row>
    <row r="2221">
      <c r="A2221" s="2">
        <f>IFERROR(__xludf.DUMMYFUNCTION("""COMPUTED_VALUE"""),45288.64583333333)</f>
        <v>45288.64583</v>
      </c>
      <c r="B2221" s="1">
        <f>IFERROR(__xludf.DUMMYFUNCTION("""COMPUTED_VALUE"""),3390.0)</f>
        <v>3390</v>
      </c>
      <c r="C2221" s="1">
        <f>IFERROR(__xludf.DUMMYFUNCTION("""COMPUTED_VALUE"""),3395.0)</f>
        <v>3395</v>
      </c>
      <c r="D2221" s="1">
        <f>IFERROR(__xludf.DUMMYFUNCTION("""COMPUTED_VALUE"""),3330.0)</f>
        <v>3330</v>
      </c>
      <c r="E2221" s="1">
        <f>IFERROR(__xludf.DUMMYFUNCTION("""COMPUTED_VALUE"""),3380.0)</f>
        <v>3380</v>
      </c>
      <c r="F2221" s="1">
        <f>IFERROR(__xludf.DUMMYFUNCTION("""COMPUTED_VALUE"""),177295.0)</f>
        <v>177295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IFERROR(__xludf.DUMMYFUNCTION("GOOGLEFINANCE(""KOSDAQ:251370"", ""all"", DATE(2012,1,1), DATE(2023,12,31),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IFERROR(__xludf.DUMMYFUNCTION("""COMPUTED_VALUE"""),42852.64583333333)</f>
        <v>42852.64583</v>
      </c>
      <c r="B2" s="1">
        <f>IFERROR(__xludf.DUMMYFUNCTION("""COMPUTED_VALUE"""),8775.0)</f>
        <v>8775</v>
      </c>
      <c r="C2" s="1">
        <f>IFERROR(__xludf.DUMMYFUNCTION("""COMPUTED_VALUE"""),9100.0)</f>
        <v>9100</v>
      </c>
      <c r="D2" s="1">
        <f>IFERROR(__xludf.DUMMYFUNCTION("""COMPUTED_VALUE"""),7625.0)</f>
        <v>7625</v>
      </c>
      <c r="E2" s="1">
        <f>IFERROR(__xludf.DUMMYFUNCTION("""COMPUTED_VALUE"""),7762.5)</f>
        <v>7762.5</v>
      </c>
      <c r="F2" s="1">
        <f>IFERROR(__xludf.DUMMYFUNCTION("""COMPUTED_VALUE"""),1516672.0)</f>
        <v>1516672</v>
      </c>
    </row>
    <row r="3">
      <c r="A3" s="2">
        <f>IFERROR(__xludf.DUMMYFUNCTION("""COMPUTED_VALUE"""),42853.64583333333)</f>
        <v>42853.64583</v>
      </c>
      <c r="B3" s="1">
        <f>IFERROR(__xludf.DUMMYFUNCTION("""COMPUTED_VALUE"""),7575.0)</f>
        <v>7575</v>
      </c>
      <c r="C3" s="1">
        <f>IFERROR(__xludf.DUMMYFUNCTION("""COMPUTED_VALUE"""),8212.5)</f>
        <v>8212.5</v>
      </c>
      <c r="D3" s="1">
        <f>IFERROR(__xludf.DUMMYFUNCTION("""COMPUTED_VALUE"""),7550.0)</f>
        <v>7550</v>
      </c>
      <c r="E3" s="1">
        <f>IFERROR(__xludf.DUMMYFUNCTION("""COMPUTED_VALUE"""),7987.5)</f>
        <v>7987.5</v>
      </c>
      <c r="F3" s="1">
        <f>IFERROR(__xludf.DUMMYFUNCTION("""COMPUTED_VALUE"""),525860.0)</f>
        <v>525860</v>
      </c>
    </row>
    <row r="4">
      <c r="A4" s="2">
        <f>IFERROR(__xludf.DUMMYFUNCTION("""COMPUTED_VALUE"""),42857.64583333333)</f>
        <v>42857.64583</v>
      </c>
      <c r="B4" s="1">
        <f>IFERROR(__xludf.DUMMYFUNCTION("""COMPUTED_VALUE"""),8012.5)</f>
        <v>8012.5</v>
      </c>
      <c r="C4" s="1">
        <f>IFERROR(__xludf.DUMMYFUNCTION("""COMPUTED_VALUE"""),8612.5)</f>
        <v>8612.5</v>
      </c>
      <c r="D4" s="1">
        <f>IFERROR(__xludf.DUMMYFUNCTION("""COMPUTED_VALUE"""),7737.5)</f>
        <v>7737.5</v>
      </c>
      <c r="E4" s="1">
        <f>IFERROR(__xludf.DUMMYFUNCTION("""COMPUTED_VALUE"""),8075.0)</f>
        <v>8075</v>
      </c>
      <c r="F4" s="1">
        <f>IFERROR(__xludf.DUMMYFUNCTION("""COMPUTED_VALUE"""),285992.0)</f>
        <v>285992</v>
      </c>
    </row>
    <row r="5">
      <c r="A5" s="2">
        <f>IFERROR(__xludf.DUMMYFUNCTION("""COMPUTED_VALUE"""),42859.64583333333)</f>
        <v>42859.64583</v>
      </c>
      <c r="B5" s="1">
        <f>IFERROR(__xludf.DUMMYFUNCTION("""COMPUTED_VALUE"""),8000.0)</f>
        <v>8000</v>
      </c>
      <c r="C5" s="1">
        <f>IFERROR(__xludf.DUMMYFUNCTION("""COMPUTED_VALUE"""),8250.0)</f>
        <v>8250</v>
      </c>
      <c r="D5" s="1">
        <f>IFERROR(__xludf.DUMMYFUNCTION("""COMPUTED_VALUE"""),7887.5)</f>
        <v>7887.5</v>
      </c>
      <c r="E5" s="1">
        <f>IFERROR(__xludf.DUMMYFUNCTION("""COMPUTED_VALUE"""),8012.5)</f>
        <v>8012.5</v>
      </c>
      <c r="F5" s="1">
        <f>IFERROR(__xludf.DUMMYFUNCTION("""COMPUTED_VALUE"""),84844.0)</f>
        <v>84844</v>
      </c>
    </row>
    <row r="6">
      <c r="A6" s="2">
        <f>IFERROR(__xludf.DUMMYFUNCTION("""COMPUTED_VALUE"""),42863.64583333333)</f>
        <v>42863.64583</v>
      </c>
      <c r="B6" s="1">
        <f>IFERROR(__xludf.DUMMYFUNCTION("""COMPUTED_VALUE"""),8000.0)</f>
        <v>8000</v>
      </c>
      <c r="C6" s="1">
        <f>IFERROR(__xludf.DUMMYFUNCTION("""COMPUTED_VALUE"""),8262.5)</f>
        <v>8262.5</v>
      </c>
      <c r="D6" s="1">
        <f>IFERROR(__xludf.DUMMYFUNCTION("""COMPUTED_VALUE"""),7950.0)</f>
        <v>7950</v>
      </c>
      <c r="E6" s="1">
        <f>IFERROR(__xludf.DUMMYFUNCTION("""COMPUTED_VALUE"""),8100.0)</f>
        <v>8100</v>
      </c>
      <c r="F6" s="1">
        <f>IFERROR(__xludf.DUMMYFUNCTION("""COMPUTED_VALUE"""),91544.0)</f>
        <v>91544</v>
      </c>
    </row>
    <row r="7">
      <c r="A7" s="2">
        <f>IFERROR(__xludf.DUMMYFUNCTION("""COMPUTED_VALUE"""),42865.64583333333)</f>
        <v>42865.64583</v>
      </c>
      <c r="B7" s="1">
        <f>IFERROR(__xludf.DUMMYFUNCTION("""COMPUTED_VALUE"""),8100.0)</f>
        <v>8100</v>
      </c>
      <c r="C7" s="1">
        <f>IFERROR(__xludf.DUMMYFUNCTION("""COMPUTED_VALUE"""),8562.5)</f>
        <v>8562.5</v>
      </c>
      <c r="D7" s="1">
        <f>IFERROR(__xludf.DUMMYFUNCTION("""COMPUTED_VALUE"""),7950.0)</f>
        <v>7950</v>
      </c>
      <c r="E7" s="1">
        <f>IFERROR(__xludf.DUMMYFUNCTION("""COMPUTED_VALUE"""),8375.0)</f>
        <v>8375</v>
      </c>
      <c r="F7" s="1">
        <f>IFERROR(__xludf.DUMMYFUNCTION("""COMPUTED_VALUE"""),107535.0)</f>
        <v>107535</v>
      </c>
    </row>
    <row r="8">
      <c r="A8" s="2">
        <f>IFERROR(__xludf.DUMMYFUNCTION("""COMPUTED_VALUE"""),42866.64583333333)</f>
        <v>42866.64583</v>
      </c>
      <c r="B8" s="1">
        <f>IFERROR(__xludf.DUMMYFUNCTION("""COMPUTED_VALUE"""),8487.5)</f>
        <v>8487.5</v>
      </c>
      <c r="C8" s="1">
        <f>IFERROR(__xludf.DUMMYFUNCTION("""COMPUTED_VALUE"""),8762.5)</f>
        <v>8762.5</v>
      </c>
      <c r="D8" s="1">
        <f>IFERROR(__xludf.DUMMYFUNCTION("""COMPUTED_VALUE"""),8250.0)</f>
        <v>8250</v>
      </c>
      <c r="E8" s="1">
        <f>IFERROR(__xludf.DUMMYFUNCTION("""COMPUTED_VALUE"""),8687.5)</f>
        <v>8687.5</v>
      </c>
      <c r="F8" s="1">
        <f>IFERROR(__xludf.DUMMYFUNCTION("""COMPUTED_VALUE"""),123169.0)</f>
        <v>123169</v>
      </c>
    </row>
    <row r="9">
      <c r="A9" s="2">
        <f>IFERROR(__xludf.DUMMYFUNCTION("""COMPUTED_VALUE"""),42867.64583333333)</f>
        <v>42867.64583</v>
      </c>
      <c r="B9" s="1">
        <f>IFERROR(__xludf.DUMMYFUNCTION("""COMPUTED_VALUE"""),8562.5)</f>
        <v>8562.5</v>
      </c>
      <c r="C9" s="1">
        <f>IFERROR(__xludf.DUMMYFUNCTION("""COMPUTED_VALUE"""),8675.0)</f>
        <v>8675</v>
      </c>
      <c r="D9" s="1">
        <f>IFERROR(__xludf.DUMMYFUNCTION("""COMPUTED_VALUE"""),8412.5)</f>
        <v>8412.5</v>
      </c>
      <c r="E9" s="1">
        <f>IFERROR(__xludf.DUMMYFUNCTION("""COMPUTED_VALUE"""),8612.5)</f>
        <v>8612.5</v>
      </c>
      <c r="F9" s="1">
        <f>IFERROR(__xludf.DUMMYFUNCTION("""COMPUTED_VALUE"""),92739.0)</f>
        <v>92739</v>
      </c>
    </row>
    <row r="10">
      <c r="A10" s="2">
        <f>IFERROR(__xludf.DUMMYFUNCTION("""COMPUTED_VALUE"""),42870.64583333333)</f>
        <v>42870.64583</v>
      </c>
      <c r="B10" s="1">
        <f>IFERROR(__xludf.DUMMYFUNCTION("""COMPUTED_VALUE"""),8700.0)</f>
        <v>8700</v>
      </c>
      <c r="C10" s="1">
        <f>IFERROR(__xludf.DUMMYFUNCTION("""COMPUTED_VALUE"""),8700.0)</f>
        <v>8700</v>
      </c>
      <c r="D10" s="1">
        <f>IFERROR(__xludf.DUMMYFUNCTION("""COMPUTED_VALUE"""),8462.5)</f>
        <v>8462.5</v>
      </c>
      <c r="E10" s="1">
        <f>IFERROR(__xludf.DUMMYFUNCTION("""COMPUTED_VALUE"""),8462.5)</f>
        <v>8462.5</v>
      </c>
      <c r="F10" s="1">
        <f>IFERROR(__xludf.DUMMYFUNCTION("""COMPUTED_VALUE"""),36989.0)</f>
        <v>36989</v>
      </c>
    </row>
    <row r="11">
      <c r="A11" s="2">
        <f>IFERROR(__xludf.DUMMYFUNCTION("""COMPUTED_VALUE"""),42871.64583333333)</f>
        <v>42871.64583</v>
      </c>
      <c r="B11" s="1">
        <f>IFERROR(__xludf.DUMMYFUNCTION("""COMPUTED_VALUE"""),8462.5)</f>
        <v>8462.5</v>
      </c>
      <c r="C11" s="1">
        <f>IFERROR(__xludf.DUMMYFUNCTION("""COMPUTED_VALUE"""),8500.0)</f>
        <v>8500</v>
      </c>
      <c r="D11" s="1">
        <f>IFERROR(__xludf.DUMMYFUNCTION("""COMPUTED_VALUE"""),8100.0)</f>
        <v>8100</v>
      </c>
      <c r="E11" s="1">
        <f>IFERROR(__xludf.DUMMYFUNCTION("""COMPUTED_VALUE"""),8412.5)</f>
        <v>8412.5</v>
      </c>
      <c r="F11" s="1">
        <f>IFERROR(__xludf.DUMMYFUNCTION("""COMPUTED_VALUE"""),53357.0)</f>
        <v>53357</v>
      </c>
    </row>
    <row r="12">
      <c r="A12" s="2">
        <f>IFERROR(__xludf.DUMMYFUNCTION("""COMPUTED_VALUE"""),42872.64583333333)</f>
        <v>42872.64583</v>
      </c>
      <c r="B12" s="1">
        <f>IFERROR(__xludf.DUMMYFUNCTION("""COMPUTED_VALUE"""),8437.5)</f>
        <v>8437.5</v>
      </c>
      <c r="C12" s="1">
        <f>IFERROR(__xludf.DUMMYFUNCTION("""COMPUTED_VALUE"""),8437.5)</f>
        <v>8437.5</v>
      </c>
      <c r="D12" s="1">
        <f>IFERROR(__xludf.DUMMYFUNCTION("""COMPUTED_VALUE"""),8125.0)</f>
        <v>8125</v>
      </c>
      <c r="E12" s="1">
        <f>IFERROR(__xludf.DUMMYFUNCTION("""COMPUTED_VALUE"""),8212.5)</f>
        <v>8212.5</v>
      </c>
      <c r="F12" s="1">
        <f>IFERROR(__xludf.DUMMYFUNCTION("""COMPUTED_VALUE"""),45996.0)</f>
        <v>45996</v>
      </c>
    </row>
    <row r="13">
      <c r="A13" s="2">
        <f>IFERROR(__xludf.DUMMYFUNCTION("""COMPUTED_VALUE"""),42873.64583333333)</f>
        <v>42873.64583</v>
      </c>
      <c r="B13" s="1">
        <f>IFERROR(__xludf.DUMMYFUNCTION("""COMPUTED_VALUE"""),8000.0)</f>
        <v>8000</v>
      </c>
      <c r="C13" s="1">
        <f>IFERROR(__xludf.DUMMYFUNCTION("""COMPUTED_VALUE"""),8362.5)</f>
        <v>8362.5</v>
      </c>
      <c r="D13" s="1">
        <f>IFERROR(__xludf.DUMMYFUNCTION("""COMPUTED_VALUE"""),7925.0)</f>
        <v>7925</v>
      </c>
      <c r="E13" s="1">
        <f>IFERROR(__xludf.DUMMYFUNCTION("""COMPUTED_VALUE"""),8312.5)</f>
        <v>8312.5</v>
      </c>
      <c r="F13" s="1">
        <f>IFERROR(__xludf.DUMMYFUNCTION("""COMPUTED_VALUE"""),42687.0)</f>
        <v>42687</v>
      </c>
    </row>
    <row r="14">
      <c r="A14" s="2">
        <f>IFERROR(__xludf.DUMMYFUNCTION("""COMPUTED_VALUE"""),42874.64583333333)</f>
        <v>42874.64583</v>
      </c>
      <c r="B14" s="1">
        <f>IFERROR(__xludf.DUMMYFUNCTION("""COMPUTED_VALUE"""),8237.5)</f>
        <v>8237.5</v>
      </c>
      <c r="C14" s="1">
        <f>IFERROR(__xludf.DUMMYFUNCTION("""COMPUTED_VALUE"""),8762.5)</f>
        <v>8762.5</v>
      </c>
      <c r="D14" s="1">
        <f>IFERROR(__xludf.DUMMYFUNCTION("""COMPUTED_VALUE"""),8237.5)</f>
        <v>8237.5</v>
      </c>
      <c r="E14" s="1">
        <f>IFERROR(__xludf.DUMMYFUNCTION("""COMPUTED_VALUE"""),8437.5)</f>
        <v>8437.5</v>
      </c>
      <c r="F14" s="1">
        <f>IFERROR(__xludf.DUMMYFUNCTION("""COMPUTED_VALUE"""),42214.0)</f>
        <v>42214</v>
      </c>
    </row>
    <row r="15">
      <c r="A15" s="2">
        <f>IFERROR(__xludf.DUMMYFUNCTION("""COMPUTED_VALUE"""),42877.64583333333)</f>
        <v>42877.64583</v>
      </c>
      <c r="B15" s="1">
        <f>IFERROR(__xludf.DUMMYFUNCTION("""COMPUTED_VALUE"""),8725.0)</f>
        <v>8725</v>
      </c>
      <c r="C15" s="1">
        <f>IFERROR(__xludf.DUMMYFUNCTION("""COMPUTED_VALUE"""),8725.0)</f>
        <v>8725</v>
      </c>
      <c r="D15" s="1">
        <f>IFERROR(__xludf.DUMMYFUNCTION("""COMPUTED_VALUE"""),8262.5)</f>
        <v>8262.5</v>
      </c>
      <c r="E15" s="1">
        <f>IFERROR(__xludf.DUMMYFUNCTION("""COMPUTED_VALUE"""),8375.0)</f>
        <v>8375</v>
      </c>
      <c r="F15" s="1">
        <f>IFERROR(__xludf.DUMMYFUNCTION("""COMPUTED_VALUE"""),20727.0)</f>
        <v>20727</v>
      </c>
    </row>
    <row r="16">
      <c r="A16" s="2">
        <f>IFERROR(__xludf.DUMMYFUNCTION("""COMPUTED_VALUE"""),42878.64583333333)</f>
        <v>42878.64583</v>
      </c>
      <c r="B16" s="1">
        <f>IFERROR(__xludf.DUMMYFUNCTION("""COMPUTED_VALUE"""),8337.5)</f>
        <v>8337.5</v>
      </c>
      <c r="C16" s="1">
        <f>IFERROR(__xludf.DUMMYFUNCTION("""COMPUTED_VALUE"""),8525.0)</f>
        <v>8525</v>
      </c>
      <c r="D16" s="1">
        <f>IFERROR(__xludf.DUMMYFUNCTION("""COMPUTED_VALUE"""),8175.0)</f>
        <v>8175</v>
      </c>
      <c r="E16" s="1">
        <f>IFERROR(__xludf.DUMMYFUNCTION("""COMPUTED_VALUE"""),8175.0)</f>
        <v>8175</v>
      </c>
      <c r="F16" s="1">
        <f>IFERROR(__xludf.DUMMYFUNCTION("""COMPUTED_VALUE"""),18187.0)</f>
        <v>18187</v>
      </c>
    </row>
    <row r="17">
      <c r="A17" s="2">
        <f>IFERROR(__xludf.DUMMYFUNCTION("""COMPUTED_VALUE"""),42879.64583333333)</f>
        <v>42879.64583</v>
      </c>
      <c r="B17" s="1">
        <f>IFERROR(__xludf.DUMMYFUNCTION("""COMPUTED_VALUE"""),8100.0)</f>
        <v>8100</v>
      </c>
      <c r="C17" s="1">
        <f>IFERROR(__xludf.DUMMYFUNCTION("""COMPUTED_VALUE"""),8362.5)</f>
        <v>8362.5</v>
      </c>
      <c r="D17" s="1">
        <f>IFERROR(__xludf.DUMMYFUNCTION("""COMPUTED_VALUE"""),8000.0)</f>
        <v>8000</v>
      </c>
      <c r="E17" s="1">
        <f>IFERROR(__xludf.DUMMYFUNCTION("""COMPUTED_VALUE"""),8337.5)</f>
        <v>8337.5</v>
      </c>
      <c r="F17" s="1">
        <f>IFERROR(__xludf.DUMMYFUNCTION("""COMPUTED_VALUE"""),62203.0)</f>
        <v>62203</v>
      </c>
    </row>
    <row r="18">
      <c r="A18" s="2">
        <f>IFERROR(__xludf.DUMMYFUNCTION("""COMPUTED_VALUE"""),42880.64583333333)</f>
        <v>42880.64583</v>
      </c>
      <c r="B18" s="1">
        <f>IFERROR(__xludf.DUMMYFUNCTION("""COMPUTED_VALUE"""),8275.0)</f>
        <v>8275</v>
      </c>
      <c r="C18" s="1">
        <f>IFERROR(__xludf.DUMMYFUNCTION("""COMPUTED_VALUE"""),8575.0)</f>
        <v>8575</v>
      </c>
      <c r="D18" s="1">
        <f>IFERROR(__xludf.DUMMYFUNCTION("""COMPUTED_VALUE"""),8150.0)</f>
        <v>8150</v>
      </c>
      <c r="E18" s="1">
        <f>IFERROR(__xludf.DUMMYFUNCTION("""COMPUTED_VALUE"""),8337.5)</f>
        <v>8337.5</v>
      </c>
      <c r="F18" s="1">
        <f>IFERROR(__xludf.DUMMYFUNCTION("""COMPUTED_VALUE"""),38745.0)</f>
        <v>38745</v>
      </c>
    </row>
    <row r="19">
      <c r="A19" s="2">
        <f>IFERROR(__xludf.DUMMYFUNCTION("""COMPUTED_VALUE"""),42881.64583333333)</f>
        <v>42881.64583</v>
      </c>
      <c r="B19" s="1">
        <f>IFERROR(__xludf.DUMMYFUNCTION("""COMPUTED_VALUE"""),8337.5)</f>
        <v>8337.5</v>
      </c>
      <c r="C19" s="1">
        <f>IFERROR(__xludf.DUMMYFUNCTION("""COMPUTED_VALUE"""),8437.5)</f>
        <v>8437.5</v>
      </c>
      <c r="D19" s="1">
        <f>IFERROR(__xludf.DUMMYFUNCTION("""COMPUTED_VALUE"""),8200.0)</f>
        <v>8200</v>
      </c>
      <c r="E19" s="1">
        <f>IFERROR(__xludf.DUMMYFUNCTION("""COMPUTED_VALUE"""),8212.5)</f>
        <v>8212.5</v>
      </c>
      <c r="F19" s="1">
        <f>IFERROR(__xludf.DUMMYFUNCTION("""COMPUTED_VALUE"""),18140.0)</f>
        <v>18140</v>
      </c>
    </row>
    <row r="20">
      <c r="A20" s="2">
        <f>IFERROR(__xludf.DUMMYFUNCTION("""COMPUTED_VALUE"""),42884.64583333333)</f>
        <v>42884.64583</v>
      </c>
      <c r="B20" s="1">
        <f>IFERROR(__xludf.DUMMYFUNCTION("""COMPUTED_VALUE"""),7975.0)</f>
        <v>7975</v>
      </c>
      <c r="C20" s="1">
        <f>IFERROR(__xludf.DUMMYFUNCTION("""COMPUTED_VALUE"""),9587.5)</f>
        <v>9587.5</v>
      </c>
      <c r="D20" s="1">
        <f>IFERROR(__xludf.DUMMYFUNCTION("""COMPUTED_VALUE"""),7962.5)</f>
        <v>7962.5</v>
      </c>
      <c r="E20" s="1">
        <f>IFERROR(__xludf.DUMMYFUNCTION("""COMPUTED_VALUE"""),9287.5)</f>
        <v>9287.5</v>
      </c>
      <c r="F20" s="1">
        <f>IFERROR(__xludf.DUMMYFUNCTION("""COMPUTED_VALUE"""),481903.0)</f>
        <v>481903</v>
      </c>
    </row>
    <row r="21">
      <c r="A21" s="2">
        <f>IFERROR(__xludf.DUMMYFUNCTION("""COMPUTED_VALUE"""),42885.64583333333)</f>
        <v>42885.64583</v>
      </c>
      <c r="B21" s="1">
        <f>IFERROR(__xludf.DUMMYFUNCTION("""COMPUTED_VALUE"""),9237.5)</f>
        <v>9237.5</v>
      </c>
      <c r="C21" s="1">
        <f>IFERROR(__xludf.DUMMYFUNCTION("""COMPUTED_VALUE"""),9900.0)</f>
        <v>9900</v>
      </c>
      <c r="D21" s="1">
        <f>IFERROR(__xludf.DUMMYFUNCTION("""COMPUTED_VALUE"""),9175.0)</f>
        <v>9175</v>
      </c>
      <c r="E21" s="1">
        <f>IFERROR(__xludf.DUMMYFUNCTION("""COMPUTED_VALUE"""),9562.5)</f>
        <v>9562.5</v>
      </c>
      <c r="F21" s="1">
        <f>IFERROR(__xludf.DUMMYFUNCTION("""COMPUTED_VALUE"""),230661.0)</f>
        <v>230661</v>
      </c>
    </row>
    <row r="22">
      <c r="A22" s="2">
        <f>IFERROR(__xludf.DUMMYFUNCTION("""COMPUTED_VALUE"""),42886.64583333333)</f>
        <v>42886.64583</v>
      </c>
      <c r="B22" s="1">
        <f>IFERROR(__xludf.DUMMYFUNCTION("""COMPUTED_VALUE"""),9612.5)</f>
        <v>9612.5</v>
      </c>
      <c r="C22" s="1">
        <f>IFERROR(__xludf.DUMMYFUNCTION("""COMPUTED_VALUE"""),10237.5)</f>
        <v>10237.5</v>
      </c>
      <c r="D22" s="1">
        <f>IFERROR(__xludf.DUMMYFUNCTION("""COMPUTED_VALUE"""),9462.5)</f>
        <v>9462.5</v>
      </c>
      <c r="E22" s="1">
        <f>IFERROR(__xludf.DUMMYFUNCTION("""COMPUTED_VALUE"""),9975.0)</f>
        <v>9975</v>
      </c>
      <c r="F22" s="1">
        <f>IFERROR(__xludf.DUMMYFUNCTION("""COMPUTED_VALUE"""),231621.0)</f>
        <v>231621</v>
      </c>
    </row>
    <row r="23">
      <c r="A23" s="2">
        <f>IFERROR(__xludf.DUMMYFUNCTION("""COMPUTED_VALUE"""),42887.64583333333)</f>
        <v>42887.64583</v>
      </c>
      <c r="B23" s="1">
        <f>IFERROR(__xludf.DUMMYFUNCTION("""COMPUTED_VALUE"""),9950.0)</f>
        <v>9950</v>
      </c>
      <c r="C23" s="1">
        <f>IFERROR(__xludf.DUMMYFUNCTION("""COMPUTED_VALUE"""),10500.0)</f>
        <v>10500</v>
      </c>
      <c r="D23" s="1">
        <f>IFERROR(__xludf.DUMMYFUNCTION("""COMPUTED_VALUE"""),9875.0)</f>
        <v>9875</v>
      </c>
      <c r="E23" s="1">
        <f>IFERROR(__xludf.DUMMYFUNCTION("""COMPUTED_VALUE"""),10150.0)</f>
        <v>10150</v>
      </c>
      <c r="F23" s="1">
        <f>IFERROR(__xludf.DUMMYFUNCTION("""COMPUTED_VALUE"""),116906.0)</f>
        <v>116906</v>
      </c>
    </row>
    <row r="24">
      <c r="A24" s="2">
        <f>IFERROR(__xludf.DUMMYFUNCTION("""COMPUTED_VALUE"""),42888.64583333333)</f>
        <v>42888.64583</v>
      </c>
      <c r="B24" s="1">
        <f>IFERROR(__xludf.DUMMYFUNCTION("""COMPUTED_VALUE"""),10125.0)</f>
        <v>10125</v>
      </c>
      <c r="C24" s="1">
        <f>IFERROR(__xludf.DUMMYFUNCTION("""COMPUTED_VALUE"""),10125.0)</f>
        <v>10125</v>
      </c>
      <c r="D24" s="1">
        <f>IFERROR(__xludf.DUMMYFUNCTION("""COMPUTED_VALUE"""),9737.5)</f>
        <v>9737.5</v>
      </c>
      <c r="E24" s="1">
        <f>IFERROR(__xludf.DUMMYFUNCTION("""COMPUTED_VALUE"""),9975.0)</f>
        <v>9975</v>
      </c>
      <c r="F24" s="1">
        <f>IFERROR(__xludf.DUMMYFUNCTION("""COMPUTED_VALUE"""),62610.0)</f>
        <v>62610</v>
      </c>
    </row>
    <row r="25">
      <c r="A25" s="2">
        <f>IFERROR(__xludf.DUMMYFUNCTION("""COMPUTED_VALUE"""),42891.64583333333)</f>
        <v>42891.64583</v>
      </c>
      <c r="B25" s="1">
        <f>IFERROR(__xludf.DUMMYFUNCTION("""COMPUTED_VALUE"""),10075.0)</f>
        <v>10075</v>
      </c>
      <c r="C25" s="1">
        <f>IFERROR(__xludf.DUMMYFUNCTION("""COMPUTED_VALUE"""),10075.0)</f>
        <v>10075</v>
      </c>
      <c r="D25" s="1">
        <f>IFERROR(__xludf.DUMMYFUNCTION("""COMPUTED_VALUE"""),9612.5)</f>
        <v>9612.5</v>
      </c>
      <c r="E25" s="1">
        <f>IFERROR(__xludf.DUMMYFUNCTION("""COMPUTED_VALUE"""),9700.0)</f>
        <v>9700</v>
      </c>
      <c r="F25" s="1">
        <f>IFERROR(__xludf.DUMMYFUNCTION("""COMPUTED_VALUE"""),43134.0)</f>
        <v>43134</v>
      </c>
    </row>
    <row r="26">
      <c r="A26" s="2">
        <f>IFERROR(__xludf.DUMMYFUNCTION("""COMPUTED_VALUE"""),42893.64583333333)</f>
        <v>42893.64583</v>
      </c>
      <c r="B26" s="1">
        <f>IFERROR(__xludf.DUMMYFUNCTION("""COMPUTED_VALUE"""),9700.0)</f>
        <v>9700</v>
      </c>
      <c r="C26" s="1">
        <f>IFERROR(__xludf.DUMMYFUNCTION("""COMPUTED_VALUE"""),10575.0)</f>
        <v>10575</v>
      </c>
      <c r="D26" s="1">
        <f>IFERROR(__xludf.DUMMYFUNCTION("""COMPUTED_VALUE"""),9700.0)</f>
        <v>9700</v>
      </c>
      <c r="E26" s="1">
        <f>IFERROR(__xludf.DUMMYFUNCTION("""COMPUTED_VALUE"""),10525.0)</f>
        <v>10525</v>
      </c>
      <c r="F26" s="1">
        <f>IFERROR(__xludf.DUMMYFUNCTION("""COMPUTED_VALUE"""),152194.0)</f>
        <v>152194</v>
      </c>
    </row>
    <row r="27">
      <c r="A27" s="2">
        <f>IFERROR(__xludf.DUMMYFUNCTION("""COMPUTED_VALUE"""),42894.64583333333)</f>
        <v>42894.64583</v>
      </c>
      <c r="B27" s="1">
        <f>IFERROR(__xludf.DUMMYFUNCTION("""COMPUTED_VALUE"""),10675.0)</f>
        <v>10675</v>
      </c>
      <c r="C27" s="1">
        <f>IFERROR(__xludf.DUMMYFUNCTION("""COMPUTED_VALUE"""),10675.0)</f>
        <v>10675</v>
      </c>
      <c r="D27" s="1">
        <f>IFERROR(__xludf.DUMMYFUNCTION("""COMPUTED_VALUE"""),10237.5)</f>
        <v>10237.5</v>
      </c>
      <c r="E27" s="1">
        <f>IFERROR(__xludf.DUMMYFUNCTION("""COMPUTED_VALUE"""),10337.5)</f>
        <v>10337.5</v>
      </c>
      <c r="F27" s="1">
        <f>IFERROR(__xludf.DUMMYFUNCTION("""COMPUTED_VALUE"""),65347.0)</f>
        <v>65347</v>
      </c>
    </row>
    <row r="28">
      <c r="A28" s="2">
        <f>IFERROR(__xludf.DUMMYFUNCTION("""COMPUTED_VALUE"""),42895.64583333333)</f>
        <v>42895.64583</v>
      </c>
      <c r="B28" s="1">
        <f>IFERROR(__xludf.DUMMYFUNCTION("""COMPUTED_VALUE"""),10500.0)</f>
        <v>10500</v>
      </c>
      <c r="C28" s="1">
        <f>IFERROR(__xludf.DUMMYFUNCTION("""COMPUTED_VALUE"""),10675.0)</f>
        <v>10675</v>
      </c>
      <c r="D28" s="1">
        <f>IFERROR(__xludf.DUMMYFUNCTION("""COMPUTED_VALUE"""),10200.0)</f>
        <v>10200</v>
      </c>
      <c r="E28" s="1">
        <f>IFERROR(__xludf.DUMMYFUNCTION("""COMPUTED_VALUE"""),10550.0)</f>
        <v>10550</v>
      </c>
      <c r="F28" s="1">
        <f>IFERROR(__xludf.DUMMYFUNCTION("""COMPUTED_VALUE"""),87858.0)</f>
        <v>87858</v>
      </c>
    </row>
    <row r="29">
      <c r="A29" s="2">
        <f>IFERROR(__xludf.DUMMYFUNCTION("""COMPUTED_VALUE"""),42898.64583333333)</f>
        <v>42898.64583</v>
      </c>
      <c r="B29" s="1">
        <f>IFERROR(__xludf.DUMMYFUNCTION("""COMPUTED_VALUE"""),10325.0)</f>
        <v>10325</v>
      </c>
      <c r="C29" s="1">
        <f>IFERROR(__xludf.DUMMYFUNCTION("""COMPUTED_VALUE"""),10475.0)</f>
        <v>10475</v>
      </c>
      <c r="D29" s="1">
        <f>IFERROR(__xludf.DUMMYFUNCTION("""COMPUTED_VALUE"""),10025.0)</f>
        <v>10025</v>
      </c>
      <c r="E29" s="1">
        <f>IFERROR(__xludf.DUMMYFUNCTION("""COMPUTED_VALUE"""),10075.0)</f>
        <v>10075</v>
      </c>
      <c r="F29" s="1">
        <f>IFERROR(__xludf.DUMMYFUNCTION("""COMPUTED_VALUE"""),77800.0)</f>
        <v>77800</v>
      </c>
    </row>
    <row r="30">
      <c r="A30" s="2">
        <f>IFERROR(__xludf.DUMMYFUNCTION("""COMPUTED_VALUE"""),42899.64583333333)</f>
        <v>42899.64583</v>
      </c>
      <c r="B30" s="1">
        <f>IFERROR(__xludf.DUMMYFUNCTION("""COMPUTED_VALUE"""),10000.0)</f>
        <v>10000</v>
      </c>
      <c r="C30" s="1">
        <f>IFERROR(__xludf.DUMMYFUNCTION("""COMPUTED_VALUE"""),10200.0)</f>
        <v>10200</v>
      </c>
      <c r="D30" s="1">
        <f>IFERROR(__xludf.DUMMYFUNCTION("""COMPUTED_VALUE"""),9950.0)</f>
        <v>9950</v>
      </c>
      <c r="E30" s="1">
        <f>IFERROR(__xludf.DUMMYFUNCTION("""COMPUTED_VALUE"""),10062.5)</f>
        <v>10062.5</v>
      </c>
      <c r="F30" s="1">
        <f>IFERROR(__xludf.DUMMYFUNCTION("""COMPUTED_VALUE"""),52393.0)</f>
        <v>52393</v>
      </c>
    </row>
    <row r="31">
      <c r="A31" s="2">
        <f>IFERROR(__xludf.DUMMYFUNCTION("""COMPUTED_VALUE"""),42900.64583333333)</f>
        <v>42900.64583</v>
      </c>
      <c r="B31" s="1">
        <f>IFERROR(__xludf.DUMMYFUNCTION("""COMPUTED_VALUE"""),10062.5)</f>
        <v>10062.5</v>
      </c>
      <c r="C31" s="1">
        <f>IFERROR(__xludf.DUMMYFUNCTION("""COMPUTED_VALUE"""),10250.0)</f>
        <v>10250</v>
      </c>
      <c r="D31" s="1">
        <f>IFERROR(__xludf.DUMMYFUNCTION("""COMPUTED_VALUE"""),9737.5)</f>
        <v>9737.5</v>
      </c>
      <c r="E31" s="1">
        <f>IFERROR(__xludf.DUMMYFUNCTION("""COMPUTED_VALUE"""),9925.0)</f>
        <v>9925</v>
      </c>
      <c r="F31" s="1">
        <f>IFERROR(__xludf.DUMMYFUNCTION("""COMPUTED_VALUE"""),41594.0)</f>
        <v>41594</v>
      </c>
    </row>
    <row r="32">
      <c r="A32" s="2">
        <f>IFERROR(__xludf.DUMMYFUNCTION("""COMPUTED_VALUE"""),42901.64583333333)</f>
        <v>42901.64583</v>
      </c>
      <c r="B32" s="1">
        <f>IFERROR(__xludf.DUMMYFUNCTION("""COMPUTED_VALUE"""),9775.0)</f>
        <v>9775</v>
      </c>
      <c r="C32" s="1">
        <f>IFERROR(__xludf.DUMMYFUNCTION("""COMPUTED_VALUE"""),9875.0)</f>
        <v>9875</v>
      </c>
      <c r="D32" s="1">
        <f>IFERROR(__xludf.DUMMYFUNCTION("""COMPUTED_VALUE"""),9400.0)</f>
        <v>9400</v>
      </c>
      <c r="E32" s="1">
        <f>IFERROR(__xludf.DUMMYFUNCTION("""COMPUTED_VALUE"""),9800.0)</f>
        <v>9800</v>
      </c>
      <c r="F32" s="1">
        <f>IFERROR(__xludf.DUMMYFUNCTION("""COMPUTED_VALUE"""),72805.0)</f>
        <v>72805</v>
      </c>
    </row>
    <row r="33">
      <c r="A33" s="2">
        <f>IFERROR(__xludf.DUMMYFUNCTION("""COMPUTED_VALUE"""),42902.64583333333)</f>
        <v>42902.64583</v>
      </c>
      <c r="B33" s="1">
        <f>IFERROR(__xludf.DUMMYFUNCTION("""COMPUTED_VALUE"""),9750.0)</f>
        <v>9750</v>
      </c>
      <c r="C33" s="1">
        <f>IFERROR(__xludf.DUMMYFUNCTION("""COMPUTED_VALUE"""),9975.0)</f>
        <v>9975</v>
      </c>
      <c r="D33" s="1">
        <f>IFERROR(__xludf.DUMMYFUNCTION("""COMPUTED_VALUE"""),9550.0)</f>
        <v>9550</v>
      </c>
      <c r="E33" s="1">
        <f>IFERROR(__xludf.DUMMYFUNCTION("""COMPUTED_VALUE"""),9937.5)</f>
        <v>9937.5</v>
      </c>
      <c r="F33" s="1">
        <f>IFERROR(__xludf.DUMMYFUNCTION("""COMPUTED_VALUE"""),24281.0)</f>
        <v>24281</v>
      </c>
    </row>
    <row r="34">
      <c r="A34" s="2">
        <f>IFERROR(__xludf.DUMMYFUNCTION("""COMPUTED_VALUE"""),42905.64583333333)</f>
        <v>42905.64583</v>
      </c>
      <c r="B34" s="1">
        <f>IFERROR(__xludf.DUMMYFUNCTION("""COMPUTED_VALUE"""),10212.5)</f>
        <v>10212.5</v>
      </c>
      <c r="C34" s="1">
        <f>IFERROR(__xludf.DUMMYFUNCTION("""COMPUTED_VALUE"""),10875.0)</f>
        <v>10875</v>
      </c>
      <c r="D34" s="1">
        <f>IFERROR(__xludf.DUMMYFUNCTION("""COMPUTED_VALUE"""),9937.5)</f>
        <v>9937.5</v>
      </c>
      <c r="E34" s="1">
        <f>IFERROR(__xludf.DUMMYFUNCTION("""COMPUTED_VALUE"""),10775.0)</f>
        <v>10775</v>
      </c>
      <c r="F34" s="1">
        <f>IFERROR(__xludf.DUMMYFUNCTION("""COMPUTED_VALUE"""),169567.0)</f>
        <v>169567</v>
      </c>
    </row>
    <row r="35">
      <c r="A35" s="2">
        <f>IFERROR(__xludf.DUMMYFUNCTION("""COMPUTED_VALUE"""),42906.64583333333)</f>
        <v>42906.64583</v>
      </c>
      <c r="B35" s="1">
        <f>IFERROR(__xludf.DUMMYFUNCTION("""COMPUTED_VALUE"""),10800.0)</f>
        <v>10800</v>
      </c>
      <c r="C35" s="1">
        <f>IFERROR(__xludf.DUMMYFUNCTION("""COMPUTED_VALUE"""),11062.5)</f>
        <v>11062.5</v>
      </c>
      <c r="D35" s="1">
        <f>IFERROR(__xludf.DUMMYFUNCTION("""COMPUTED_VALUE"""),10500.0)</f>
        <v>10500</v>
      </c>
      <c r="E35" s="1">
        <f>IFERROR(__xludf.DUMMYFUNCTION("""COMPUTED_VALUE"""),10562.5)</f>
        <v>10562.5</v>
      </c>
      <c r="F35" s="1">
        <f>IFERROR(__xludf.DUMMYFUNCTION("""COMPUTED_VALUE"""),99842.0)</f>
        <v>99842</v>
      </c>
    </row>
    <row r="36">
      <c r="A36" s="2">
        <f>IFERROR(__xludf.DUMMYFUNCTION("""COMPUTED_VALUE"""),42907.64583333333)</f>
        <v>42907.64583</v>
      </c>
      <c r="B36" s="1">
        <f>IFERROR(__xludf.DUMMYFUNCTION("""COMPUTED_VALUE"""),10575.0)</f>
        <v>10575</v>
      </c>
      <c r="C36" s="1">
        <f>IFERROR(__xludf.DUMMYFUNCTION("""COMPUTED_VALUE"""),10750.0)</f>
        <v>10750</v>
      </c>
      <c r="D36" s="1">
        <f>IFERROR(__xludf.DUMMYFUNCTION("""COMPUTED_VALUE"""),10187.5)</f>
        <v>10187.5</v>
      </c>
      <c r="E36" s="1">
        <f>IFERROR(__xludf.DUMMYFUNCTION("""COMPUTED_VALUE"""),10562.5)</f>
        <v>10562.5</v>
      </c>
      <c r="F36" s="1">
        <f>IFERROR(__xludf.DUMMYFUNCTION("""COMPUTED_VALUE"""),26629.0)</f>
        <v>26629</v>
      </c>
    </row>
    <row r="37">
      <c r="A37" s="2">
        <f>IFERROR(__xludf.DUMMYFUNCTION("""COMPUTED_VALUE"""),42908.64583333333)</f>
        <v>42908.64583</v>
      </c>
      <c r="B37" s="1">
        <f>IFERROR(__xludf.DUMMYFUNCTION("""COMPUTED_VALUE"""),10662.5)</f>
        <v>10662.5</v>
      </c>
      <c r="C37" s="1">
        <f>IFERROR(__xludf.DUMMYFUNCTION("""COMPUTED_VALUE"""),10825.0)</f>
        <v>10825</v>
      </c>
      <c r="D37" s="1">
        <f>IFERROR(__xludf.DUMMYFUNCTION("""COMPUTED_VALUE"""),10125.0)</f>
        <v>10125</v>
      </c>
      <c r="E37" s="1">
        <f>IFERROR(__xludf.DUMMYFUNCTION("""COMPUTED_VALUE"""),10137.5)</f>
        <v>10137.5</v>
      </c>
      <c r="F37" s="1">
        <f>IFERROR(__xludf.DUMMYFUNCTION("""COMPUTED_VALUE"""),47809.0)</f>
        <v>47809</v>
      </c>
    </row>
    <row r="38">
      <c r="A38" s="2">
        <f>IFERROR(__xludf.DUMMYFUNCTION("""COMPUTED_VALUE"""),42909.64583333333)</f>
        <v>42909.64583</v>
      </c>
      <c r="B38" s="1">
        <f>IFERROR(__xludf.DUMMYFUNCTION("""COMPUTED_VALUE"""),10237.5)</f>
        <v>10237.5</v>
      </c>
      <c r="C38" s="1">
        <f>IFERROR(__xludf.DUMMYFUNCTION("""COMPUTED_VALUE"""),10750.0)</f>
        <v>10750</v>
      </c>
      <c r="D38" s="1">
        <f>IFERROR(__xludf.DUMMYFUNCTION("""COMPUTED_VALUE"""),10112.5)</f>
        <v>10112.5</v>
      </c>
      <c r="E38" s="1">
        <f>IFERROR(__xludf.DUMMYFUNCTION("""COMPUTED_VALUE"""),10687.5)</f>
        <v>10687.5</v>
      </c>
      <c r="F38" s="1">
        <f>IFERROR(__xludf.DUMMYFUNCTION("""COMPUTED_VALUE"""),77630.0)</f>
        <v>77630</v>
      </c>
    </row>
    <row r="39">
      <c r="A39" s="2">
        <f>IFERROR(__xludf.DUMMYFUNCTION("""COMPUTED_VALUE"""),42912.64583333333)</f>
        <v>42912.64583</v>
      </c>
      <c r="B39" s="1">
        <f>IFERROR(__xludf.DUMMYFUNCTION("""COMPUTED_VALUE"""),10825.0)</f>
        <v>10825</v>
      </c>
      <c r="C39" s="1">
        <f>IFERROR(__xludf.DUMMYFUNCTION("""COMPUTED_VALUE"""),11150.0)</f>
        <v>11150</v>
      </c>
      <c r="D39" s="1">
        <f>IFERROR(__xludf.DUMMYFUNCTION("""COMPUTED_VALUE"""),10500.0)</f>
        <v>10500</v>
      </c>
      <c r="E39" s="1">
        <f>IFERROR(__xludf.DUMMYFUNCTION("""COMPUTED_VALUE"""),10625.0)</f>
        <v>10625</v>
      </c>
      <c r="F39" s="1">
        <f>IFERROR(__xludf.DUMMYFUNCTION("""COMPUTED_VALUE"""),84763.0)</f>
        <v>84763</v>
      </c>
    </row>
    <row r="40">
      <c r="A40" s="2">
        <f>IFERROR(__xludf.DUMMYFUNCTION("""COMPUTED_VALUE"""),42913.64583333333)</f>
        <v>42913.64583</v>
      </c>
      <c r="B40" s="1">
        <f>IFERROR(__xludf.DUMMYFUNCTION("""COMPUTED_VALUE"""),10375.0)</f>
        <v>10375</v>
      </c>
      <c r="C40" s="1">
        <f>IFERROR(__xludf.DUMMYFUNCTION("""COMPUTED_VALUE"""),10900.0)</f>
        <v>10900</v>
      </c>
      <c r="D40" s="1">
        <f>IFERROR(__xludf.DUMMYFUNCTION("""COMPUTED_VALUE"""),10250.0)</f>
        <v>10250</v>
      </c>
      <c r="E40" s="1">
        <f>IFERROR(__xludf.DUMMYFUNCTION("""COMPUTED_VALUE"""),10812.5)</f>
        <v>10812.5</v>
      </c>
      <c r="F40" s="1">
        <f>IFERROR(__xludf.DUMMYFUNCTION("""COMPUTED_VALUE"""),148499.0)</f>
        <v>148499</v>
      </c>
    </row>
    <row r="41">
      <c r="A41" s="2">
        <f>IFERROR(__xludf.DUMMYFUNCTION("""COMPUTED_VALUE"""),42914.64583333333)</f>
        <v>42914.64583</v>
      </c>
      <c r="B41" s="1">
        <f>IFERROR(__xludf.DUMMYFUNCTION("""COMPUTED_VALUE"""),10700.0)</f>
        <v>10700</v>
      </c>
      <c r="C41" s="1">
        <f>IFERROR(__xludf.DUMMYFUNCTION("""COMPUTED_VALUE"""),10912.5)</f>
        <v>10912.5</v>
      </c>
      <c r="D41" s="1">
        <f>IFERROR(__xludf.DUMMYFUNCTION("""COMPUTED_VALUE"""),10500.0)</f>
        <v>10500</v>
      </c>
      <c r="E41" s="1">
        <f>IFERROR(__xludf.DUMMYFUNCTION("""COMPUTED_VALUE"""),10650.0)</f>
        <v>10650</v>
      </c>
      <c r="F41" s="1">
        <f>IFERROR(__xludf.DUMMYFUNCTION("""COMPUTED_VALUE"""),115991.0)</f>
        <v>115991</v>
      </c>
    </row>
    <row r="42">
      <c r="A42" s="2">
        <f>IFERROR(__xludf.DUMMYFUNCTION("""COMPUTED_VALUE"""),42915.64583333333)</f>
        <v>42915.64583</v>
      </c>
      <c r="B42" s="1">
        <f>IFERROR(__xludf.DUMMYFUNCTION("""COMPUTED_VALUE"""),10675.0)</f>
        <v>10675</v>
      </c>
      <c r="C42" s="1">
        <f>IFERROR(__xludf.DUMMYFUNCTION("""COMPUTED_VALUE"""),10700.0)</f>
        <v>10700</v>
      </c>
      <c r="D42" s="1">
        <f>IFERROR(__xludf.DUMMYFUNCTION("""COMPUTED_VALUE"""),10362.5)</f>
        <v>10362.5</v>
      </c>
      <c r="E42" s="1">
        <f>IFERROR(__xludf.DUMMYFUNCTION("""COMPUTED_VALUE"""),10650.0)</f>
        <v>10650</v>
      </c>
      <c r="F42" s="1">
        <f>IFERROR(__xludf.DUMMYFUNCTION("""COMPUTED_VALUE"""),55850.0)</f>
        <v>55850</v>
      </c>
    </row>
    <row r="43">
      <c r="A43" s="2">
        <f>IFERROR(__xludf.DUMMYFUNCTION("""COMPUTED_VALUE"""),42916.64583333333)</f>
        <v>42916.64583</v>
      </c>
      <c r="B43" s="1">
        <f>IFERROR(__xludf.DUMMYFUNCTION("""COMPUTED_VALUE"""),10450.0)</f>
        <v>10450</v>
      </c>
      <c r="C43" s="1">
        <f>IFERROR(__xludf.DUMMYFUNCTION("""COMPUTED_VALUE"""),10637.5)</f>
        <v>10637.5</v>
      </c>
      <c r="D43" s="1">
        <f>IFERROR(__xludf.DUMMYFUNCTION("""COMPUTED_VALUE"""),10350.0)</f>
        <v>10350</v>
      </c>
      <c r="E43" s="1">
        <f>IFERROR(__xludf.DUMMYFUNCTION("""COMPUTED_VALUE"""),10475.0)</f>
        <v>10475</v>
      </c>
      <c r="F43" s="1">
        <f>IFERROR(__xludf.DUMMYFUNCTION("""COMPUTED_VALUE"""),61378.0)</f>
        <v>61378</v>
      </c>
    </row>
    <row r="44">
      <c r="A44" s="2">
        <f>IFERROR(__xludf.DUMMYFUNCTION("""COMPUTED_VALUE"""),42919.64583333333)</f>
        <v>42919.64583</v>
      </c>
      <c r="B44" s="1">
        <f>IFERROR(__xludf.DUMMYFUNCTION("""COMPUTED_VALUE"""),10587.5)</f>
        <v>10587.5</v>
      </c>
      <c r="C44" s="1">
        <f>IFERROR(__xludf.DUMMYFUNCTION("""COMPUTED_VALUE"""),10587.5)</f>
        <v>10587.5</v>
      </c>
      <c r="D44" s="1">
        <f>IFERROR(__xludf.DUMMYFUNCTION("""COMPUTED_VALUE"""),10075.0)</f>
        <v>10075</v>
      </c>
      <c r="E44" s="1">
        <f>IFERROR(__xludf.DUMMYFUNCTION("""COMPUTED_VALUE"""),10200.0)</f>
        <v>10200</v>
      </c>
      <c r="F44" s="1">
        <f>IFERROR(__xludf.DUMMYFUNCTION("""COMPUTED_VALUE"""),52238.0)</f>
        <v>52238</v>
      </c>
    </row>
    <row r="45">
      <c r="A45" s="2">
        <f>IFERROR(__xludf.DUMMYFUNCTION("""COMPUTED_VALUE"""),42920.64583333333)</f>
        <v>42920.64583</v>
      </c>
      <c r="B45" s="1">
        <f>IFERROR(__xludf.DUMMYFUNCTION("""COMPUTED_VALUE"""),10075.0)</f>
        <v>10075</v>
      </c>
      <c r="C45" s="1">
        <f>IFERROR(__xludf.DUMMYFUNCTION("""COMPUTED_VALUE"""),10287.5)</f>
        <v>10287.5</v>
      </c>
      <c r="D45" s="1">
        <f>IFERROR(__xludf.DUMMYFUNCTION("""COMPUTED_VALUE"""),9925.0)</f>
        <v>9925</v>
      </c>
      <c r="E45" s="1">
        <f>IFERROR(__xludf.DUMMYFUNCTION("""COMPUTED_VALUE"""),10000.0)</f>
        <v>10000</v>
      </c>
      <c r="F45" s="1">
        <f>IFERROR(__xludf.DUMMYFUNCTION("""COMPUTED_VALUE"""),39409.0)</f>
        <v>39409</v>
      </c>
    </row>
    <row r="46">
      <c r="A46" s="2">
        <f>IFERROR(__xludf.DUMMYFUNCTION("""COMPUTED_VALUE"""),42921.64583333333)</f>
        <v>42921.64583</v>
      </c>
      <c r="B46" s="1">
        <f>IFERROR(__xludf.DUMMYFUNCTION("""COMPUTED_VALUE"""),9925.0)</f>
        <v>9925</v>
      </c>
      <c r="C46" s="1">
        <f>IFERROR(__xludf.DUMMYFUNCTION("""COMPUTED_VALUE"""),10337.5)</f>
        <v>10337.5</v>
      </c>
      <c r="D46" s="1">
        <f>IFERROR(__xludf.DUMMYFUNCTION("""COMPUTED_VALUE"""),9925.0)</f>
        <v>9925</v>
      </c>
      <c r="E46" s="1">
        <f>IFERROR(__xludf.DUMMYFUNCTION("""COMPUTED_VALUE"""),10300.0)</f>
        <v>10300</v>
      </c>
      <c r="F46" s="1">
        <f>IFERROR(__xludf.DUMMYFUNCTION("""COMPUTED_VALUE"""),20806.0)</f>
        <v>20806</v>
      </c>
    </row>
    <row r="47">
      <c r="A47" s="2">
        <f>IFERROR(__xludf.DUMMYFUNCTION("""COMPUTED_VALUE"""),42922.64583333333)</f>
        <v>42922.64583</v>
      </c>
      <c r="B47" s="1">
        <f>IFERROR(__xludf.DUMMYFUNCTION("""COMPUTED_VALUE"""),10337.5)</f>
        <v>10337.5</v>
      </c>
      <c r="C47" s="1">
        <f>IFERROR(__xludf.DUMMYFUNCTION("""COMPUTED_VALUE"""),10437.5)</f>
        <v>10437.5</v>
      </c>
      <c r="D47" s="1">
        <f>IFERROR(__xludf.DUMMYFUNCTION("""COMPUTED_VALUE"""),10187.5)</f>
        <v>10187.5</v>
      </c>
      <c r="E47" s="1">
        <f>IFERROR(__xludf.DUMMYFUNCTION("""COMPUTED_VALUE"""),10300.0)</f>
        <v>10300</v>
      </c>
      <c r="F47" s="1">
        <f>IFERROR(__xludf.DUMMYFUNCTION("""COMPUTED_VALUE"""),20867.0)</f>
        <v>20867</v>
      </c>
    </row>
    <row r="48">
      <c r="A48" s="2">
        <f>IFERROR(__xludf.DUMMYFUNCTION("""COMPUTED_VALUE"""),42923.64583333333)</f>
        <v>42923.64583</v>
      </c>
      <c r="B48" s="1">
        <f>IFERROR(__xludf.DUMMYFUNCTION("""COMPUTED_VALUE"""),10187.5)</f>
        <v>10187.5</v>
      </c>
      <c r="C48" s="1">
        <f>IFERROR(__xludf.DUMMYFUNCTION("""COMPUTED_VALUE"""),10237.5)</f>
        <v>10237.5</v>
      </c>
      <c r="D48" s="1">
        <f>IFERROR(__xludf.DUMMYFUNCTION("""COMPUTED_VALUE"""),10012.5)</f>
        <v>10012.5</v>
      </c>
      <c r="E48" s="1">
        <f>IFERROR(__xludf.DUMMYFUNCTION("""COMPUTED_VALUE"""),10050.0)</f>
        <v>10050</v>
      </c>
      <c r="F48" s="1">
        <f>IFERROR(__xludf.DUMMYFUNCTION("""COMPUTED_VALUE"""),35511.0)</f>
        <v>35511</v>
      </c>
    </row>
    <row r="49">
      <c r="A49" s="2">
        <f>IFERROR(__xludf.DUMMYFUNCTION("""COMPUTED_VALUE"""),42926.64583333333)</f>
        <v>42926.64583</v>
      </c>
      <c r="B49" s="1">
        <f>IFERROR(__xludf.DUMMYFUNCTION("""COMPUTED_VALUE"""),10025.0)</f>
        <v>10025</v>
      </c>
      <c r="C49" s="1">
        <f>IFERROR(__xludf.DUMMYFUNCTION("""COMPUTED_VALUE"""),10437.5)</f>
        <v>10437.5</v>
      </c>
      <c r="D49" s="1">
        <f>IFERROR(__xludf.DUMMYFUNCTION("""COMPUTED_VALUE"""),9900.0)</f>
        <v>9900</v>
      </c>
      <c r="E49" s="1">
        <f>IFERROR(__xludf.DUMMYFUNCTION("""COMPUTED_VALUE"""),10437.5)</f>
        <v>10437.5</v>
      </c>
      <c r="F49" s="1">
        <f>IFERROR(__xludf.DUMMYFUNCTION("""COMPUTED_VALUE"""),31180.0)</f>
        <v>31180</v>
      </c>
    </row>
    <row r="50">
      <c r="A50" s="2">
        <f>IFERROR(__xludf.DUMMYFUNCTION("""COMPUTED_VALUE"""),42927.64583333333)</f>
        <v>42927.64583</v>
      </c>
      <c r="B50" s="1">
        <f>IFERROR(__xludf.DUMMYFUNCTION("""COMPUTED_VALUE"""),10525.0)</f>
        <v>10525</v>
      </c>
      <c r="C50" s="1">
        <f>IFERROR(__xludf.DUMMYFUNCTION("""COMPUTED_VALUE"""),11250.0)</f>
        <v>11250</v>
      </c>
      <c r="D50" s="1">
        <f>IFERROR(__xludf.DUMMYFUNCTION("""COMPUTED_VALUE"""),10500.0)</f>
        <v>10500</v>
      </c>
      <c r="E50" s="1">
        <f>IFERROR(__xludf.DUMMYFUNCTION("""COMPUTED_VALUE"""),11200.0)</f>
        <v>11200</v>
      </c>
      <c r="F50" s="1">
        <f>IFERROR(__xludf.DUMMYFUNCTION("""COMPUTED_VALUE"""),161832.0)</f>
        <v>161832</v>
      </c>
    </row>
    <row r="51">
      <c r="A51" s="2">
        <f>IFERROR(__xludf.DUMMYFUNCTION("""COMPUTED_VALUE"""),42928.64583333333)</f>
        <v>42928.64583</v>
      </c>
      <c r="B51" s="1">
        <f>IFERROR(__xludf.DUMMYFUNCTION("""COMPUTED_VALUE"""),11300.0)</f>
        <v>11300</v>
      </c>
      <c r="C51" s="1">
        <f>IFERROR(__xludf.DUMMYFUNCTION("""COMPUTED_VALUE"""),11825.0)</f>
        <v>11825</v>
      </c>
      <c r="D51" s="1">
        <f>IFERROR(__xludf.DUMMYFUNCTION("""COMPUTED_VALUE"""),11125.0)</f>
        <v>11125</v>
      </c>
      <c r="E51" s="1">
        <f>IFERROR(__xludf.DUMMYFUNCTION("""COMPUTED_VALUE"""),11462.5)</f>
        <v>11462.5</v>
      </c>
      <c r="F51" s="1">
        <f>IFERROR(__xludf.DUMMYFUNCTION("""COMPUTED_VALUE"""),110756.0)</f>
        <v>110756</v>
      </c>
    </row>
    <row r="52">
      <c r="A52" s="2">
        <f>IFERROR(__xludf.DUMMYFUNCTION("""COMPUTED_VALUE"""),42929.64583333333)</f>
        <v>42929.64583</v>
      </c>
      <c r="B52" s="1">
        <f>IFERROR(__xludf.DUMMYFUNCTION("""COMPUTED_VALUE"""),11625.0)</f>
        <v>11625</v>
      </c>
      <c r="C52" s="1">
        <f>IFERROR(__xludf.DUMMYFUNCTION("""COMPUTED_VALUE"""),11725.0)</f>
        <v>11725</v>
      </c>
      <c r="D52" s="1">
        <f>IFERROR(__xludf.DUMMYFUNCTION("""COMPUTED_VALUE"""),11275.0)</f>
        <v>11275</v>
      </c>
      <c r="E52" s="1">
        <f>IFERROR(__xludf.DUMMYFUNCTION("""COMPUTED_VALUE"""),11550.0)</f>
        <v>11550</v>
      </c>
      <c r="F52" s="1">
        <f>IFERROR(__xludf.DUMMYFUNCTION("""COMPUTED_VALUE"""),55120.0)</f>
        <v>55120</v>
      </c>
    </row>
    <row r="53">
      <c r="A53" s="2">
        <f>IFERROR(__xludf.DUMMYFUNCTION("""COMPUTED_VALUE"""),42930.64583333333)</f>
        <v>42930.64583</v>
      </c>
      <c r="B53" s="1">
        <f>IFERROR(__xludf.DUMMYFUNCTION("""COMPUTED_VALUE"""),11600.0)</f>
        <v>11600</v>
      </c>
      <c r="C53" s="1">
        <f>IFERROR(__xludf.DUMMYFUNCTION("""COMPUTED_VALUE"""),12375.0)</f>
        <v>12375</v>
      </c>
      <c r="D53" s="1">
        <f>IFERROR(__xludf.DUMMYFUNCTION("""COMPUTED_VALUE"""),11600.0)</f>
        <v>11600</v>
      </c>
      <c r="E53" s="1">
        <f>IFERROR(__xludf.DUMMYFUNCTION("""COMPUTED_VALUE"""),12012.5)</f>
        <v>12012.5</v>
      </c>
      <c r="F53" s="1">
        <f>IFERROR(__xludf.DUMMYFUNCTION("""COMPUTED_VALUE"""),63088.0)</f>
        <v>63088</v>
      </c>
    </row>
    <row r="54">
      <c r="A54" s="2">
        <f>IFERROR(__xludf.DUMMYFUNCTION("""COMPUTED_VALUE"""),42933.64583333333)</f>
        <v>42933.64583</v>
      </c>
      <c r="B54" s="1">
        <f>IFERROR(__xludf.DUMMYFUNCTION("""COMPUTED_VALUE"""),12012.5)</f>
        <v>12012.5</v>
      </c>
      <c r="C54" s="1">
        <f>IFERROR(__xludf.DUMMYFUNCTION("""COMPUTED_VALUE"""),12362.5)</f>
        <v>12362.5</v>
      </c>
      <c r="D54" s="1">
        <f>IFERROR(__xludf.DUMMYFUNCTION("""COMPUTED_VALUE"""),11675.0)</f>
        <v>11675</v>
      </c>
      <c r="E54" s="1">
        <f>IFERROR(__xludf.DUMMYFUNCTION("""COMPUTED_VALUE"""),12212.5)</f>
        <v>12212.5</v>
      </c>
      <c r="F54" s="1">
        <f>IFERROR(__xludf.DUMMYFUNCTION("""COMPUTED_VALUE"""),42636.0)</f>
        <v>42636</v>
      </c>
    </row>
    <row r="55">
      <c r="A55" s="2">
        <f>IFERROR(__xludf.DUMMYFUNCTION("""COMPUTED_VALUE"""),42934.64583333333)</f>
        <v>42934.64583</v>
      </c>
      <c r="B55" s="1">
        <f>IFERROR(__xludf.DUMMYFUNCTION("""COMPUTED_VALUE"""),12287.5)</f>
        <v>12287.5</v>
      </c>
      <c r="C55" s="1">
        <f>IFERROR(__xludf.DUMMYFUNCTION("""COMPUTED_VALUE"""),12725.0)</f>
        <v>12725</v>
      </c>
      <c r="D55" s="1">
        <f>IFERROR(__xludf.DUMMYFUNCTION("""COMPUTED_VALUE"""),12087.5)</f>
        <v>12087.5</v>
      </c>
      <c r="E55" s="1">
        <f>IFERROR(__xludf.DUMMYFUNCTION("""COMPUTED_VALUE"""),12225.0)</f>
        <v>12225</v>
      </c>
      <c r="F55" s="1">
        <f>IFERROR(__xludf.DUMMYFUNCTION("""COMPUTED_VALUE"""),74647.0)</f>
        <v>74647</v>
      </c>
    </row>
    <row r="56">
      <c r="A56" s="2">
        <f>IFERROR(__xludf.DUMMYFUNCTION("""COMPUTED_VALUE"""),42935.64583333333)</f>
        <v>42935.64583</v>
      </c>
      <c r="B56" s="1">
        <f>IFERROR(__xludf.DUMMYFUNCTION("""COMPUTED_VALUE"""),12275.0)</f>
        <v>12275</v>
      </c>
      <c r="C56" s="1">
        <f>IFERROR(__xludf.DUMMYFUNCTION("""COMPUTED_VALUE"""),12275.0)</f>
        <v>12275</v>
      </c>
      <c r="D56" s="1">
        <f>IFERROR(__xludf.DUMMYFUNCTION("""COMPUTED_VALUE"""),11712.5)</f>
        <v>11712.5</v>
      </c>
      <c r="E56" s="1">
        <f>IFERROR(__xludf.DUMMYFUNCTION("""COMPUTED_VALUE"""),11787.5)</f>
        <v>11787.5</v>
      </c>
      <c r="F56" s="1">
        <f>IFERROR(__xludf.DUMMYFUNCTION("""COMPUTED_VALUE"""),79036.0)</f>
        <v>79036</v>
      </c>
    </row>
    <row r="57">
      <c r="A57" s="2">
        <f>IFERROR(__xludf.DUMMYFUNCTION("""COMPUTED_VALUE"""),42936.64583333333)</f>
        <v>42936.64583</v>
      </c>
      <c r="B57" s="1">
        <f>IFERROR(__xludf.DUMMYFUNCTION("""COMPUTED_VALUE"""),11825.0)</f>
        <v>11825</v>
      </c>
      <c r="C57" s="1">
        <f>IFERROR(__xludf.DUMMYFUNCTION("""COMPUTED_VALUE"""),12162.5)</f>
        <v>12162.5</v>
      </c>
      <c r="D57" s="1">
        <f>IFERROR(__xludf.DUMMYFUNCTION("""COMPUTED_VALUE"""),11700.0)</f>
        <v>11700</v>
      </c>
      <c r="E57" s="1">
        <f>IFERROR(__xludf.DUMMYFUNCTION("""COMPUTED_VALUE"""),11950.0)</f>
        <v>11950</v>
      </c>
      <c r="F57" s="1">
        <f>IFERROR(__xludf.DUMMYFUNCTION("""COMPUTED_VALUE"""),50893.0)</f>
        <v>50893</v>
      </c>
    </row>
    <row r="58">
      <c r="A58" s="2">
        <f>IFERROR(__xludf.DUMMYFUNCTION("""COMPUTED_VALUE"""),42937.64583333333)</f>
        <v>42937.64583</v>
      </c>
      <c r="B58" s="1">
        <f>IFERROR(__xludf.DUMMYFUNCTION("""COMPUTED_VALUE"""),12062.5)</f>
        <v>12062.5</v>
      </c>
      <c r="C58" s="1">
        <f>IFERROR(__xludf.DUMMYFUNCTION("""COMPUTED_VALUE"""),12462.5)</f>
        <v>12462.5</v>
      </c>
      <c r="D58" s="1">
        <f>IFERROR(__xludf.DUMMYFUNCTION("""COMPUTED_VALUE"""),11812.5)</f>
        <v>11812.5</v>
      </c>
      <c r="E58" s="1">
        <f>IFERROR(__xludf.DUMMYFUNCTION("""COMPUTED_VALUE"""),12212.5)</f>
        <v>12212.5</v>
      </c>
      <c r="F58" s="1">
        <f>IFERROR(__xludf.DUMMYFUNCTION("""COMPUTED_VALUE"""),42235.0)</f>
        <v>42235</v>
      </c>
    </row>
    <row r="59">
      <c r="A59" s="2">
        <f>IFERROR(__xludf.DUMMYFUNCTION("""COMPUTED_VALUE"""),42940.64583333333)</f>
        <v>42940.64583</v>
      </c>
      <c r="B59" s="1">
        <f>IFERROR(__xludf.DUMMYFUNCTION("""COMPUTED_VALUE"""),12150.0)</f>
        <v>12150</v>
      </c>
      <c r="C59" s="1">
        <f>IFERROR(__xludf.DUMMYFUNCTION("""COMPUTED_VALUE"""),12675.0)</f>
        <v>12675</v>
      </c>
      <c r="D59" s="1">
        <f>IFERROR(__xludf.DUMMYFUNCTION("""COMPUTED_VALUE"""),12125.0)</f>
        <v>12125</v>
      </c>
      <c r="E59" s="1">
        <f>IFERROR(__xludf.DUMMYFUNCTION("""COMPUTED_VALUE"""),12487.5)</f>
        <v>12487.5</v>
      </c>
      <c r="F59" s="1">
        <f>IFERROR(__xludf.DUMMYFUNCTION("""COMPUTED_VALUE"""),48694.0)</f>
        <v>48694</v>
      </c>
    </row>
    <row r="60">
      <c r="A60" s="2">
        <f>IFERROR(__xludf.DUMMYFUNCTION("""COMPUTED_VALUE"""),42941.64583333333)</f>
        <v>42941.64583</v>
      </c>
      <c r="B60" s="1">
        <f>IFERROR(__xludf.DUMMYFUNCTION("""COMPUTED_VALUE"""),12625.0)</f>
        <v>12625</v>
      </c>
      <c r="C60" s="1">
        <f>IFERROR(__xludf.DUMMYFUNCTION("""COMPUTED_VALUE"""),12625.0)</f>
        <v>12625</v>
      </c>
      <c r="D60" s="1">
        <f>IFERROR(__xludf.DUMMYFUNCTION("""COMPUTED_VALUE"""),12050.0)</f>
        <v>12050</v>
      </c>
      <c r="E60" s="1">
        <f>IFERROR(__xludf.DUMMYFUNCTION("""COMPUTED_VALUE"""),12125.0)</f>
        <v>12125</v>
      </c>
      <c r="F60" s="1">
        <f>IFERROR(__xludf.DUMMYFUNCTION("""COMPUTED_VALUE"""),30083.0)</f>
        <v>30083</v>
      </c>
    </row>
    <row r="61">
      <c r="A61" s="2">
        <f>IFERROR(__xludf.DUMMYFUNCTION("""COMPUTED_VALUE"""),42942.64583333333)</f>
        <v>42942.64583</v>
      </c>
      <c r="B61" s="1">
        <f>IFERROR(__xludf.DUMMYFUNCTION("""COMPUTED_VALUE"""),12225.0)</f>
        <v>12225</v>
      </c>
      <c r="C61" s="1">
        <f>IFERROR(__xludf.DUMMYFUNCTION("""COMPUTED_VALUE"""),12237.5)</f>
        <v>12237.5</v>
      </c>
      <c r="D61" s="1">
        <f>IFERROR(__xludf.DUMMYFUNCTION("""COMPUTED_VALUE"""),11437.5)</f>
        <v>11437.5</v>
      </c>
      <c r="E61" s="1">
        <f>IFERROR(__xludf.DUMMYFUNCTION("""COMPUTED_VALUE"""),11787.5)</f>
        <v>11787.5</v>
      </c>
      <c r="F61" s="1">
        <f>IFERROR(__xludf.DUMMYFUNCTION("""COMPUTED_VALUE"""),79333.0)</f>
        <v>79333</v>
      </c>
    </row>
    <row r="62">
      <c r="A62" s="2">
        <f>IFERROR(__xludf.DUMMYFUNCTION("""COMPUTED_VALUE"""),42943.64583333333)</f>
        <v>42943.64583</v>
      </c>
      <c r="B62" s="1">
        <f>IFERROR(__xludf.DUMMYFUNCTION("""COMPUTED_VALUE"""),11787.5)</f>
        <v>11787.5</v>
      </c>
      <c r="C62" s="1">
        <f>IFERROR(__xludf.DUMMYFUNCTION("""COMPUTED_VALUE"""),11925.0)</f>
        <v>11925</v>
      </c>
      <c r="D62" s="1">
        <f>IFERROR(__xludf.DUMMYFUNCTION("""COMPUTED_VALUE"""),11575.0)</f>
        <v>11575</v>
      </c>
      <c r="E62" s="1">
        <f>IFERROR(__xludf.DUMMYFUNCTION("""COMPUTED_VALUE"""),11700.0)</f>
        <v>11700</v>
      </c>
      <c r="F62" s="1">
        <f>IFERROR(__xludf.DUMMYFUNCTION("""COMPUTED_VALUE"""),21249.0)</f>
        <v>21249</v>
      </c>
    </row>
    <row r="63">
      <c r="A63" s="2">
        <f>IFERROR(__xludf.DUMMYFUNCTION("""COMPUTED_VALUE"""),42944.64583333333)</f>
        <v>42944.64583</v>
      </c>
      <c r="B63" s="1">
        <f>IFERROR(__xludf.DUMMYFUNCTION("""COMPUTED_VALUE"""),11525.0)</f>
        <v>11525</v>
      </c>
      <c r="C63" s="1">
        <f>IFERROR(__xludf.DUMMYFUNCTION("""COMPUTED_VALUE"""),11525.0)</f>
        <v>11525</v>
      </c>
      <c r="D63" s="1">
        <f>IFERROR(__xludf.DUMMYFUNCTION("""COMPUTED_VALUE"""),10200.0)</f>
        <v>10200</v>
      </c>
      <c r="E63" s="1">
        <f>IFERROR(__xludf.DUMMYFUNCTION("""COMPUTED_VALUE"""),10362.5)</f>
        <v>10362.5</v>
      </c>
      <c r="F63" s="1">
        <f>IFERROR(__xludf.DUMMYFUNCTION("""COMPUTED_VALUE"""),257018.0)</f>
        <v>257018</v>
      </c>
    </row>
    <row r="64">
      <c r="A64" s="2">
        <f>IFERROR(__xludf.DUMMYFUNCTION("""COMPUTED_VALUE"""),42947.64583333333)</f>
        <v>42947.64583</v>
      </c>
      <c r="B64" s="1">
        <f>IFERROR(__xludf.DUMMYFUNCTION("""COMPUTED_VALUE"""),10400.0)</f>
        <v>10400</v>
      </c>
      <c r="C64" s="1">
        <f>IFERROR(__xludf.DUMMYFUNCTION("""COMPUTED_VALUE"""),10650.0)</f>
        <v>10650</v>
      </c>
      <c r="D64" s="1">
        <f>IFERROR(__xludf.DUMMYFUNCTION("""COMPUTED_VALUE"""),10125.0)</f>
        <v>10125</v>
      </c>
      <c r="E64" s="1">
        <f>IFERROR(__xludf.DUMMYFUNCTION("""COMPUTED_VALUE"""),10512.5)</f>
        <v>10512.5</v>
      </c>
      <c r="F64" s="1">
        <f>IFERROR(__xludf.DUMMYFUNCTION("""COMPUTED_VALUE"""),86066.0)</f>
        <v>86066</v>
      </c>
    </row>
    <row r="65">
      <c r="A65" s="2">
        <f>IFERROR(__xludf.DUMMYFUNCTION("""COMPUTED_VALUE"""),42948.64583333333)</f>
        <v>42948.64583</v>
      </c>
      <c r="B65" s="1">
        <f>IFERROR(__xludf.DUMMYFUNCTION("""COMPUTED_VALUE"""),10400.0)</f>
        <v>10400</v>
      </c>
      <c r="C65" s="1">
        <f>IFERROR(__xludf.DUMMYFUNCTION("""COMPUTED_VALUE"""),10612.5)</f>
        <v>10612.5</v>
      </c>
      <c r="D65" s="1">
        <f>IFERROR(__xludf.DUMMYFUNCTION("""COMPUTED_VALUE"""),10200.0)</f>
        <v>10200</v>
      </c>
      <c r="E65" s="1">
        <f>IFERROR(__xludf.DUMMYFUNCTION("""COMPUTED_VALUE"""),10325.0)</f>
        <v>10325</v>
      </c>
      <c r="F65" s="1">
        <f>IFERROR(__xludf.DUMMYFUNCTION("""COMPUTED_VALUE"""),50442.0)</f>
        <v>50442</v>
      </c>
    </row>
    <row r="66">
      <c r="A66" s="2">
        <f>IFERROR(__xludf.DUMMYFUNCTION("""COMPUTED_VALUE"""),42949.64583333333)</f>
        <v>42949.64583</v>
      </c>
      <c r="B66" s="1">
        <f>IFERROR(__xludf.DUMMYFUNCTION("""COMPUTED_VALUE"""),10512.5)</f>
        <v>10512.5</v>
      </c>
      <c r="C66" s="1">
        <f>IFERROR(__xludf.DUMMYFUNCTION("""COMPUTED_VALUE"""),11112.5)</f>
        <v>11112.5</v>
      </c>
      <c r="D66" s="1">
        <f>IFERROR(__xludf.DUMMYFUNCTION("""COMPUTED_VALUE"""),10500.0)</f>
        <v>10500</v>
      </c>
      <c r="E66" s="1">
        <f>IFERROR(__xludf.DUMMYFUNCTION("""COMPUTED_VALUE"""),10950.0)</f>
        <v>10950</v>
      </c>
      <c r="F66" s="1">
        <f>IFERROR(__xludf.DUMMYFUNCTION("""COMPUTED_VALUE"""),118114.0)</f>
        <v>118114</v>
      </c>
    </row>
    <row r="67">
      <c r="A67" s="2">
        <f>IFERROR(__xludf.DUMMYFUNCTION("""COMPUTED_VALUE"""),42950.64583333333)</f>
        <v>42950.64583</v>
      </c>
      <c r="B67" s="1">
        <f>IFERROR(__xludf.DUMMYFUNCTION("""COMPUTED_VALUE"""),10937.5)</f>
        <v>10937.5</v>
      </c>
      <c r="C67" s="1">
        <f>IFERROR(__xludf.DUMMYFUNCTION("""COMPUTED_VALUE"""),10937.5)</f>
        <v>10937.5</v>
      </c>
      <c r="D67" s="1">
        <f>IFERROR(__xludf.DUMMYFUNCTION("""COMPUTED_VALUE"""),10150.0)</f>
        <v>10150</v>
      </c>
      <c r="E67" s="1">
        <f>IFERROR(__xludf.DUMMYFUNCTION("""COMPUTED_VALUE"""),10287.5)</f>
        <v>10287.5</v>
      </c>
      <c r="F67" s="1">
        <f>IFERROR(__xludf.DUMMYFUNCTION("""COMPUTED_VALUE"""),82492.0)</f>
        <v>82492</v>
      </c>
    </row>
    <row r="68">
      <c r="A68" s="2">
        <f>IFERROR(__xludf.DUMMYFUNCTION("""COMPUTED_VALUE"""),42951.64583333333)</f>
        <v>42951.64583</v>
      </c>
      <c r="B68" s="1">
        <f>IFERROR(__xludf.DUMMYFUNCTION("""COMPUTED_VALUE"""),10200.0)</f>
        <v>10200</v>
      </c>
      <c r="C68" s="1">
        <f>IFERROR(__xludf.DUMMYFUNCTION("""COMPUTED_VALUE"""),10500.0)</f>
        <v>10500</v>
      </c>
      <c r="D68" s="1">
        <f>IFERROR(__xludf.DUMMYFUNCTION("""COMPUTED_VALUE"""),9912.5)</f>
        <v>9912.5</v>
      </c>
      <c r="E68" s="1">
        <f>IFERROR(__xludf.DUMMYFUNCTION("""COMPUTED_VALUE"""),10287.5)</f>
        <v>10287.5</v>
      </c>
      <c r="F68" s="1">
        <f>IFERROR(__xludf.DUMMYFUNCTION("""COMPUTED_VALUE"""),57665.0)</f>
        <v>57665</v>
      </c>
    </row>
    <row r="69">
      <c r="A69" s="2">
        <f>IFERROR(__xludf.DUMMYFUNCTION("""COMPUTED_VALUE"""),42954.64583333333)</f>
        <v>42954.64583</v>
      </c>
      <c r="B69" s="1">
        <f>IFERROR(__xludf.DUMMYFUNCTION("""COMPUTED_VALUE"""),10412.5)</f>
        <v>10412.5</v>
      </c>
      <c r="C69" s="1">
        <f>IFERROR(__xludf.DUMMYFUNCTION("""COMPUTED_VALUE"""),10825.0)</f>
        <v>10825</v>
      </c>
      <c r="D69" s="1">
        <f>IFERROR(__xludf.DUMMYFUNCTION("""COMPUTED_VALUE"""),10400.0)</f>
        <v>10400</v>
      </c>
      <c r="E69" s="1">
        <f>IFERROR(__xludf.DUMMYFUNCTION("""COMPUTED_VALUE"""),10625.0)</f>
        <v>10625</v>
      </c>
      <c r="F69" s="1">
        <f>IFERROR(__xludf.DUMMYFUNCTION("""COMPUTED_VALUE"""),43410.0)</f>
        <v>43410</v>
      </c>
    </row>
    <row r="70">
      <c r="A70" s="2">
        <f>IFERROR(__xludf.DUMMYFUNCTION("""COMPUTED_VALUE"""),42955.64583333333)</f>
        <v>42955.64583</v>
      </c>
      <c r="B70" s="1">
        <f>IFERROR(__xludf.DUMMYFUNCTION("""COMPUTED_VALUE"""),10625.0)</f>
        <v>10625</v>
      </c>
      <c r="C70" s="1">
        <f>IFERROR(__xludf.DUMMYFUNCTION("""COMPUTED_VALUE"""),10825.0)</f>
        <v>10825</v>
      </c>
      <c r="D70" s="1">
        <f>IFERROR(__xludf.DUMMYFUNCTION("""COMPUTED_VALUE"""),10512.5)</f>
        <v>10512.5</v>
      </c>
      <c r="E70" s="1">
        <f>IFERROR(__xludf.DUMMYFUNCTION("""COMPUTED_VALUE"""),10825.0)</f>
        <v>10825</v>
      </c>
      <c r="F70" s="1">
        <f>IFERROR(__xludf.DUMMYFUNCTION("""COMPUTED_VALUE"""),22844.0)</f>
        <v>22844</v>
      </c>
    </row>
    <row r="71">
      <c r="A71" s="2">
        <f>IFERROR(__xludf.DUMMYFUNCTION("""COMPUTED_VALUE"""),42956.64583333333)</f>
        <v>42956.64583</v>
      </c>
      <c r="B71" s="1">
        <f>IFERROR(__xludf.DUMMYFUNCTION("""COMPUTED_VALUE"""),10750.0)</f>
        <v>10750</v>
      </c>
      <c r="C71" s="1">
        <f>IFERROR(__xludf.DUMMYFUNCTION("""COMPUTED_VALUE"""),10750.0)</f>
        <v>10750</v>
      </c>
      <c r="D71" s="1">
        <f>IFERROR(__xludf.DUMMYFUNCTION("""COMPUTED_VALUE"""),10550.0)</f>
        <v>10550</v>
      </c>
      <c r="E71" s="1">
        <f>IFERROR(__xludf.DUMMYFUNCTION("""COMPUTED_VALUE"""),10550.0)</f>
        <v>10550</v>
      </c>
      <c r="F71" s="1">
        <f>IFERROR(__xludf.DUMMYFUNCTION("""COMPUTED_VALUE"""),19648.0)</f>
        <v>19648</v>
      </c>
    </row>
    <row r="72">
      <c r="A72" s="2">
        <f>IFERROR(__xludf.DUMMYFUNCTION("""COMPUTED_VALUE"""),42957.64583333333)</f>
        <v>42957.64583</v>
      </c>
      <c r="B72" s="1">
        <f>IFERROR(__xludf.DUMMYFUNCTION("""COMPUTED_VALUE"""),10550.0)</f>
        <v>10550</v>
      </c>
      <c r="C72" s="1">
        <f>IFERROR(__xludf.DUMMYFUNCTION("""COMPUTED_VALUE"""),10687.5)</f>
        <v>10687.5</v>
      </c>
      <c r="D72" s="1">
        <f>IFERROR(__xludf.DUMMYFUNCTION("""COMPUTED_VALUE"""),10125.0)</f>
        <v>10125</v>
      </c>
      <c r="E72" s="1">
        <f>IFERROR(__xludf.DUMMYFUNCTION("""COMPUTED_VALUE"""),10525.0)</f>
        <v>10525</v>
      </c>
      <c r="F72" s="1">
        <f>IFERROR(__xludf.DUMMYFUNCTION("""COMPUTED_VALUE"""),47089.0)</f>
        <v>47089</v>
      </c>
    </row>
    <row r="73">
      <c r="A73" s="2">
        <f>IFERROR(__xludf.DUMMYFUNCTION("""COMPUTED_VALUE"""),42958.64583333333)</f>
        <v>42958.64583</v>
      </c>
      <c r="B73" s="1">
        <f>IFERROR(__xludf.DUMMYFUNCTION("""COMPUTED_VALUE"""),10362.5)</f>
        <v>10362.5</v>
      </c>
      <c r="C73" s="1">
        <f>IFERROR(__xludf.DUMMYFUNCTION("""COMPUTED_VALUE"""),10475.0)</f>
        <v>10475</v>
      </c>
      <c r="D73" s="1">
        <f>IFERROR(__xludf.DUMMYFUNCTION("""COMPUTED_VALUE"""),10112.5)</f>
        <v>10112.5</v>
      </c>
      <c r="E73" s="1">
        <f>IFERROR(__xludf.DUMMYFUNCTION("""COMPUTED_VALUE"""),10425.0)</f>
        <v>10425</v>
      </c>
      <c r="F73" s="1">
        <f>IFERROR(__xludf.DUMMYFUNCTION("""COMPUTED_VALUE"""),35460.0)</f>
        <v>35460</v>
      </c>
    </row>
    <row r="74">
      <c r="A74" s="2">
        <f>IFERROR(__xludf.DUMMYFUNCTION("""COMPUTED_VALUE"""),42961.64583333333)</f>
        <v>42961.64583</v>
      </c>
      <c r="B74" s="1">
        <f>IFERROR(__xludf.DUMMYFUNCTION("""COMPUTED_VALUE"""),10475.0)</f>
        <v>10475</v>
      </c>
      <c r="C74" s="1">
        <f>IFERROR(__xludf.DUMMYFUNCTION("""COMPUTED_VALUE"""),10750.0)</f>
        <v>10750</v>
      </c>
      <c r="D74" s="1">
        <f>IFERROR(__xludf.DUMMYFUNCTION("""COMPUTED_VALUE"""),10350.0)</f>
        <v>10350</v>
      </c>
      <c r="E74" s="1">
        <f>IFERROR(__xludf.DUMMYFUNCTION("""COMPUTED_VALUE"""),10362.5)</f>
        <v>10362.5</v>
      </c>
      <c r="F74" s="1">
        <f>IFERROR(__xludf.DUMMYFUNCTION("""COMPUTED_VALUE"""),26257.0)</f>
        <v>26257</v>
      </c>
    </row>
    <row r="75">
      <c r="A75" s="2">
        <f>IFERROR(__xludf.DUMMYFUNCTION("""COMPUTED_VALUE"""),42963.64583333333)</f>
        <v>42963.64583</v>
      </c>
      <c r="B75" s="1">
        <f>IFERROR(__xludf.DUMMYFUNCTION("""COMPUTED_VALUE"""),10625.0)</f>
        <v>10625</v>
      </c>
      <c r="C75" s="1">
        <f>IFERROR(__xludf.DUMMYFUNCTION("""COMPUTED_VALUE"""),10800.0)</f>
        <v>10800</v>
      </c>
      <c r="D75" s="1">
        <f>IFERROR(__xludf.DUMMYFUNCTION("""COMPUTED_VALUE"""),10375.0)</f>
        <v>10375</v>
      </c>
      <c r="E75" s="1">
        <f>IFERROR(__xludf.DUMMYFUNCTION("""COMPUTED_VALUE"""),10425.0)</f>
        <v>10425</v>
      </c>
      <c r="F75" s="1">
        <f>IFERROR(__xludf.DUMMYFUNCTION("""COMPUTED_VALUE"""),48879.0)</f>
        <v>48879</v>
      </c>
    </row>
    <row r="76">
      <c r="A76" s="2">
        <f>IFERROR(__xludf.DUMMYFUNCTION("""COMPUTED_VALUE"""),42964.64583333333)</f>
        <v>42964.64583</v>
      </c>
      <c r="B76" s="1">
        <f>IFERROR(__xludf.DUMMYFUNCTION("""COMPUTED_VALUE"""),10462.5)</f>
        <v>10462.5</v>
      </c>
      <c r="C76" s="1">
        <f>IFERROR(__xludf.DUMMYFUNCTION("""COMPUTED_VALUE"""),10800.0)</f>
        <v>10800</v>
      </c>
      <c r="D76" s="1">
        <f>IFERROR(__xludf.DUMMYFUNCTION("""COMPUTED_VALUE"""),10450.0)</f>
        <v>10450</v>
      </c>
      <c r="E76" s="1">
        <f>IFERROR(__xludf.DUMMYFUNCTION("""COMPUTED_VALUE"""),10725.0)</f>
        <v>10725</v>
      </c>
      <c r="F76" s="1">
        <f>IFERROR(__xludf.DUMMYFUNCTION("""COMPUTED_VALUE"""),25017.0)</f>
        <v>25017</v>
      </c>
    </row>
    <row r="77">
      <c r="A77" s="2">
        <f>IFERROR(__xludf.DUMMYFUNCTION("""COMPUTED_VALUE"""),42965.64583333333)</f>
        <v>42965.64583</v>
      </c>
      <c r="B77" s="1">
        <f>IFERROR(__xludf.DUMMYFUNCTION("""COMPUTED_VALUE"""),10612.5)</f>
        <v>10612.5</v>
      </c>
      <c r="C77" s="1">
        <f>IFERROR(__xludf.DUMMYFUNCTION("""COMPUTED_VALUE"""),10900.0)</f>
        <v>10900</v>
      </c>
      <c r="D77" s="1">
        <f>IFERROR(__xludf.DUMMYFUNCTION("""COMPUTED_VALUE"""),10525.0)</f>
        <v>10525</v>
      </c>
      <c r="E77" s="1">
        <f>IFERROR(__xludf.DUMMYFUNCTION("""COMPUTED_VALUE"""),10737.5)</f>
        <v>10737.5</v>
      </c>
      <c r="F77" s="1">
        <f>IFERROR(__xludf.DUMMYFUNCTION("""COMPUTED_VALUE"""),35456.0)</f>
        <v>35456</v>
      </c>
    </row>
    <row r="78">
      <c r="A78" s="2">
        <f>IFERROR(__xludf.DUMMYFUNCTION("""COMPUTED_VALUE"""),42968.64583333333)</f>
        <v>42968.64583</v>
      </c>
      <c r="B78" s="1">
        <f>IFERROR(__xludf.DUMMYFUNCTION("""COMPUTED_VALUE"""),10887.5)</f>
        <v>10887.5</v>
      </c>
      <c r="C78" s="1">
        <f>IFERROR(__xludf.DUMMYFUNCTION("""COMPUTED_VALUE"""),10887.5)</f>
        <v>10887.5</v>
      </c>
      <c r="D78" s="1">
        <f>IFERROR(__xludf.DUMMYFUNCTION("""COMPUTED_VALUE"""),10662.5)</f>
        <v>10662.5</v>
      </c>
      <c r="E78" s="1">
        <f>IFERROR(__xludf.DUMMYFUNCTION("""COMPUTED_VALUE"""),10762.5)</f>
        <v>10762.5</v>
      </c>
      <c r="F78" s="1">
        <f>IFERROR(__xludf.DUMMYFUNCTION("""COMPUTED_VALUE"""),19202.0)</f>
        <v>19202</v>
      </c>
    </row>
    <row r="79">
      <c r="A79" s="2">
        <f>IFERROR(__xludf.DUMMYFUNCTION("""COMPUTED_VALUE"""),42969.64583333333)</f>
        <v>42969.64583</v>
      </c>
      <c r="B79" s="1">
        <f>IFERROR(__xludf.DUMMYFUNCTION("""COMPUTED_VALUE"""),10725.0)</f>
        <v>10725</v>
      </c>
      <c r="C79" s="1">
        <f>IFERROR(__xludf.DUMMYFUNCTION("""COMPUTED_VALUE"""),10912.5)</f>
        <v>10912.5</v>
      </c>
      <c r="D79" s="1">
        <f>IFERROR(__xludf.DUMMYFUNCTION("""COMPUTED_VALUE"""),10637.5)</f>
        <v>10637.5</v>
      </c>
      <c r="E79" s="1">
        <f>IFERROR(__xludf.DUMMYFUNCTION("""COMPUTED_VALUE"""),10637.5)</f>
        <v>10637.5</v>
      </c>
      <c r="F79" s="1">
        <f>IFERROR(__xludf.DUMMYFUNCTION("""COMPUTED_VALUE"""),26776.0)</f>
        <v>26776</v>
      </c>
    </row>
    <row r="80">
      <c r="A80" s="2">
        <f>IFERROR(__xludf.DUMMYFUNCTION("""COMPUTED_VALUE"""),42970.64583333333)</f>
        <v>42970.64583</v>
      </c>
      <c r="B80" s="1">
        <f>IFERROR(__xludf.DUMMYFUNCTION("""COMPUTED_VALUE"""),10687.5)</f>
        <v>10687.5</v>
      </c>
      <c r="C80" s="1">
        <f>IFERROR(__xludf.DUMMYFUNCTION("""COMPUTED_VALUE"""),10900.0)</f>
        <v>10900</v>
      </c>
      <c r="D80" s="1">
        <f>IFERROR(__xludf.DUMMYFUNCTION("""COMPUTED_VALUE"""),10437.5)</f>
        <v>10437.5</v>
      </c>
      <c r="E80" s="1">
        <f>IFERROR(__xludf.DUMMYFUNCTION("""COMPUTED_VALUE"""),10500.0)</f>
        <v>10500</v>
      </c>
      <c r="F80" s="1">
        <f>IFERROR(__xludf.DUMMYFUNCTION("""COMPUTED_VALUE"""),25646.0)</f>
        <v>25646</v>
      </c>
    </row>
    <row r="81">
      <c r="A81" s="2">
        <f>IFERROR(__xludf.DUMMYFUNCTION("""COMPUTED_VALUE"""),42971.64583333333)</f>
        <v>42971.64583</v>
      </c>
      <c r="B81" s="1">
        <f>IFERROR(__xludf.DUMMYFUNCTION("""COMPUTED_VALUE"""),10487.5)</f>
        <v>10487.5</v>
      </c>
      <c r="C81" s="1">
        <f>IFERROR(__xludf.DUMMYFUNCTION("""COMPUTED_VALUE"""),10762.5)</f>
        <v>10762.5</v>
      </c>
      <c r="D81" s="1">
        <f>IFERROR(__xludf.DUMMYFUNCTION("""COMPUTED_VALUE"""),10225.0)</f>
        <v>10225</v>
      </c>
      <c r="E81" s="1">
        <f>IFERROR(__xludf.DUMMYFUNCTION("""COMPUTED_VALUE"""),10725.0)</f>
        <v>10725</v>
      </c>
      <c r="F81" s="1">
        <f>IFERROR(__xludf.DUMMYFUNCTION("""COMPUTED_VALUE"""),54869.0)</f>
        <v>54869</v>
      </c>
    </row>
    <row r="82">
      <c r="A82" s="2">
        <f>IFERROR(__xludf.DUMMYFUNCTION("""COMPUTED_VALUE"""),42972.64583333333)</f>
        <v>42972.64583</v>
      </c>
      <c r="B82" s="1">
        <f>IFERROR(__xludf.DUMMYFUNCTION("""COMPUTED_VALUE"""),10725.0)</f>
        <v>10725</v>
      </c>
      <c r="C82" s="1">
        <f>IFERROR(__xludf.DUMMYFUNCTION("""COMPUTED_VALUE"""),11112.5)</f>
        <v>11112.5</v>
      </c>
      <c r="D82" s="1">
        <f>IFERROR(__xludf.DUMMYFUNCTION("""COMPUTED_VALUE"""),10550.0)</f>
        <v>10550</v>
      </c>
      <c r="E82" s="1">
        <f>IFERROR(__xludf.DUMMYFUNCTION("""COMPUTED_VALUE"""),11075.0)</f>
        <v>11075</v>
      </c>
      <c r="F82" s="1">
        <f>IFERROR(__xludf.DUMMYFUNCTION("""COMPUTED_VALUE"""),41322.0)</f>
        <v>41322</v>
      </c>
    </row>
    <row r="83">
      <c r="A83" s="2">
        <f>IFERROR(__xludf.DUMMYFUNCTION("""COMPUTED_VALUE"""),42975.64583333333)</f>
        <v>42975.64583</v>
      </c>
      <c r="B83" s="1">
        <f>IFERROR(__xludf.DUMMYFUNCTION("""COMPUTED_VALUE"""),11037.5)</f>
        <v>11037.5</v>
      </c>
      <c r="C83" s="1">
        <f>IFERROR(__xludf.DUMMYFUNCTION("""COMPUTED_VALUE"""),11112.5)</f>
        <v>11112.5</v>
      </c>
      <c r="D83" s="1">
        <f>IFERROR(__xludf.DUMMYFUNCTION("""COMPUTED_VALUE"""),10825.0)</f>
        <v>10825</v>
      </c>
      <c r="E83" s="1">
        <f>IFERROR(__xludf.DUMMYFUNCTION("""COMPUTED_VALUE"""),10900.0)</f>
        <v>10900</v>
      </c>
      <c r="F83" s="1">
        <f>IFERROR(__xludf.DUMMYFUNCTION("""COMPUTED_VALUE"""),25365.0)</f>
        <v>25365</v>
      </c>
    </row>
    <row r="84">
      <c r="A84" s="2">
        <f>IFERROR(__xludf.DUMMYFUNCTION("""COMPUTED_VALUE"""),42976.64583333333)</f>
        <v>42976.64583</v>
      </c>
      <c r="B84" s="1">
        <f>IFERROR(__xludf.DUMMYFUNCTION("""COMPUTED_VALUE"""),10887.5)</f>
        <v>10887.5</v>
      </c>
      <c r="C84" s="1">
        <f>IFERROR(__xludf.DUMMYFUNCTION("""COMPUTED_VALUE"""),11062.5)</f>
        <v>11062.5</v>
      </c>
      <c r="D84" s="1">
        <f>IFERROR(__xludf.DUMMYFUNCTION("""COMPUTED_VALUE"""),10662.5)</f>
        <v>10662.5</v>
      </c>
      <c r="E84" s="1">
        <f>IFERROR(__xludf.DUMMYFUNCTION("""COMPUTED_VALUE"""),11062.5)</f>
        <v>11062.5</v>
      </c>
      <c r="F84" s="1">
        <f>IFERROR(__xludf.DUMMYFUNCTION("""COMPUTED_VALUE"""),29535.0)</f>
        <v>29535</v>
      </c>
    </row>
    <row r="85">
      <c r="A85" s="2">
        <f>IFERROR(__xludf.DUMMYFUNCTION("""COMPUTED_VALUE"""),42977.64583333333)</f>
        <v>42977.64583</v>
      </c>
      <c r="B85" s="1">
        <f>IFERROR(__xludf.DUMMYFUNCTION("""COMPUTED_VALUE"""),11100.0)</f>
        <v>11100</v>
      </c>
      <c r="C85" s="1">
        <f>IFERROR(__xludf.DUMMYFUNCTION("""COMPUTED_VALUE"""),11675.0)</f>
        <v>11675</v>
      </c>
      <c r="D85" s="1">
        <f>IFERROR(__xludf.DUMMYFUNCTION("""COMPUTED_VALUE"""),11075.0)</f>
        <v>11075</v>
      </c>
      <c r="E85" s="1">
        <f>IFERROR(__xludf.DUMMYFUNCTION("""COMPUTED_VALUE"""),11625.0)</f>
        <v>11625</v>
      </c>
      <c r="F85" s="1">
        <f>IFERROR(__xludf.DUMMYFUNCTION("""COMPUTED_VALUE"""),58165.0)</f>
        <v>58165</v>
      </c>
    </row>
    <row r="86">
      <c r="A86" s="2">
        <f>IFERROR(__xludf.DUMMYFUNCTION("""COMPUTED_VALUE"""),42978.64583333333)</f>
        <v>42978.64583</v>
      </c>
      <c r="B86" s="1">
        <f>IFERROR(__xludf.DUMMYFUNCTION("""COMPUTED_VALUE"""),11750.0)</f>
        <v>11750</v>
      </c>
      <c r="C86" s="1">
        <f>IFERROR(__xludf.DUMMYFUNCTION("""COMPUTED_VALUE"""),12125.0)</f>
        <v>12125</v>
      </c>
      <c r="D86" s="1">
        <f>IFERROR(__xludf.DUMMYFUNCTION("""COMPUTED_VALUE"""),11550.0)</f>
        <v>11550</v>
      </c>
      <c r="E86" s="1">
        <f>IFERROR(__xludf.DUMMYFUNCTION("""COMPUTED_VALUE"""),12125.0)</f>
        <v>12125</v>
      </c>
      <c r="F86" s="1">
        <f>IFERROR(__xludf.DUMMYFUNCTION("""COMPUTED_VALUE"""),46858.0)</f>
        <v>46858</v>
      </c>
    </row>
    <row r="87">
      <c r="A87" s="2">
        <f>IFERROR(__xludf.DUMMYFUNCTION("""COMPUTED_VALUE"""),42979.64583333333)</f>
        <v>42979.64583</v>
      </c>
      <c r="B87" s="1">
        <f>IFERROR(__xludf.DUMMYFUNCTION("""COMPUTED_VALUE"""),12237.5)</f>
        <v>12237.5</v>
      </c>
      <c r="C87" s="1">
        <f>IFERROR(__xludf.DUMMYFUNCTION("""COMPUTED_VALUE"""),12237.5)</f>
        <v>12237.5</v>
      </c>
      <c r="D87" s="1">
        <f>IFERROR(__xludf.DUMMYFUNCTION("""COMPUTED_VALUE"""),11787.5)</f>
        <v>11787.5</v>
      </c>
      <c r="E87" s="1">
        <f>IFERROR(__xludf.DUMMYFUNCTION("""COMPUTED_VALUE"""),12050.0)</f>
        <v>12050</v>
      </c>
      <c r="F87" s="1">
        <f>IFERROR(__xludf.DUMMYFUNCTION("""COMPUTED_VALUE"""),45273.0)</f>
        <v>45273</v>
      </c>
    </row>
    <row r="88">
      <c r="A88" s="2">
        <f>IFERROR(__xludf.DUMMYFUNCTION("""COMPUTED_VALUE"""),42982.64583333333)</f>
        <v>42982.64583</v>
      </c>
      <c r="B88" s="1">
        <f>IFERROR(__xludf.DUMMYFUNCTION("""COMPUTED_VALUE"""),11525.0)</f>
        <v>11525</v>
      </c>
      <c r="C88" s="1">
        <f>IFERROR(__xludf.DUMMYFUNCTION("""COMPUTED_VALUE"""),12050.0)</f>
        <v>12050</v>
      </c>
      <c r="D88" s="1">
        <f>IFERROR(__xludf.DUMMYFUNCTION("""COMPUTED_VALUE"""),11525.0)</f>
        <v>11525</v>
      </c>
      <c r="E88" s="1">
        <f>IFERROR(__xludf.DUMMYFUNCTION("""COMPUTED_VALUE"""),11675.0)</f>
        <v>11675</v>
      </c>
      <c r="F88" s="1">
        <f>IFERROR(__xludf.DUMMYFUNCTION("""COMPUTED_VALUE"""),31982.0)</f>
        <v>31982</v>
      </c>
    </row>
    <row r="89">
      <c r="A89" s="2">
        <f>IFERROR(__xludf.DUMMYFUNCTION("""COMPUTED_VALUE"""),42983.64583333333)</f>
        <v>42983.64583</v>
      </c>
      <c r="B89" s="1">
        <f>IFERROR(__xludf.DUMMYFUNCTION("""COMPUTED_VALUE"""),11687.5)</f>
        <v>11687.5</v>
      </c>
      <c r="C89" s="1">
        <f>IFERROR(__xludf.DUMMYFUNCTION("""COMPUTED_VALUE"""),11787.5)</f>
        <v>11787.5</v>
      </c>
      <c r="D89" s="1">
        <f>IFERROR(__xludf.DUMMYFUNCTION("""COMPUTED_VALUE"""),11262.5)</f>
        <v>11262.5</v>
      </c>
      <c r="E89" s="1">
        <f>IFERROR(__xludf.DUMMYFUNCTION("""COMPUTED_VALUE"""),11350.0)</f>
        <v>11350</v>
      </c>
      <c r="F89" s="1">
        <f>IFERROR(__xludf.DUMMYFUNCTION("""COMPUTED_VALUE"""),35421.0)</f>
        <v>35421</v>
      </c>
    </row>
    <row r="90">
      <c r="A90" s="2">
        <f>IFERROR(__xludf.DUMMYFUNCTION("""COMPUTED_VALUE"""),42984.64583333333)</f>
        <v>42984.64583</v>
      </c>
      <c r="B90" s="1">
        <f>IFERROR(__xludf.DUMMYFUNCTION("""COMPUTED_VALUE"""),11350.0)</f>
        <v>11350</v>
      </c>
      <c r="C90" s="1">
        <f>IFERROR(__xludf.DUMMYFUNCTION("""COMPUTED_VALUE"""),11587.5)</f>
        <v>11587.5</v>
      </c>
      <c r="D90" s="1">
        <f>IFERROR(__xludf.DUMMYFUNCTION("""COMPUTED_VALUE"""),11200.0)</f>
        <v>11200</v>
      </c>
      <c r="E90" s="1">
        <f>IFERROR(__xludf.DUMMYFUNCTION("""COMPUTED_VALUE"""),11550.0)</f>
        <v>11550</v>
      </c>
      <c r="F90" s="1">
        <f>IFERROR(__xludf.DUMMYFUNCTION("""COMPUTED_VALUE"""),15565.0)</f>
        <v>15565</v>
      </c>
    </row>
    <row r="91">
      <c r="A91" s="2">
        <f>IFERROR(__xludf.DUMMYFUNCTION("""COMPUTED_VALUE"""),42985.64583333333)</f>
        <v>42985.64583</v>
      </c>
      <c r="B91" s="1">
        <f>IFERROR(__xludf.DUMMYFUNCTION("""COMPUTED_VALUE"""),11500.0)</f>
        <v>11500</v>
      </c>
      <c r="C91" s="1">
        <f>IFERROR(__xludf.DUMMYFUNCTION("""COMPUTED_VALUE"""),11937.5)</f>
        <v>11937.5</v>
      </c>
      <c r="D91" s="1">
        <f>IFERROR(__xludf.DUMMYFUNCTION("""COMPUTED_VALUE"""),11375.0)</f>
        <v>11375</v>
      </c>
      <c r="E91" s="1">
        <f>IFERROR(__xludf.DUMMYFUNCTION("""COMPUTED_VALUE"""),11637.5)</f>
        <v>11637.5</v>
      </c>
      <c r="F91" s="1">
        <f>IFERROR(__xludf.DUMMYFUNCTION("""COMPUTED_VALUE"""),16137.0)</f>
        <v>16137</v>
      </c>
    </row>
    <row r="92">
      <c r="A92" s="2">
        <f>IFERROR(__xludf.DUMMYFUNCTION("""COMPUTED_VALUE"""),42986.64583333333)</f>
        <v>42986.64583</v>
      </c>
      <c r="B92" s="1">
        <f>IFERROR(__xludf.DUMMYFUNCTION("""COMPUTED_VALUE"""),11637.5)</f>
        <v>11637.5</v>
      </c>
      <c r="C92" s="1">
        <f>IFERROR(__xludf.DUMMYFUNCTION("""COMPUTED_VALUE"""),12237.5)</f>
        <v>12237.5</v>
      </c>
      <c r="D92" s="1">
        <f>IFERROR(__xludf.DUMMYFUNCTION("""COMPUTED_VALUE"""),11600.0)</f>
        <v>11600</v>
      </c>
      <c r="E92" s="1">
        <f>IFERROR(__xludf.DUMMYFUNCTION("""COMPUTED_VALUE"""),11987.5)</f>
        <v>11987.5</v>
      </c>
      <c r="F92" s="1">
        <f>IFERROR(__xludf.DUMMYFUNCTION("""COMPUTED_VALUE"""),26629.0)</f>
        <v>26629</v>
      </c>
    </row>
    <row r="93">
      <c r="A93" s="2">
        <f>IFERROR(__xludf.DUMMYFUNCTION("""COMPUTED_VALUE"""),42989.64583333333)</f>
        <v>42989.64583</v>
      </c>
      <c r="B93" s="1">
        <f>IFERROR(__xludf.DUMMYFUNCTION("""COMPUTED_VALUE"""),12175.0)</f>
        <v>12175</v>
      </c>
      <c r="C93" s="1">
        <f>IFERROR(__xludf.DUMMYFUNCTION("""COMPUTED_VALUE"""),12175.0)</f>
        <v>12175</v>
      </c>
      <c r="D93" s="1">
        <f>IFERROR(__xludf.DUMMYFUNCTION("""COMPUTED_VALUE"""),11712.5)</f>
        <v>11712.5</v>
      </c>
      <c r="E93" s="1">
        <f>IFERROR(__xludf.DUMMYFUNCTION("""COMPUTED_VALUE"""),11975.0)</f>
        <v>11975</v>
      </c>
      <c r="F93" s="1">
        <f>IFERROR(__xludf.DUMMYFUNCTION("""COMPUTED_VALUE"""),32060.0)</f>
        <v>32060</v>
      </c>
    </row>
    <row r="94">
      <c r="A94" s="2">
        <f>IFERROR(__xludf.DUMMYFUNCTION("""COMPUTED_VALUE"""),42990.64583333333)</f>
        <v>42990.64583</v>
      </c>
      <c r="B94" s="1">
        <f>IFERROR(__xludf.DUMMYFUNCTION("""COMPUTED_VALUE"""),11975.0)</f>
        <v>11975</v>
      </c>
      <c r="C94" s="1">
        <f>IFERROR(__xludf.DUMMYFUNCTION("""COMPUTED_VALUE"""),12550.0)</f>
        <v>12550</v>
      </c>
      <c r="D94" s="1">
        <f>IFERROR(__xludf.DUMMYFUNCTION("""COMPUTED_VALUE"""),11875.0)</f>
        <v>11875</v>
      </c>
      <c r="E94" s="1">
        <f>IFERROR(__xludf.DUMMYFUNCTION("""COMPUTED_VALUE"""),12062.5)</f>
        <v>12062.5</v>
      </c>
      <c r="F94" s="1">
        <f>IFERROR(__xludf.DUMMYFUNCTION("""COMPUTED_VALUE"""),39719.0)</f>
        <v>39719</v>
      </c>
    </row>
    <row r="95">
      <c r="A95" s="2">
        <f>IFERROR(__xludf.DUMMYFUNCTION("""COMPUTED_VALUE"""),42991.64583333333)</f>
        <v>42991.64583</v>
      </c>
      <c r="B95" s="1">
        <f>IFERROR(__xludf.DUMMYFUNCTION("""COMPUTED_VALUE"""),12112.5)</f>
        <v>12112.5</v>
      </c>
      <c r="C95" s="1">
        <f>IFERROR(__xludf.DUMMYFUNCTION("""COMPUTED_VALUE"""),12250.0)</f>
        <v>12250</v>
      </c>
      <c r="D95" s="1">
        <f>IFERROR(__xludf.DUMMYFUNCTION("""COMPUTED_VALUE"""),12000.0)</f>
        <v>12000</v>
      </c>
      <c r="E95" s="1">
        <f>IFERROR(__xludf.DUMMYFUNCTION("""COMPUTED_VALUE"""),12050.0)</f>
        <v>12050</v>
      </c>
      <c r="F95" s="1">
        <f>IFERROR(__xludf.DUMMYFUNCTION("""COMPUTED_VALUE"""),18820.0)</f>
        <v>18820</v>
      </c>
    </row>
    <row r="96">
      <c r="A96" s="2">
        <f>IFERROR(__xludf.DUMMYFUNCTION("""COMPUTED_VALUE"""),42992.64583333333)</f>
        <v>42992.64583</v>
      </c>
      <c r="B96" s="1">
        <f>IFERROR(__xludf.DUMMYFUNCTION("""COMPUTED_VALUE"""),12137.5)</f>
        <v>12137.5</v>
      </c>
      <c r="C96" s="1">
        <f>IFERROR(__xludf.DUMMYFUNCTION("""COMPUTED_VALUE"""),12150.0)</f>
        <v>12150</v>
      </c>
      <c r="D96" s="1">
        <f>IFERROR(__xludf.DUMMYFUNCTION("""COMPUTED_VALUE"""),11625.0)</f>
        <v>11625</v>
      </c>
      <c r="E96" s="1">
        <f>IFERROR(__xludf.DUMMYFUNCTION("""COMPUTED_VALUE"""),11800.0)</f>
        <v>11800</v>
      </c>
      <c r="F96" s="1">
        <f>IFERROR(__xludf.DUMMYFUNCTION("""COMPUTED_VALUE"""),16462.0)</f>
        <v>16462</v>
      </c>
    </row>
    <row r="97">
      <c r="A97" s="2">
        <f>IFERROR(__xludf.DUMMYFUNCTION("""COMPUTED_VALUE"""),42993.64583333333)</f>
        <v>42993.64583</v>
      </c>
      <c r="B97" s="1">
        <f>IFERROR(__xludf.DUMMYFUNCTION("""COMPUTED_VALUE"""),11650.0)</f>
        <v>11650</v>
      </c>
      <c r="C97" s="1">
        <f>IFERROR(__xludf.DUMMYFUNCTION("""COMPUTED_VALUE"""),12000.0)</f>
        <v>12000</v>
      </c>
      <c r="D97" s="1">
        <f>IFERROR(__xludf.DUMMYFUNCTION("""COMPUTED_VALUE"""),11650.0)</f>
        <v>11650</v>
      </c>
      <c r="E97" s="1">
        <f>IFERROR(__xludf.DUMMYFUNCTION("""COMPUTED_VALUE"""),11875.0)</f>
        <v>11875</v>
      </c>
      <c r="F97" s="1">
        <f>IFERROR(__xludf.DUMMYFUNCTION("""COMPUTED_VALUE"""),13173.0)</f>
        <v>13173</v>
      </c>
    </row>
    <row r="98">
      <c r="A98" s="2">
        <f>IFERROR(__xludf.DUMMYFUNCTION("""COMPUTED_VALUE"""),42996.64583333333)</f>
        <v>42996.64583</v>
      </c>
      <c r="B98" s="1">
        <f>IFERROR(__xludf.DUMMYFUNCTION("""COMPUTED_VALUE"""),11875.0)</f>
        <v>11875</v>
      </c>
      <c r="C98" s="1">
        <f>IFERROR(__xludf.DUMMYFUNCTION("""COMPUTED_VALUE"""),12012.5)</f>
        <v>12012.5</v>
      </c>
      <c r="D98" s="1">
        <f>IFERROR(__xludf.DUMMYFUNCTION("""COMPUTED_VALUE"""),11837.5)</f>
        <v>11837.5</v>
      </c>
      <c r="E98" s="1">
        <f>IFERROR(__xludf.DUMMYFUNCTION("""COMPUTED_VALUE"""),11887.5)</f>
        <v>11887.5</v>
      </c>
      <c r="F98" s="1">
        <f>IFERROR(__xludf.DUMMYFUNCTION("""COMPUTED_VALUE"""),20496.0)</f>
        <v>20496</v>
      </c>
    </row>
    <row r="99">
      <c r="A99" s="2">
        <f>IFERROR(__xludf.DUMMYFUNCTION("""COMPUTED_VALUE"""),42997.64583333333)</f>
        <v>42997.64583</v>
      </c>
      <c r="B99" s="1">
        <f>IFERROR(__xludf.DUMMYFUNCTION("""COMPUTED_VALUE"""),11837.5)</f>
        <v>11837.5</v>
      </c>
      <c r="C99" s="1">
        <f>IFERROR(__xludf.DUMMYFUNCTION("""COMPUTED_VALUE"""),11900.0)</f>
        <v>11900</v>
      </c>
      <c r="D99" s="1">
        <f>IFERROR(__xludf.DUMMYFUNCTION("""COMPUTED_VALUE"""),11400.0)</f>
        <v>11400</v>
      </c>
      <c r="E99" s="1">
        <f>IFERROR(__xludf.DUMMYFUNCTION("""COMPUTED_VALUE"""),11637.5)</f>
        <v>11637.5</v>
      </c>
      <c r="F99" s="1">
        <f>IFERROR(__xludf.DUMMYFUNCTION("""COMPUTED_VALUE"""),21094.0)</f>
        <v>21094</v>
      </c>
    </row>
    <row r="100">
      <c r="A100" s="2">
        <f>IFERROR(__xludf.DUMMYFUNCTION("""COMPUTED_VALUE"""),42998.64583333333)</f>
        <v>42998.64583</v>
      </c>
      <c r="B100" s="1">
        <f>IFERROR(__xludf.DUMMYFUNCTION("""COMPUTED_VALUE"""),11637.5)</f>
        <v>11637.5</v>
      </c>
      <c r="C100" s="1">
        <f>IFERROR(__xludf.DUMMYFUNCTION("""COMPUTED_VALUE"""),11825.0)</f>
        <v>11825</v>
      </c>
      <c r="D100" s="1">
        <f>IFERROR(__xludf.DUMMYFUNCTION("""COMPUTED_VALUE"""),11475.0)</f>
        <v>11475</v>
      </c>
      <c r="E100" s="1">
        <f>IFERROR(__xludf.DUMMYFUNCTION("""COMPUTED_VALUE"""),11550.0)</f>
        <v>11550</v>
      </c>
      <c r="F100" s="1">
        <f>IFERROR(__xludf.DUMMYFUNCTION("""COMPUTED_VALUE"""),7644.0)</f>
        <v>7644</v>
      </c>
    </row>
    <row r="101">
      <c r="A101" s="2">
        <f>IFERROR(__xludf.DUMMYFUNCTION("""COMPUTED_VALUE"""),42999.64583333333)</f>
        <v>42999.64583</v>
      </c>
      <c r="B101" s="1">
        <f>IFERROR(__xludf.DUMMYFUNCTION("""COMPUTED_VALUE"""),11850.0)</f>
        <v>11850</v>
      </c>
      <c r="C101" s="1">
        <f>IFERROR(__xludf.DUMMYFUNCTION("""COMPUTED_VALUE"""),11850.0)</f>
        <v>11850</v>
      </c>
      <c r="D101" s="1">
        <f>IFERROR(__xludf.DUMMYFUNCTION("""COMPUTED_VALUE"""),11362.5)</f>
        <v>11362.5</v>
      </c>
      <c r="E101" s="1">
        <f>IFERROR(__xludf.DUMMYFUNCTION("""COMPUTED_VALUE"""),11437.5)</f>
        <v>11437.5</v>
      </c>
      <c r="F101" s="1">
        <f>IFERROR(__xludf.DUMMYFUNCTION("""COMPUTED_VALUE"""),18492.0)</f>
        <v>18492</v>
      </c>
    </row>
    <row r="102">
      <c r="A102" s="2">
        <f>IFERROR(__xludf.DUMMYFUNCTION("""COMPUTED_VALUE"""),43000.64583333333)</f>
        <v>43000.64583</v>
      </c>
      <c r="B102" s="1">
        <f>IFERROR(__xludf.DUMMYFUNCTION("""COMPUTED_VALUE"""),11525.0)</f>
        <v>11525</v>
      </c>
      <c r="C102" s="1">
        <f>IFERROR(__xludf.DUMMYFUNCTION("""COMPUTED_VALUE"""),11612.5)</f>
        <v>11612.5</v>
      </c>
      <c r="D102" s="1">
        <f>IFERROR(__xludf.DUMMYFUNCTION("""COMPUTED_VALUE"""),11062.5)</f>
        <v>11062.5</v>
      </c>
      <c r="E102" s="1">
        <f>IFERROR(__xludf.DUMMYFUNCTION("""COMPUTED_VALUE"""),11137.5)</f>
        <v>11137.5</v>
      </c>
      <c r="F102" s="1">
        <f>IFERROR(__xludf.DUMMYFUNCTION("""COMPUTED_VALUE"""),18184.0)</f>
        <v>18184</v>
      </c>
    </row>
    <row r="103">
      <c r="A103" s="2">
        <f>IFERROR(__xludf.DUMMYFUNCTION("""COMPUTED_VALUE"""),43003.64583333333)</f>
        <v>43003.64583</v>
      </c>
      <c r="B103" s="1">
        <f>IFERROR(__xludf.DUMMYFUNCTION("""COMPUTED_VALUE"""),11012.5)</f>
        <v>11012.5</v>
      </c>
      <c r="C103" s="1">
        <f>IFERROR(__xludf.DUMMYFUNCTION("""COMPUTED_VALUE"""),11537.5)</f>
        <v>11537.5</v>
      </c>
      <c r="D103" s="1">
        <f>IFERROR(__xludf.DUMMYFUNCTION("""COMPUTED_VALUE"""),10662.5)</f>
        <v>10662.5</v>
      </c>
      <c r="E103" s="1">
        <f>IFERROR(__xludf.DUMMYFUNCTION("""COMPUTED_VALUE"""),10812.5)</f>
        <v>10812.5</v>
      </c>
      <c r="F103" s="1">
        <f>IFERROR(__xludf.DUMMYFUNCTION("""COMPUTED_VALUE"""),17385.0)</f>
        <v>17385</v>
      </c>
    </row>
    <row r="104">
      <c r="A104" s="2">
        <f>IFERROR(__xludf.DUMMYFUNCTION("""COMPUTED_VALUE"""),43004.64583333333)</f>
        <v>43004.64583</v>
      </c>
      <c r="B104" s="1">
        <f>IFERROR(__xludf.DUMMYFUNCTION("""COMPUTED_VALUE"""),10575.0)</f>
        <v>10575</v>
      </c>
      <c r="C104" s="1">
        <f>IFERROR(__xludf.DUMMYFUNCTION("""COMPUTED_VALUE"""),11000.0)</f>
        <v>11000</v>
      </c>
      <c r="D104" s="1">
        <f>IFERROR(__xludf.DUMMYFUNCTION("""COMPUTED_VALUE"""),10575.0)</f>
        <v>10575</v>
      </c>
      <c r="E104" s="1">
        <f>IFERROR(__xludf.DUMMYFUNCTION("""COMPUTED_VALUE"""),10937.5)</f>
        <v>10937.5</v>
      </c>
      <c r="F104" s="1">
        <f>IFERROR(__xludf.DUMMYFUNCTION("""COMPUTED_VALUE"""),8224.0)</f>
        <v>8224</v>
      </c>
    </row>
    <row r="105">
      <c r="A105" s="2">
        <f>IFERROR(__xludf.DUMMYFUNCTION("""COMPUTED_VALUE"""),43005.64583333333)</f>
        <v>43005.64583</v>
      </c>
      <c r="B105" s="1">
        <f>IFERROR(__xludf.DUMMYFUNCTION("""COMPUTED_VALUE"""),10937.5)</f>
        <v>10937.5</v>
      </c>
      <c r="C105" s="1">
        <f>IFERROR(__xludf.DUMMYFUNCTION("""COMPUTED_VALUE"""),11112.5)</f>
        <v>11112.5</v>
      </c>
      <c r="D105" s="1">
        <f>IFERROR(__xludf.DUMMYFUNCTION("""COMPUTED_VALUE"""),10750.0)</f>
        <v>10750</v>
      </c>
      <c r="E105" s="1">
        <f>IFERROR(__xludf.DUMMYFUNCTION("""COMPUTED_VALUE"""),11000.0)</f>
        <v>11000</v>
      </c>
      <c r="F105" s="1">
        <f>IFERROR(__xludf.DUMMYFUNCTION("""COMPUTED_VALUE"""),15428.0)</f>
        <v>15428</v>
      </c>
    </row>
    <row r="106">
      <c r="A106" s="2">
        <f>IFERROR(__xludf.DUMMYFUNCTION("""COMPUTED_VALUE"""),43006.64583333333)</f>
        <v>43006.64583</v>
      </c>
      <c r="B106" s="1">
        <f>IFERROR(__xludf.DUMMYFUNCTION("""COMPUTED_VALUE"""),11125.0)</f>
        <v>11125</v>
      </c>
      <c r="C106" s="1">
        <f>IFERROR(__xludf.DUMMYFUNCTION("""COMPUTED_VALUE"""),11125.0)</f>
        <v>11125</v>
      </c>
      <c r="D106" s="1">
        <f>IFERROR(__xludf.DUMMYFUNCTION("""COMPUTED_VALUE"""),10650.0)</f>
        <v>10650</v>
      </c>
      <c r="E106" s="1">
        <f>IFERROR(__xludf.DUMMYFUNCTION("""COMPUTED_VALUE"""),10700.0)</f>
        <v>10700</v>
      </c>
      <c r="F106" s="1">
        <f>IFERROR(__xludf.DUMMYFUNCTION("""COMPUTED_VALUE"""),11525.0)</f>
        <v>11525</v>
      </c>
    </row>
    <row r="107">
      <c r="A107" s="2">
        <f>IFERROR(__xludf.DUMMYFUNCTION("""COMPUTED_VALUE"""),43007.64583333333)</f>
        <v>43007.64583</v>
      </c>
      <c r="B107" s="1">
        <f>IFERROR(__xludf.DUMMYFUNCTION("""COMPUTED_VALUE"""),10700.0)</f>
        <v>10700</v>
      </c>
      <c r="C107" s="1">
        <f>IFERROR(__xludf.DUMMYFUNCTION("""COMPUTED_VALUE"""),10875.0)</f>
        <v>10875</v>
      </c>
      <c r="D107" s="1">
        <f>IFERROR(__xludf.DUMMYFUNCTION("""COMPUTED_VALUE"""),10662.5)</f>
        <v>10662.5</v>
      </c>
      <c r="E107" s="1">
        <f>IFERROR(__xludf.DUMMYFUNCTION("""COMPUTED_VALUE"""),10875.0)</f>
        <v>10875</v>
      </c>
      <c r="F107" s="1">
        <f>IFERROR(__xludf.DUMMYFUNCTION("""COMPUTED_VALUE"""),14058.0)</f>
        <v>14058</v>
      </c>
    </row>
    <row r="108">
      <c r="A108" s="2">
        <f>IFERROR(__xludf.DUMMYFUNCTION("""COMPUTED_VALUE"""),43018.64583333333)</f>
        <v>43018.64583</v>
      </c>
      <c r="B108" s="1">
        <f>IFERROR(__xludf.DUMMYFUNCTION("""COMPUTED_VALUE"""),10762.5)</f>
        <v>10762.5</v>
      </c>
      <c r="C108" s="1">
        <f>IFERROR(__xludf.DUMMYFUNCTION("""COMPUTED_VALUE"""),10937.5)</f>
        <v>10937.5</v>
      </c>
      <c r="D108" s="1">
        <f>IFERROR(__xludf.DUMMYFUNCTION("""COMPUTED_VALUE"""),10587.5)</f>
        <v>10587.5</v>
      </c>
      <c r="E108" s="1">
        <f>IFERROR(__xludf.DUMMYFUNCTION("""COMPUTED_VALUE"""),10625.0)</f>
        <v>10625</v>
      </c>
      <c r="F108" s="1">
        <f>IFERROR(__xludf.DUMMYFUNCTION("""COMPUTED_VALUE"""),14923.0)</f>
        <v>14923</v>
      </c>
    </row>
    <row r="109">
      <c r="A109" s="2">
        <f>IFERROR(__xludf.DUMMYFUNCTION("""COMPUTED_VALUE"""),43019.64583333333)</f>
        <v>43019.64583</v>
      </c>
      <c r="B109" s="1">
        <f>IFERROR(__xludf.DUMMYFUNCTION("""COMPUTED_VALUE"""),10875.0)</f>
        <v>10875</v>
      </c>
      <c r="C109" s="1">
        <f>IFERROR(__xludf.DUMMYFUNCTION("""COMPUTED_VALUE"""),11250.0)</f>
        <v>11250</v>
      </c>
      <c r="D109" s="1">
        <f>IFERROR(__xludf.DUMMYFUNCTION("""COMPUTED_VALUE"""),10625.0)</f>
        <v>10625</v>
      </c>
      <c r="E109" s="1">
        <f>IFERROR(__xludf.DUMMYFUNCTION("""COMPUTED_VALUE"""),10887.5)</f>
        <v>10887.5</v>
      </c>
      <c r="F109" s="1">
        <f>IFERROR(__xludf.DUMMYFUNCTION("""COMPUTED_VALUE"""),12938.0)</f>
        <v>12938</v>
      </c>
    </row>
    <row r="110">
      <c r="A110" s="2">
        <f>IFERROR(__xludf.DUMMYFUNCTION("""COMPUTED_VALUE"""),43020.64583333333)</f>
        <v>43020.64583</v>
      </c>
      <c r="B110" s="1">
        <f>IFERROR(__xludf.DUMMYFUNCTION("""COMPUTED_VALUE"""),10925.0)</f>
        <v>10925</v>
      </c>
      <c r="C110" s="1">
        <f>IFERROR(__xludf.DUMMYFUNCTION("""COMPUTED_VALUE"""),11337.5)</f>
        <v>11337.5</v>
      </c>
      <c r="D110" s="1">
        <f>IFERROR(__xludf.DUMMYFUNCTION("""COMPUTED_VALUE"""),10887.5)</f>
        <v>10887.5</v>
      </c>
      <c r="E110" s="1">
        <f>IFERROR(__xludf.DUMMYFUNCTION("""COMPUTED_VALUE"""),11100.0)</f>
        <v>11100</v>
      </c>
      <c r="F110" s="1">
        <f>IFERROR(__xludf.DUMMYFUNCTION("""COMPUTED_VALUE"""),27589.0)</f>
        <v>27589</v>
      </c>
    </row>
    <row r="111">
      <c r="A111" s="2">
        <f>IFERROR(__xludf.DUMMYFUNCTION("""COMPUTED_VALUE"""),43021.64583333333)</f>
        <v>43021.64583</v>
      </c>
      <c r="B111" s="1">
        <f>IFERROR(__xludf.DUMMYFUNCTION("""COMPUTED_VALUE"""),11175.0)</f>
        <v>11175</v>
      </c>
      <c r="C111" s="1">
        <f>IFERROR(__xludf.DUMMYFUNCTION("""COMPUTED_VALUE"""),11250.0)</f>
        <v>11250</v>
      </c>
      <c r="D111" s="1">
        <f>IFERROR(__xludf.DUMMYFUNCTION("""COMPUTED_VALUE"""),10862.5)</f>
        <v>10862.5</v>
      </c>
      <c r="E111" s="1">
        <f>IFERROR(__xludf.DUMMYFUNCTION("""COMPUTED_VALUE"""),10950.0)</f>
        <v>10950</v>
      </c>
      <c r="F111" s="1">
        <f>IFERROR(__xludf.DUMMYFUNCTION("""COMPUTED_VALUE"""),17288.0)</f>
        <v>17288</v>
      </c>
    </row>
    <row r="112">
      <c r="A112" s="2">
        <f>IFERROR(__xludf.DUMMYFUNCTION("""COMPUTED_VALUE"""),43024.64583333333)</f>
        <v>43024.64583</v>
      </c>
      <c r="B112" s="1">
        <f>IFERROR(__xludf.DUMMYFUNCTION("""COMPUTED_VALUE"""),11075.0)</f>
        <v>11075</v>
      </c>
      <c r="C112" s="1">
        <f>IFERROR(__xludf.DUMMYFUNCTION("""COMPUTED_VALUE"""),11175.0)</f>
        <v>11175</v>
      </c>
      <c r="D112" s="1">
        <f>IFERROR(__xludf.DUMMYFUNCTION("""COMPUTED_VALUE"""),10425.0)</f>
        <v>10425</v>
      </c>
      <c r="E112" s="1">
        <f>IFERROR(__xludf.DUMMYFUNCTION("""COMPUTED_VALUE"""),10475.0)</f>
        <v>10475</v>
      </c>
      <c r="F112" s="1">
        <f>IFERROR(__xludf.DUMMYFUNCTION("""COMPUTED_VALUE"""),18199.0)</f>
        <v>18199</v>
      </c>
    </row>
    <row r="113">
      <c r="A113" s="2">
        <f>IFERROR(__xludf.DUMMYFUNCTION("""COMPUTED_VALUE"""),43025.64583333333)</f>
        <v>43025.64583</v>
      </c>
      <c r="B113" s="1">
        <f>IFERROR(__xludf.DUMMYFUNCTION("""COMPUTED_VALUE"""),10375.0)</f>
        <v>10375</v>
      </c>
      <c r="C113" s="1">
        <f>IFERROR(__xludf.DUMMYFUNCTION("""COMPUTED_VALUE"""),10587.5)</f>
        <v>10587.5</v>
      </c>
      <c r="D113" s="1">
        <f>IFERROR(__xludf.DUMMYFUNCTION("""COMPUTED_VALUE"""),10137.5)</f>
        <v>10137.5</v>
      </c>
      <c r="E113" s="1">
        <f>IFERROR(__xludf.DUMMYFUNCTION("""COMPUTED_VALUE"""),10350.0)</f>
        <v>10350</v>
      </c>
      <c r="F113" s="1">
        <f>IFERROR(__xludf.DUMMYFUNCTION("""COMPUTED_VALUE"""),27757.0)</f>
        <v>27757</v>
      </c>
    </row>
    <row r="114">
      <c r="A114" s="2">
        <f>IFERROR(__xludf.DUMMYFUNCTION("""COMPUTED_VALUE"""),43026.64583333333)</f>
        <v>43026.64583</v>
      </c>
      <c r="B114" s="1">
        <f>IFERROR(__xludf.DUMMYFUNCTION("""COMPUTED_VALUE"""),10400.0)</f>
        <v>10400</v>
      </c>
      <c r="C114" s="1">
        <f>IFERROR(__xludf.DUMMYFUNCTION("""COMPUTED_VALUE"""),10400.0)</f>
        <v>10400</v>
      </c>
      <c r="D114" s="1">
        <f>IFERROR(__xludf.DUMMYFUNCTION("""COMPUTED_VALUE"""),10062.5)</f>
        <v>10062.5</v>
      </c>
      <c r="E114" s="1">
        <f>IFERROR(__xludf.DUMMYFUNCTION("""COMPUTED_VALUE"""),10362.5)</f>
        <v>10362.5</v>
      </c>
      <c r="F114" s="1">
        <f>IFERROR(__xludf.DUMMYFUNCTION("""COMPUTED_VALUE"""),14047.0)</f>
        <v>14047</v>
      </c>
    </row>
    <row r="115">
      <c r="A115" s="2">
        <f>IFERROR(__xludf.DUMMYFUNCTION("""COMPUTED_VALUE"""),43027.64583333333)</f>
        <v>43027.64583</v>
      </c>
      <c r="B115" s="1">
        <f>IFERROR(__xludf.DUMMYFUNCTION("""COMPUTED_VALUE"""),10350.0)</f>
        <v>10350</v>
      </c>
      <c r="C115" s="1">
        <f>IFERROR(__xludf.DUMMYFUNCTION("""COMPUTED_VALUE"""),10462.5)</f>
        <v>10462.5</v>
      </c>
      <c r="D115" s="1">
        <f>IFERROR(__xludf.DUMMYFUNCTION("""COMPUTED_VALUE"""),10175.0)</f>
        <v>10175</v>
      </c>
      <c r="E115" s="1">
        <f>IFERROR(__xludf.DUMMYFUNCTION("""COMPUTED_VALUE"""),10437.5)</f>
        <v>10437.5</v>
      </c>
      <c r="F115" s="1">
        <f>IFERROR(__xludf.DUMMYFUNCTION("""COMPUTED_VALUE"""),7389.0)</f>
        <v>7389</v>
      </c>
    </row>
    <row r="116">
      <c r="A116" s="2">
        <f>IFERROR(__xludf.DUMMYFUNCTION("""COMPUTED_VALUE"""),43028.64583333333)</f>
        <v>43028.64583</v>
      </c>
      <c r="B116" s="1">
        <f>IFERROR(__xludf.DUMMYFUNCTION("""COMPUTED_VALUE"""),10437.5)</f>
        <v>10437.5</v>
      </c>
      <c r="C116" s="1">
        <f>IFERROR(__xludf.DUMMYFUNCTION("""COMPUTED_VALUE"""),10437.5)</f>
        <v>10437.5</v>
      </c>
      <c r="D116" s="1">
        <f>IFERROR(__xludf.DUMMYFUNCTION("""COMPUTED_VALUE"""),10275.0)</f>
        <v>10275</v>
      </c>
      <c r="E116" s="1">
        <f>IFERROR(__xludf.DUMMYFUNCTION("""COMPUTED_VALUE"""),10400.0)</f>
        <v>10400</v>
      </c>
      <c r="F116" s="1">
        <f>IFERROR(__xludf.DUMMYFUNCTION("""COMPUTED_VALUE"""),4290.0)</f>
        <v>4290</v>
      </c>
    </row>
    <row r="117">
      <c r="A117" s="2">
        <f>IFERROR(__xludf.DUMMYFUNCTION("""COMPUTED_VALUE"""),43031.64583333333)</f>
        <v>43031.64583</v>
      </c>
      <c r="B117" s="1">
        <f>IFERROR(__xludf.DUMMYFUNCTION("""COMPUTED_VALUE"""),10300.0)</f>
        <v>10300</v>
      </c>
      <c r="C117" s="1">
        <f>IFERROR(__xludf.DUMMYFUNCTION("""COMPUTED_VALUE"""),10375.0)</f>
        <v>10375</v>
      </c>
      <c r="D117" s="1">
        <f>IFERROR(__xludf.DUMMYFUNCTION("""COMPUTED_VALUE"""),10050.0)</f>
        <v>10050</v>
      </c>
      <c r="E117" s="1">
        <f>IFERROR(__xludf.DUMMYFUNCTION("""COMPUTED_VALUE"""),10237.5)</f>
        <v>10237.5</v>
      </c>
      <c r="F117" s="1">
        <f>IFERROR(__xludf.DUMMYFUNCTION("""COMPUTED_VALUE"""),26038.0)</f>
        <v>26038</v>
      </c>
    </row>
    <row r="118">
      <c r="A118" s="2">
        <f>IFERROR(__xludf.DUMMYFUNCTION("""COMPUTED_VALUE"""),43032.64583333333)</f>
        <v>43032.64583</v>
      </c>
      <c r="B118" s="1">
        <f>IFERROR(__xludf.DUMMYFUNCTION("""COMPUTED_VALUE"""),10237.5)</f>
        <v>10237.5</v>
      </c>
      <c r="C118" s="1">
        <f>IFERROR(__xludf.DUMMYFUNCTION("""COMPUTED_VALUE"""),10350.0)</f>
        <v>10350</v>
      </c>
      <c r="D118" s="1">
        <f>IFERROR(__xludf.DUMMYFUNCTION("""COMPUTED_VALUE"""),10175.0)</f>
        <v>10175</v>
      </c>
      <c r="E118" s="1">
        <f>IFERROR(__xludf.DUMMYFUNCTION("""COMPUTED_VALUE"""),10312.5)</f>
        <v>10312.5</v>
      </c>
      <c r="F118" s="1">
        <f>IFERROR(__xludf.DUMMYFUNCTION("""COMPUTED_VALUE"""),9344.0)</f>
        <v>9344</v>
      </c>
    </row>
    <row r="119">
      <c r="A119" s="2">
        <f>IFERROR(__xludf.DUMMYFUNCTION("""COMPUTED_VALUE"""),43033.64583333333)</f>
        <v>43033.64583</v>
      </c>
      <c r="B119" s="1">
        <f>IFERROR(__xludf.DUMMYFUNCTION("""COMPUTED_VALUE"""),10375.0)</f>
        <v>10375</v>
      </c>
      <c r="C119" s="1">
        <f>IFERROR(__xludf.DUMMYFUNCTION("""COMPUTED_VALUE"""),10637.5)</f>
        <v>10637.5</v>
      </c>
      <c r="D119" s="1">
        <f>IFERROR(__xludf.DUMMYFUNCTION("""COMPUTED_VALUE"""),10250.0)</f>
        <v>10250</v>
      </c>
      <c r="E119" s="1">
        <f>IFERROR(__xludf.DUMMYFUNCTION("""COMPUTED_VALUE"""),10575.0)</f>
        <v>10575</v>
      </c>
      <c r="F119" s="1">
        <f>IFERROR(__xludf.DUMMYFUNCTION("""COMPUTED_VALUE"""),19555.0)</f>
        <v>19555</v>
      </c>
    </row>
    <row r="120">
      <c r="A120" s="2">
        <f>IFERROR(__xludf.DUMMYFUNCTION("""COMPUTED_VALUE"""),43034.64583333333)</f>
        <v>43034.64583</v>
      </c>
      <c r="B120" s="1">
        <f>IFERROR(__xludf.DUMMYFUNCTION("""COMPUTED_VALUE"""),10500.0)</f>
        <v>10500</v>
      </c>
      <c r="C120" s="1">
        <f>IFERROR(__xludf.DUMMYFUNCTION("""COMPUTED_VALUE"""),10900.0)</f>
        <v>10900</v>
      </c>
      <c r="D120" s="1">
        <f>IFERROR(__xludf.DUMMYFUNCTION("""COMPUTED_VALUE"""),10175.0)</f>
        <v>10175</v>
      </c>
      <c r="E120" s="1">
        <f>IFERROR(__xludf.DUMMYFUNCTION("""COMPUTED_VALUE"""),10325.0)</f>
        <v>10325</v>
      </c>
      <c r="F120" s="1">
        <f>IFERROR(__xludf.DUMMYFUNCTION("""COMPUTED_VALUE"""),27009.0)</f>
        <v>27009</v>
      </c>
    </row>
    <row r="121">
      <c r="A121" s="2">
        <f>IFERROR(__xludf.DUMMYFUNCTION("""COMPUTED_VALUE"""),43035.64583333333)</f>
        <v>43035.64583</v>
      </c>
      <c r="B121" s="1">
        <f>IFERROR(__xludf.DUMMYFUNCTION("""COMPUTED_VALUE"""),10325.0)</f>
        <v>10325</v>
      </c>
      <c r="C121" s="1">
        <f>IFERROR(__xludf.DUMMYFUNCTION("""COMPUTED_VALUE"""),10550.0)</f>
        <v>10550</v>
      </c>
      <c r="D121" s="1">
        <f>IFERROR(__xludf.DUMMYFUNCTION("""COMPUTED_VALUE"""),10000.0)</f>
        <v>10000</v>
      </c>
      <c r="E121" s="1">
        <f>IFERROR(__xludf.DUMMYFUNCTION("""COMPUTED_VALUE"""),10300.0)</f>
        <v>10300</v>
      </c>
      <c r="F121" s="1">
        <f>IFERROR(__xludf.DUMMYFUNCTION("""COMPUTED_VALUE"""),44520.0)</f>
        <v>44520</v>
      </c>
    </row>
    <row r="122">
      <c r="A122" s="2">
        <f>IFERROR(__xludf.DUMMYFUNCTION("""COMPUTED_VALUE"""),43038.64583333333)</f>
        <v>43038.64583</v>
      </c>
      <c r="B122" s="1">
        <f>IFERROR(__xludf.DUMMYFUNCTION("""COMPUTED_VALUE"""),10200.0)</f>
        <v>10200</v>
      </c>
      <c r="C122" s="1">
        <f>IFERROR(__xludf.DUMMYFUNCTION("""COMPUTED_VALUE"""),10537.5)</f>
        <v>10537.5</v>
      </c>
      <c r="D122" s="1">
        <f>IFERROR(__xludf.DUMMYFUNCTION("""COMPUTED_VALUE"""),10150.0)</f>
        <v>10150</v>
      </c>
      <c r="E122" s="1">
        <f>IFERROR(__xludf.DUMMYFUNCTION("""COMPUTED_VALUE"""),10225.0)</f>
        <v>10225</v>
      </c>
      <c r="F122" s="1">
        <f>IFERROR(__xludf.DUMMYFUNCTION("""COMPUTED_VALUE"""),7856.0)</f>
        <v>7856</v>
      </c>
    </row>
    <row r="123">
      <c r="A123" s="2">
        <f>IFERROR(__xludf.DUMMYFUNCTION("""COMPUTED_VALUE"""),43039.64583333333)</f>
        <v>43039.64583</v>
      </c>
      <c r="B123" s="1">
        <f>IFERROR(__xludf.DUMMYFUNCTION("""COMPUTED_VALUE"""),10375.0)</f>
        <v>10375</v>
      </c>
      <c r="C123" s="1">
        <f>IFERROR(__xludf.DUMMYFUNCTION("""COMPUTED_VALUE"""),10375.0)</f>
        <v>10375</v>
      </c>
      <c r="D123" s="1">
        <f>IFERROR(__xludf.DUMMYFUNCTION("""COMPUTED_VALUE"""),10225.0)</f>
        <v>10225</v>
      </c>
      <c r="E123" s="1">
        <f>IFERROR(__xludf.DUMMYFUNCTION("""COMPUTED_VALUE"""),10275.0)</f>
        <v>10275</v>
      </c>
      <c r="F123" s="1">
        <f>IFERROR(__xludf.DUMMYFUNCTION("""COMPUTED_VALUE"""),6299.0)</f>
        <v>6299</v>
      </c>
    </row>
    <row r="124">
      <c r="A124" s="2">
        <f>IFERROR(__xludf.DUMMYFUNCTION("""COMPUTED_VALUE"""),43040.64583333333)</f>
        <v>43040.64583</v>
      </c>
      <c r="B124" s="1">
        <f>IFERROR(__xludf.DUMMYFUNCTION("""COMPUTED_VALUE"""),10275.0)</f>
        <v>10275</v>
      </c>
      <c r="C124" s="1">
        <f>IFERROR(__xludf.DUMMYFUNCTION("""COMPUTED_VALUE"""),10412.5)</f>
        <v>10412.5</v>
      </c>
      <c r="D124" s="1">
        <f>IFERROR(__xludf.DUMMYFUNCTION("""COMPUTED_VALUE"""),10275.0)</f>
        <v>10275</v>
      </c>
      <c r="E124" s="1">
        <f>IFERROR(__xludf.DUMMYFUNCTION("""COMPUTED_VALUE"""),10275.0)</f>
        <v>10275</v>
      </c>
      <c r="F124" s="1">
        <f>IFERROR(__xludf.DUMMYFUNCTION("""COMPUTED_VALUE"""),19309.0)</f>
        <v>19309</v>
      </c>
    </row>
    <row r="125">
      <c r="A125" s="2">
        <f>IFERROR(__xludf.DUMMYFUNCTION("""COMPUTED_VALUE"""),43041.64583333333)</f>
        <v>43041.64583</v>
      </c>
      <c r="B125" s="1">
        <f>IFERROR(__xludf.DUMMYFUNCTION("""COMPUTED_VALUE"""),10275.0)</f>
        <v>10275</v>
      </c>
      <c r="C125" s="1">
        <f>IFERROR(__xludf.DUMMYFUNCTION("""COMPUTED_VALUE"""),10412.5)</f>
        <v>10412.5</v>
      </c>
      <c r="D125" s="1">
        <f>IFERROR(__xludf.DUMMYFUNCTION("""COMPUTED_VALUE"""),10025.0)</f>
        <v>10025</v>
      </c>
      <c r="E125" s="1">
        <f>IFERROR(__xludf.DUMMYFUNCTION("""COMPUTED_VALUE"""),10275.0)</f>
        <v>10275</v>
      </c>
      <c r="F125" s="1">
        <f>IFERROR(__xludf.DUMMYFUNCTION("""COMPUTED_VALUE"""),16810.0)</f>
        <v>16810</v>
      </c>
    </row>
    <row r="126">
      <c r="A126" s="2">
        <f>IFERROR(__xludf.DUMMYFUNCTION("""COMPUTED_VALUE"""),43042.64583333333)</f>
        <v>43042.64583</v>
      </c>
      <c r="B126" s="1">
        <f>IFERROR(__xludf.DUMMYFUNCTION("""COMPUTED_VALUE"""),10400.0)</f>
        <v>10400</v>
      </c>
      <c r="C126" s="1">
        <f>IFERROR(__xludf.DUMMYFUNCTION("""COMPUTED_VALUE"""),10500.0)</f>
        <v>10500</v>
      </c>
      <c r="D126" s="1">
        <f>IFERROR(__xludf.DUMMYFUNCTION("""COMPUTED_VALUE"""),10125.0)</f>
        <v>10125</v>
      </c>
      <c r="E126" s="1">
        <f>IFERROR(__xludf.DUMMYFUNCTION("""COMPUTED_VALUE"""),10337.5)</f>
        <v>10337.5</v>
      </c>
      <c r="F126" s="1">
        <f>IFERROR(__xludf.DUMMYFUNCTION("""COMPUTED_VALUE"""),13306.0)</f>
        <v>13306</v>
      </c>
    </row>
    <row r="127">
      <c r="A127" s="2">
        <f>IFERROR(__xludf.DUMMYFUNCTION("""COMPUTED_VALUE"""),43045.64583333333)</f>
        <v>43045.64583</v>
      </c>
      <c r="B127" s="1">
        <f>IFERROR(__xludf.DUMMYFUNCTION("""COMPUTED_VALUE"""),10200.0)</f>
        <v>10200</v>
      </c>
      <c r="C127" s="1">
        <f>IFERROR(__xludf.DUMMYFUNCTION("""COMPUTED_VALUE"""),10400.0)</f>
        <v>10400</v>
      </c>
      <c r="D127" s="1">
        <f>IFERROR(__xludf.DUMMYFUNCTION("""COMPUTED_VALUE"""),10100.0)</f>
        <v>10100</v>
      </c>
      <c r="E127" s="1">
        <f>IFERROR(__xludf.DUMMYFUNCTION("""COMPUTED_VALUE"""),10225.0)</f>
        <v>10225</v>
      </c>
      <c r="F127" s="1">
        <f>IFERROR(__xludf.DUMMYFUNCTION("""COMPUTED_VALUE"""),9378.0)</f>
        <v>9378</v>
      </c>
    </row>
    <row r="128">
      <c r="A128" s="2">
        <f>IFERROR(__xludf.DUMMYFUNCTION("""COMPUTED_VALUE"""),43046.64583333333)</f>
        <v>43046.64583</v>
      </c>
      <c r="B128" s="1">
        <f>IFERROR(__xludf.DUMMYFUNCTION("""COMPUTED_VALUE"""),10162.5)</f>
        <v>10162.5</v>
      </c>
      <c r="C128" s="1">
        <f>IFERROR(__xludf.DUMMYFUNCTION("""COMPUTED_VALUE"""),10600.0)</f>
        <v>10600</v>
      </c>
      <c r="D128" s="1">
        <f>IFERROR(__xludf.DUMMYFUNCTION("""COMPUTED_VALUE"""),10162.5)</f>
        <v>10162.5</v>
      </c>
      <c r="E128" s="1">
        <f>IFERROR(__xludf.DUMMYFUNCTION("""COMPUTED_VALUE"""),10500.0)</f>
        <v>10500</v>
      </c>
      <c r="F128" s="1">
        <f>IFERROR(__xludf.DUMMYFUNCTION("""COMPUTED_VALUE"""),22942.0)</f>
        <v>22942</v>
      </c>
    </row>
    <row r="129">
      <c r="A129" s="2">
        <f>IFERROR(__xludf.DUMMYFUNCTION("""COMPUTED_VALUE"""),43047.64583333333)</f>
        <v>43047.64583</v>
      </c>
      <c r="B129" s="1">
        <f>IFERROR(__xludf.DUMMYFUNCTION("""COMPUTED_VALUE"""),10500.0)</f>
        <v>10500</v>
      </c>
      <c r="C129" s="1">
        <f>IFERROR(__xludf.DUMMYFUNCTION("""COMPUTED_VALUE"""),11200.0)</f>
        <v>11200</v>
      </c>
      <c r="D129" s="1">
        <f>IFERROR(__xludf.DUMMYFUNCTION("""COMPUTED_VALUE"""),10500.0)</f>
        <v>10500</v>
      </c>
      <c r="E129" s="1">
        <f>IFERROR(__xludf.DUMMYFUNCTION("""COMPUTED_VALUE"""),10962.5)</f>
        <v>10962.5</v>
      </c>
      <c r="F129" s="1">
        <f>IFERROR(__xludf.DUMMYFUNCTION("""COMPUTED_VALUE"""),67629.0)</f>
        <v>67629</v>
      </c>
    </row>
    <row r="130">
      <c r="A130" s="2">
        <f>IFERROR(__xludf.DUMMYFUNCTION("""COMPUTED_VALUE"""),43048.64583333333)</f>
        <v>43048.64583</v>
      </c>
      <c r="B130" s="1">
        <f>IFERROR(__xludf.DUMMYFUNCTION("""COMPUTED_VALUE"""),11100.0)</f>
        <v>11100</v>
      </c>
      <c r="C130" s="1">
        <f>IFERROR(__xludf.DUMMYFUNCTION("""COMPUTED_VALUE"""),11400.0)</f>
        <v>11400</v>
      </c>
      <c r="D130" s="1">
        <f>IFERROR(__xludf.DUMMYFUNCTION("""COMPUTED_VALUE"""),11025.0)</f>
        <v>11025</v>
      </c>
      <c r="E130" s="1">
        <f>IFERROR(__xludf.DUMMYFUNCTION("""COMPUTED_VALUE"""),11350.0)</f>
        <v>11350</v>
      </c>
      <c r="F130" s="1">
        <f>IFERROR(__xludf.DUMMYFUNCTION("""COMPUTED_VALUE"""),27603.0)</f>
        <v>27603</v>
      </c>
    </row>
    <row r="131">
      <c r="A131" s="2">
        <f>IFERROR(__xludf.DUMMYFUNCTION("""COMPUTED_VALUE"""),43049.64583333333)</f>
        <v>43049.64583</v>
      </c>
      <c r="B131" s="1">
        <f>IFERROR(__xludf.DUMMYFUNCTION("""COMPUTED_VALUE"""),11350.0)</f>
        <v>11350</v>
      </c>
      <c r="C131" s="1">
        <f>IFERROR(__xludf.DUMMYFUNCTION("""COMPUTED_VALUE"""),11550.0)</f>
        <v>11550</v>
      </c>
      <c r="D131" s="1">
        <f>IFERROR(__xludf.DUMMYFUNCTION("""COMPUTED_VALUE"""),11300.0)</f>
        <v>11300</v>
      </c>
      <c r="E131" s="1">
        <f>IFERROR(__xludf.DUMMYFUNCTION("""COMPUTED_VALUE"""),11350.0)</f>
        <v>11350</v>
      </c>
      <c r="F131" s="1">
        <f>IFERROR(__xludf.DUMMYFUNCTION("""COMPUTED_VALUE"""),27287.0)</f>
        <v>27287</v>
      </c>
    </row>
    <row r="132">
      <c r="A132" s="2">
        <f>IFERROR(__xludf.DUMMYFUNCTION("""COMPUTED_VALUE"""),43052.64583333333)</f>
        <v>43052.64583</v>
      </c>
      <c r="B132" s="1">
        <f>IFERROR(__xludf.DUMMYFUNCTION("""COMPUTED_VALUE"""),11550.0)</f>
        <v>11550</v>
      </c>
      <c r="C132" s="1">
        <f>IFERROR(__xludf.DUMMYFUNCTION("""COMPUTED_VALUE"""),11775.0)</f>
        <v>11775</v>
      </c>
      <c r="D132" s="1">
        <f>IFERROR(__xludf.DUMMYFUNCTION("""COMPUTED_VALUE"""),11275.0)</f>
        <v>11275</v>
      </c>
      <c r="E132" s="1">
        <f>IFERROR(__xludf.DUMMYFUNCTION("""COMPUTED_VALUE"""),11775.0)</f>
        <v>11775</v>
      </c>
      <c r="F132" s="1">
        <f>IFERROR(__xludf.DUMMYFUNCTION("""COMPUTED_VALUE"""),33140.0)</f>
        <v>33140</v>
      </c>
    </row>
    <row r="133">
      <c r="A133" s="2">
        <f>IFERROR(__xludf.DUMMYFUNCTION("""COMPUTED_VALUE"""),43053.64583333333)</f>
        <v>43053.64583</v>
      </c>
      <c r="B133" s="1">
        <f>IFERROR(__xludf.DUMMYFUNCTION("""COMPUTED_VALUE"""),11787.5)</f>
        <v>11787.5</v>
      </c>
      <c r="C133" s="1">
        <f>IFERROR(__xludf.DUMMYFUNCTION("""COMPUTED_VALUE"""),11787.5)</f>
        <v>11787.5</v>
      </c>
      <c r="D133" s="1">
        <f>IFERROR(__xludf.DUMMYFUNCTION("""COMPUTED_VALUE"""),11550.0)</f>
        <v>11550</v>
      </c>
      <c r="E133" s="1">
        <f>IFERROR(__xludf.DUMMYFUNCTION("""COMPUTED_VALUE"""),11700.0)</f>
        <v>11700</v>
      </c>
      <c r="F133" s="1">
        <f>IFERROR(__xludf.DUMMYFUNCTION("""COMPUTED_VALUE"""),23800.0)</f>
        <v>23800</v>
      </c>
    </row>
    <row r="134">
      <c r="A134" s="2">
        <f>IFERROR(__xludf.DUMMYFUNCTION("""COMPUTED_VALUE"""),43054.64583333333)</f>
        <v>43054.64583</v>
      </c>
      <c r="B134" s="1">
        <f>IFERROR(__xludf.DUMMYFUNCTION("""COMPUTED_VALUE"""),11762.5)</f>
        <v>11762.5</v>
      </c>
      <c r="C134" s="1">
        <f>IFERROR(__xludf.DUMMYFUNCTION("""COMPUTED_VALUE"""),12325.0)</f>
        <v>12325</v>
      </c>
      <c r="D134" s="1">
        <f>IFERROR(__xludf.DUMMYFUNCTION("""COMPUTED_VALUE"""),11625.0)</f>
        <v>11625</v>
      </c>
      <c r="E134" s="1">
        <f>IFERROR(__xludf.DUMMYFUNCTION("""COMPUTED_VALUE"""),12237.5)</f>
        <v>12237.5</v>
      </c>
      <c r="F134" s="1">
        <f>IFERROR(__xludf.DUMMYFUNCTION("""COMPUTED_VALUE"""),120697.0)</f>
        <v>120697</v>
      </c>
    </row>
    <row r="135">
      <c r="A135" s="2">
        <f>IFERROR(__xludf.DUMMYFUNCTION("""COMPUTED_VALUE"""),43055.64583333333)</f>
        <v>43055.64583</v>
      </c>
      <c r="B135" s="1">
        <f>IFERROR(__xludf.DUMMYFUNCTION("""COMPUTED_VALUE"""),12325.0)</f>
        <v>12325</v>
      </c>
      <c r="C135" s="1">
        <f>IFERROR(__xludf.DUMMYFUNCTION("""COMPUTED_VALUE"""),15450.0)</f>
        <v>15450</v>
      </c>
      <c r="D135" s="1">
        <f>IFERROR(__xludf.DUMMYFUNCTION("""COMPUTED_VALUE"""),12275.0)</f>
        <v>12275</v>
      </c>
      <c r="E135" s="1">
        <f>IFERROR(__xludf.DUMMYFUNCTION("""COMPUTED_VALUE"""),14850.0)</f>
        <v>14850</v>
      </c>
      <c r="F135" s="1">
        <f>IFERROR(__xludf.DUMMYFUNCTION("""COMPUTED_VALUE"""),267847.0)</f>
        <v>267847</v>
      </c>
    </row>
    <row r="136">
      <c r="A136" s="2">
        <f>IFERROR(__xludf.DUMMYFUNCTION("""COMPUTED_VALUE"""),43056.64583333333)</f>
        <v>43056.64583</v>
      </c>
      <c r="B136" s="1">
        <f>IFERROR(__xludf.DUMMYFUNCTION("""COMPUTED_VALUE"""),14925.0)</f>
        <v>14925</v>
      </c>
      <c r="C136" s="1">
        <f>IFERROR(__xludf.DUMMYFUNCTION("""COMPUTED_VALUE"""),16000.0)</f>
        <v>16000</v>
      </c>
      <c r="D136" s="1">
        <f>IFERROR(__xludf.DUMMYFUNCTION("""COMPUTED_VALUE"""),14425.0)</f>
        <v>14425</v>
      </c>
      <c r="E136" s="1">
        <f>IFERROR(__xludf.DUMMYFUNCTION("""COMPUTED_VALUE"""),14925.0)</f>
        <v>14925</v>
      </c>
      <c r="F136" s="1">
        <f>IFERROR(__xludf.DUMMYFUNCTION("""COMPUTED_VALUE"""),94974.0)</f>
        <v>94974</v>
      </c>
    </row>
    <row r="137">
      <c r="A137" s="2">
        <f>IFERROR(__xludf.DUMMYFUNCTION("""COMPUTED_VALUE"""),43059.64583333333)</f>
        <v>43059.64583</v>
      </c>
      <c r="B137" s="1">
        <f>IFERROR(__xludf.DUMMYFUNCTION("""COMPUTED_VALUE"""),14925.0)</f>
        <v>14925</v>
      </c>
      <c r="C137" s="1">
        <f>IFERROR(__xludf.DUMMYFUNCTION("""COMPUTED_VALUE"""),15625.0)</f>
        <v>15625</v>
      </c>
      <c r="D137" s="1">
        <f>IFERROR(__xludf.DUMMYFUNCTION("""COMPUTED_VALUE"""),14625.0)</f>
        <v>14625</v>
      </c>
      <c r="E137" s="1">
        <f>IFERROR(__xludf.DUMMYFUNCTION("""COMPUTED_VALUE"""),14800.0)</f>
        <v>14800</v>
      </c>
      <c r="F137" s="1">
        <f>IFERROR(__xludf.DUMMYFUNCTION("""COMPUTED_VALUE"""),62160.0)</f>
        <v>62160</v>
      </c>
    </row>
    <row r="138">
      <c r="A138" s="2">
        <f>IFERROR(__xludf.DUMMYFUNCTION("""COMPUTED_VALUE"""),43060.64583333333)</f>
        <v>43060.64583</v>
      </c>
      <c r="B138" s="1">
        <f>IFERROR(__xludf.DUMMYFUNCTION("""COMPUTED_VALUE"""),14875.0)</f>
        <v>14875</v>
      </c>
      <c r="C138" s="1">
        <f>IFERROR(__xludf.DUMMYFUNCTION("""COMPUTED_VALUE"""),16250.0)</f>
        <v>16250</v>
      </c>
      <c r="D138" s="1">
        <f>IFERROR(__xludf.DUMMYFUNCTION("""COMPUTED_VALUE"""),14325.0)</f>
        <v>14325</v>
      </c>
      <c r="E138" s="1">
        <f>IFERROR(__xludf.DUMMYFUNCTION("""COMPUTED_VALUE"""),16200.0)</f>
        <v>16200</v>
      </c>
      <c r="F138" s="1">
        <f>IFERROR(__xludf.DUMMYFUNCTION("""COMPUTED_VALUE"""),128462.0)</f>
        <v>128462</v>
      </c>
    </row>
    <row r="139">
      <c r="A139" s="2">
        <f>IFERROR(__xludf.DUMMYFUNCTION("""COMPUTED_VALUE"""),43061.64583333333)</f>
        <v>43061.64583</v>
      </c>
      <c r="B139" s="1">
        <f>IFERROR(__xludf.DUMMYFUNCTION("""COMPUTED_VALUE"""),16300.0)</f>
        <v>16300</v>
      </c>
      <c r="C139" s="1">
        <f>IFERROR(__xludf.DUMMYFUNCTION("""COMPUTED_VALUE"""),17700.0)</f>
        <v>17700</v>
      </c>
      <c r="D139" s="1">
        <f>IFERROR(__xludf.DUMMYFUNCTION("""COMPUTED_VALUE"""),16275.0)</f>
        <v>16275</v>
      </c>
      <c r="E139" s="1">
        <f>IFERROR(__xludf.DUMMYFUNCTION("""COMPUTED_VALUE"""),17425.0)</f>
        <v>17425</v>
      </c>
      <c r="F139" s="1">
        <f>IFERROR(__xludf.DUMMYFUNCTION("""COMPUTED_VALUE"""),278540.0)</f>
        <v>278540</v>
      </c>
    </row>
    <row r="140">
      <c r="A140" s="2">
        <f>IFERROR(__xludf.DUMMYFUNCTION("""COMPUTED_VALUE"""),43062.69791666667)</f>
        <v>43062.69792</v>
      </c>
      <c r="B140" s="1">
        <f>IFERROR(__xludf.DUMMYFUNCTION("""COMPUTED_VALUE"""),17375.0)</f>
        <v>17375</v>
      </c>
      <c r="C140" s="1">
        <f>IFERROR(__xludf.DUMMYFUNCTION("""COMPUTED_VALUE"""),17850.0)</f>
        <v>17850</v>
      </c>
      <c r="D140" s="1">
        <f>IFERROR(__xludf.DUMMYFUNCTION("""COMPUTED_VALUE"""),17050.0)</f>
        <v>17050</v>
      </c>
      <c r="E140" s="1">
        <f>IFERROR(__xludf.DUMMYFUNCTION("""COMPUTED_VALUE"""),17850.0)</f>
        <v>17850</v>
      </c>
      <c r="F140" s="1">
        <f>IFERROR(__xludf.DUMMYFUNCTION("""COMPUTED_VALUE"""),43691.0)</f>
        <v>43691</v>
      </c>
    </row>
    <row r="141">
      <c r="A141" s="2">
        <f>IFERROR(__xludf.DUMMYFUNCTION("""COMPUTED_VALUE"""),43063.64583333333)</f>
        <v>43063.64583</v>
      </c>
      <c r="B141" s="1">
        <f>IFERROR(__xludf.DUMMYFUNCTION("""COMPUTED_VALUE"""),17725.0)</f>
        <v>17725</v>
      </c>
      <c r="C141" s="1">
        <f>IFERROR(__xludf.DUMMYFUNCTION("""COMPUTED_VALUE"""),21500.0)</f>
        <v>21500</v>
      </c>
      <c r="D141" s="1">
        <f>IFERROR(__xludf.DUMMYFUNCTION("""COMPUTED_VALUE"""),17525.0)</f>
        <v>17525</v>
      </c>
      <c r="E141" s="1">
        <f>IFERROR(__xludf.DUMMYFUNCTION("""COMPUTED_VALUE"""),19250.0)</f>
        <v>19250</v>
      </c>
      <c r="F141" s="1">
        <f>IFERROR(__xludf.DUMMYFUNCTION("""COMPUTED_VALUE"""),60331.0)</f>
        <v>60331</v>
      </c>
    </row>
    <row r="142">
      <c r="A142" s="2">
        <f>IFERROR(__xludf.DUMMYFUNCTION("""COMPUTED_VALUE"""),43066.64583333333)</f>
        <v>43066.64583</v>
      </c>
      <c r="B142" s="1">
        <f>IFERROR(__xludf.DUMMYFUNCTION("""COMPUTED_VALUE"""),19975.0)</f>
        <v>19975</v>
      </c>
      <c r="C142" s="1">
        <f>IFERROR(__xludf.DUMMYFUNCTION("""COMPUTED_VALUE"""),19975.0)</f>
        <v>19975</v>
      </c>
      <c r="D142" s="1">
        <f>IFERROR(__xludf.DUMMYFUNCTION("""COMPUTED_VALUE"""),18325.0)</f>
        <v>18325</v>
      </c>
      <c r="E142" s="1">
        <f>IFERROR(__xludf.DUMMYFUNCTION("""COMPUTED_VALUE"""),19225.0)</f>
        <v>19225</v>
      </c>
      <c r="F142" s="1">
        <f>IFERROR(__xludf.DUMMYFUNCTION("""COMPUTED_VALUE"""),54975.0)</f>
        <v>54975</v>
      </c>
    </row>
    <row r="143">
      <c r="A143" s="2">
        <f>IFERROR(__xludf.DUMMYFUNCTION("""COMPUTED_VALUE"""),43067.64583333333)</f>
        <v>43067.64583</v>
      </c>
      <c r="B143" s="1">
        <f>IFERROR(__xludf.DUMMYFUNCTION("""COMPUTED_VALUE"""),18750.0)</f>
        <v>18750</v>
      </c>
      <c r="C143" s="1">
        <f>IFERROR(__xludf.DUMMYFUNCTION("""COMPUTED_VALUE"""),19600.0)</f>
        <v>19600</v>
      </c>
      <c r="D143" s="1">
        <f>IFERROR(__xludf.DUMMYFUNCTION("""COMPUTED_VALUE"""),17625.0)</f>
        <v>17625</v>
      </c>
      <c r="E143" s="1">
        <f>IFERROR(__xludf.DUMMYFUNCTION("""COMPUTED_VALUE"""),18500.0)</f>
        <v>18500</v>
      </c>
      <c r="F143" s="1">
        <f>IFERROR(__xludf.DUMMYFUNCTION("""COMPUTED_VALUE"""),99299.0)</f>
        <v>99299</v>
      </c>
    </row>
    <row r="144">
      <c r="A144" s="2">
        <f>IFERROR(__xludf.DUMMYFUNCTION("""COMPUTED_VALUE"""),43068.64583333333)</f>
        <v>43068.64583</v>
      </c>
      <c r="B144" s="1">
        <f>IFERROR(__xludf.DUMMYFUNCTION("""COMPUTED_VALUE"""),18850.0)</f>
        <v>18850</v>
      </c>
      <c r="C144" s="1">
        <f>IFERROR(__xludf.DUMMYFUNCTION("""COMPUTED_VALUE"""),19700.0)</f>
        <v>19700</v>
      </c>
      <c r="D144" s="1">
        <f>IFERROR(__xludf.DUMMYFUNCTION("""COMPUTED_VALUE"""),18575.0)</f>
        <v>18575</v>
      </c>
      <c r="E144" s="1">
        <f>IFERROR(__xludf.DUMMYFUNCTION("""COMPUTED_VALUE"""),19500.0)</f>
        <v>19500</v>
      </c>
      <c r="F144" s="1">
        <f>IFERROR(__xludf.DUMMYFUNCTION("""COMPUTED_VALUE"""),67172.0)</f>
        <v>67172</v>
      </c>
    </row>
    <row r="145">
      <c r="A145" s="2">
        <f>IFERROR(__xludf.DUMMYFUNCTION("""COMPUTED_VALUE"""),43069.64583333333)</f>
        <v>43069.64583</v>
      </c>
      <c r="B145" s="1">
        <f>IFERROR(__xludf.DUMMYFUNCTION("""COMPUTED_VALUE"""),19000.0)</f>
        <v>19000</v>
      </c>
      <c r="C145" s="1">
        <f>IFERROR(__xludf.DUMMYFUNCTION("""COMPUTED_VALUE"""),19525.0)</f>
        <v>19525</v>
      </c>
      <c r="D145" s="1">
        <f>IFERROR(__xludf.DUMMYFUNCTION("""COMPUTED_VALUE"""),18400.0)</f>
        <v>18400</v>
      </c>
      <c r="E145" s="1">
        <f>IFERROR(__xludf.DUMMYFUNCTION("""COMPUTED_VALUE"""),18400.0)</f>
        <v>18400</v>
      </c>
      <c r="F145" s="1">
        <f>IFERROR(__xludf.DUMMYFUNCTION("""COMPUTED_VALUE"""),53379.0)</f>
        <v>53379</v>
      </c>
    </row>
    <row r="146">
      <c r="A146" s="2">
        <f>IFERROR(__xludf.DUMMYFUNCTION("""COMPUTED_VALUE"""),43070.64583333333)</f>
        <v>43070.64583</v>
      </c>
      <c r="B146" s="1">
        <f>IFERROR(__xludf.DUMMYFUNCTION("""COMPUTED_VALUE"""),18700.0)</f>
        <v>18700</v>
      </c>
      <c r="C146" s="1">
        <f>IFERROR(__xludf.DUMMYFUNCTION("""COMPUTED_VALUE"""),18975.0)</f>
        <v>18975</v>
      </c>
      <c r="D146" s="1">
        <f>IFERROR(__xludf.DUMMYFUNCTION("""COMPUTED_VALUE"""),17825.0)</f>
        <v>17825</v>
      </c>
      <c r="E146" s="1">
        <f>IFERROR(__xludf.DUMMYFUNCTION("""COMPUTED_VALUE"""),18250.0)</f>
        <v>18250</v>
      </c>
      <c r="F146" s="1">
        <f>IFERROR(__xludf.DUMMYFUNCTION("""COMPUTED_VALUE"""),59150.0)</f>
        <v>59150</v>
      </c>
    </row>
    <row r="147">
      <c r="A147" s="2">
        <f>IFERROR(__xludf.DUMMYFUNCTION("""COMPUTED_VALUE"""),43073.64583333333)</f>
        <v>43073.64583</v>
      </c>
      <c r="B147" s="1">
        <f>IFERROR(__xludf.DUMMYFUNCTION("""COMPUTED_VALUE"""),18250.0)</f>
        <v>18250</v>
      </c>
      <c r="C147" s="1">
        <f>IFERROR(__xludf.DUMMYFUNCTION("""COMPUTED_VALUE"""),19200.0)</f>
        <v>19200</v>
      </c>
      <c r="D147" s="1">
        <f>IFERROR(__xludf.DUMMYFUNCTION("""COMPUTED_VALUE"""),16750.0)</f>
        <v>16750</v>
      </c>
      <c r="E147" s="1">
        <f>IFERROR(__xludf.DUMMYFUNCTION("""COMPUTED_VALUE"""),18750.0)</f>
        <v>18750</v>
      </c>
      <c r="F147" s="1">
        <f>IFERROR(__xludf.DUMMYFUNCTION("""COMPUTED_VALUE"""),145358.0)</f>
        <v>145358</v>
      </c>
    </row>
    <row r="148">
      <c r="A148" s="2">
        <f>IFERROR(__xludf.DUMMYFUNCTION("""COMPUTED_VALUE"""),43074.64583333333)</f>
        <v>43074.64583</v>
      </c>
      <c r="B148" s="1">
        <f>IFERROR(__xludf.DUMMYFUNCTION("""COMPUTED_VALUE"""),18775.0)</f>
        <v>18775</v>
      </c>
      <c r="C148" s="1">
        <f>IFERROR(__xludf.DUMMYFUNCTION("""COMPUTED_VALUE"""),19400.0)</f>
        <v>19400</v>
      </c>
      <c r="D148" s="1">
        <f>IFERROR(__xludf.DUMMYFUNCTION("""COMPUTED_VALUE"""),18100.0)</f>
        <v>18100</v>
      </c>
      <c r="E148" s="1">
        <f>IFERROR(__xludf.DUMMYFUNCTION("""COMPUTED_VALUE"""),19000.0)</f>
        <v>19000</v>
      </c>
      <c r="F148" s="1">
        <f>IFERROR(__xludf.DUMMYFUNCTION("""COMPUTED_VALUE"""),46526.0)</f>
        <v>46526</v>
      </c>
    </row>
    <row r="149">
      <c r="A149" s="2">
        <f>IFERROR(__xludf.DUMMYFUNCTION("""COMPUTED_VALUE"""),43075.64583333333)</f>
        <v>43075.64583</v>
      </c>
      <c r="B149" s="1">
        <f>IFERROR(__xludf.DUMMYFUNCTION("""COMPUTED_VALUE"""),19075.0)</f>
        <v>19075</v>
      </c>
      <c r="C149" s="1">
        <f>IFERROR(__xludf.DUMMYFUNCTION("""COMPUTED_VALUE"""),19800.0)</f>
        <v>19800</v>
      </c>
      <c r="D149" s="1">
        <f>IFERROR(__xludf.DUMMYFUNCTION("""COMPUTED_VALUE"""),18750.0)</f>
        <v>18750</v>
      </c>
      <c r="E149" s="1">
        <f>IFERROR(__xludf.DUMMYFUNCTION("""COMPUTED_VALUE"""),19250.0)</f>
        <v>19250</v>
      </c>
      <c r="F149" s="1">
        <f>IFERROR(__xludf.DUMMYFUNCTION("""COMPUTED_VALUE"""),58261.0)</f>
        <v>58261</v>
      </c>
    </row>
    <row r="150">
      <c r="A150" s="2">
        <f>IFERROR(__xludf.DUMMYFUNCTION("""COMPUTED_VALUE"""),43076.64583333333)</f>
        <v>43076.64583</v>
      </c>
      <c r="B150" s="1">
        <f>IFERROR(__xludf.DUMMYFUNCTION("""COMPUTED_VALUE"""),19275.0)</f>
        <v>19275</v>
      </c>
      <c r="C150" s="1">
        <f>IFERROR(__xludf.DUMMYFUNCTION("""COMPUTED_VALUE"""),19375.0)</f>
        <v>19375</v>
      </c>
      <c r="D150" s="1">
        <f>IFERROR(__xludf.DUMMYFUNCTION("""COMPUTED_VALUE"""),18025.0)</f>
        <v>18025</v>
      </c>
      <c r="E150" s="1">
        <f>IFERROR(__xludf.DUMMYFUNCTION("""COMPUTED_VALUE"""),19025.0)</f>
        <v>19025</v>
      </c>
      <c r="F150" s="1">
        <f>IFERROR(__xludf.DUMMYFUNCTION("""COMPUTED_VALUE"""),68352.0)</f>
        <v>68352</v>
      </c>
    </row>
    <row r="151">
      <c r="A151" s="2">
        <f>IFERROR(__xludf.DUMMYFUNCTION("""COMPUTED_VALUE"""),43077.64583333333)</f>
        <v>43077.64583</v>
      </c>
      <c r="B151" s="1">
        <f>IFERROR(__xludf.DUMMYFUNCTION("""COMPUTED_VALUE"""),19075.0)</f>
        <v>19075</v>
      </c>
      <c r="C151" s="1">
        <f>IFERROR(__xludf.DUMMYFUNCTION("""COMPUTED_VALUE"""),20000.0)</f>
        <v>20000</v>
      </c>
      <c r="D151" s="1">
        <f>IFERROR(__xludf.DUMMYFUNCTION("""COMPUTED_VALUE"""),18325.0)</f>
        <v>18325</v>
      </c>
      <c r="E151" s="1">
        <f>IFERROR(__xludf.DUMMYFUNCTION("""COMPUTED_VALUE"""),19025.0)</f>
        <v>19025</v>
      </c>
      <c r="F151" s="1">
        <f>IFERROR(__xludf.DUMMYFUNCTION("""COMPUTED_VALUE"""),88067.0)</f>
        <v>88067</v>
      </c>
    </row>
    <row r="152">
      <c r="A152" s="2">
        <f>IFERROR(__xludf.DUMMYFUNCTION("""COMPUTED_VALUE"""),43080.64583333333)</f>
        <v>43080.64583</v>
      </c>
      <c r="B152" s="1">
        <f>IFERROR(__xludf.DUMMYFUNCTION("""COMPUTED_VALUE"""),19175.0)</f>
        <v>19175</v>
      </c>
      <c r="C152" s="1">
        <f>IFERROR(__xludf.DUMMYFUNCTION("""COMPUTED_VALUE"""),19750.0)</f>
        <v>19750</v>
      </c>
      <c r="D152" s="1">
        <f>IFERROR(__xludf.DUMMYFUNCTION("""COMPUTED_VALUE"""),18800.0)</f>
        <v>18800</v>
      </c>
      <c r="E152" s="1">
        <f>IFERROR(__xludf.DUMMYFUNCTION("""COMPUTED_VALUE"""),19300.0)</f>
        <v>19300</v>
      </c>
      <c r="F152" s="1">
        <f>IFERROR(__xludf.DUMMYFUNCTION("""COMPUTED_VALUE"""),57933.0)</f>
        <v>57933</v>
      </c>
    </row>
    <row r="153">
      <c r="A153" s="2">
        <f>IFERROR(__xludf.DUMMYFUNCTION("""COMPUTED_VALUE"""),43081.64583333333)</f>
        <v>43081.64583</v>
      </c>
      <c r="B153" s="1">
        <f>IFERROR(__xludf.DUMMYFUNCTION("""COMPUTED_VALUE"""),19825.0)</f>
        <v>19825</v>
      </c>
      <c r="C153" s="1">
        <f>IFERROR(__xludf.DUMMYFUNCTION("""COMPUTED_VALUE"""),20975.0)</f>
        <v>20975</v>
      </c>
      <c r="D153" s="1">
        <f>IFERROR(__xludf.DUMMYFUNCTION("""COMPUTED_VALUE"""),19275.0)</f>
        <v>19275</v>
      </c>
      <c r="E153" s="1">
        <f>IFERROR(__xludf.DUMMYFUNCTION("""COMPUTED_VALUE"""),20325.0)</f>
        <v>20325</v>
      </c>
      <c r="F153" s="1">
        <f>IFERROR(__xludf.DUMMYFUNCTION("""COMPUTED_VALUE"""),119672.0)</f>
        <v>119672</v>
      </c>
    </row>
    <row r="154">
      <c r="A154" s="2">
        <f>IFERROR(__xludf.DUMMYFUNCTION("""COMPUTED_VALUE"""),43082.64583333333)</f>
        <v>43082.64583</v>
      </c>
      <c r="B154" s="1">
        <f>IFERROR(__xludf.DUMMYFUNCTION("""COMPUTED_VALUE"""),20450.0)</f>
        <v>20450</v>
      </c>
      <c r="C154" s="1">
        <f>IFERROR(__xludf.DUMMYFUNCTION("""COMPUTED_VALUE"""),22025.0)</f>
        <v>22025</v>
      </c>
      <c r="D154" s="1">
        <f>IFERROR(__xludf.DUMMYFUNCTION("""COMPUTED_VALUE"""),20375.0)</f>
        <v>20375</v>
      </c>
      <c r="E154" s="1">
        <f>IFERROR(__xludf.DUMMYFUNCTION("""COMPUTED_VALUE"""),21075.0)</f>
        <v>21075</v>
      </c>
      <c r="F154" s="1">
        <f>IFERROR(__xludf.DUMMYFUNCTION("""COMPUTED_VALUE"""),109016.0)</f>
        <v>109016</v>
      </c>
    </row>
    <row r="155">
      <c r="A155" s="2">
        <f>IFERROR(__xludf.DUMMYFUNCTION("""COMPUTED_VALUE"""),43083.64583333333)</f>
        <v>43083.64583</v>
      </c>
      <c r="B155" s="1">
        <f>IFERROR(__xludf.DUMMYFUNCTION("""COMPUTED_VALUE"""),21075.0)</f>
        <v>21075</v>
      </c>
      <c r="C155" s="1">
        <f>IFERROR(__xludf.DUMMYFUNCTION("""COMPUTED_VALUE"""),21625.0)</f>
        <v>21625</v>
      </c>
      <c r="D155" s="1">
        <f>IFERROR(__xludf.DUMMYFUNCTION("""COMPUTED_VALUE"""),20550.0)</f>
        <v>20550</v>
      </c>
      <c r="E155" s="1">
        <f>IFERROR(__xludf.DUMMYFUNCTION("""COMPUTED_VALUE"""),21250.0)</f>
        <v>21250</v>
      </c>
      <c r="F155" s="1">
        <f>IFERROR(__xludf.DUMMYFUNCTION("""COMPUTED_VALUE"""),30189.0)</f>
        <v>30189</v>
      </c>
    </row>
    <row r="156">
      <c r="A156" s="2">
        <f>IFERROR(__xludf.DUMMYFUNCTION("""COMPUTED_VALUE"""),43084.64583333333)</f>
        <v>43084.64583</v>
      </c>
      <c r="B156" s="1">
        <f>IFERROR(__xludf.DUMMYFUNCTION("""COMPUTED_VALUE"""),20750.0)</f>
        <v>20750</v>
      </c>
      <c r="C156" s="1">
        <f>IFERROR(__xludf.DUMMYFUNCTION("""COMPUTED_VALUE"""),21075.0)</f>
        <v>21075</v>
      </c>
      <c r="D156" s="1">
        <f>IFERROR(__xludf.DUMMYFUNCTION("""COMPUTED_VALUE"""),20600.0)</f>
        <v>20600</v>
      </c>
      <c r="E156" s="1">
        <f>IFERROR(__xludf.DUMMYFUNCTION("""COMPUTED_VALUE"""),20950.0)</f>
        <v>20950</v>
      </c>
      <c r="F156" s="1">
        <f>IFERROR(__xludf.DUMMYFUNCTION("""COMPUTED_VALUE"""),47180.0)</f>
        <v>47180</v>
      </c>
    </row>
    <row r="157">
      <c r="A157" s="2">
        <f>IFERROR(__xludf.DUMMYFUNCTION("""COMPUTED_VALUE"""),43087.64583333333)</f>
        <v>43087.64583</v>
      </c>
      <c r="B157" s="1">
        <f>IFERROR(__xludf.DUMMYFUNCTION("""COMPUTED_VALUE"""),20950.0)</f>
        <v>20950</v>
      </c>
      <c r="C157" s="1">
        <f>IFERROR(__xludf.DUMMYFUNCTION("""COMPUTED_VALUE"""),21325.0)</f>
        <v>21325</v>
      </c>
      <c r="D157" s="1">
        <f>IFERROR(__xludf.DUMMYFUNCTION("""COMPUTED_VALUE"""),19975.0)</f>
        <v>19975</v>
      </c>
      <c r="E157" s="1">
        <f>IFERROR(__xludf.DUMMYFUNCTION("""COMPUTED_VALUE"""),20125.0)</f>
        <v>20125</v>
      </c>
      <c r="F157" s="1">
        <f>IFERROR(__xludf.DUMMYFUNCTION("""COMPUTED_VALUE"""),48830.0)</f>
        <v>48830</v>
      </c>
    </row>
    <row r="158">
      <c r="A158" s="2">
        <f>IFERROR(__xludf.DUMMYFUNCTION("""COMPUTED_VALUE"""),43088.64583333333)</f>
        <v>43088.64583</v>
      </c>
      <c r="B158" s="1">
        <f>IFERROR(__xludf.DUMMYFUNCTION("""COMPUTED_VALUE"""),20325.0)</f>
        <v>20325</v>
      </c>
      <c r="C158" s="1">
        <f>IFERROR(__xludf.DUMMYFUNCTION("""COMPUTED_VALUE"""),20450.0)</f>
        <v>20450</v>
      </c>
      <c r="D158" s="1">
        <f>IFERROR(__xludf.DUMMYFUNCTION("""COMPUTED_VALUE"""),19300.0)</f>
        <v>19300</v>
      </c>
      <c r="E158" s="1">
        <f>IFERROR(__xludf.DUMMYFUNCTION("""COMPUTED_VALUE"""),20400.0)</f>
        <v>20400</v>
      </c>
      <c r="F158" s="1">
        <f>IFERROR(__xludf.DUMMYFUNCTION("""COMPUTED_VALUE"""),56334.0)</f>
        <v>56334</v>
      </c>
    </row>
    <row r="159">
      <c r="A159" s="2">
        <f>IFERROR(__xludf.DUMMYFUNCTION("""COMPUTED_VALUE"""),43089.64583333333)</f>
        <v>43089.64583</v>
      </c>
      <c r="B159" s="1">
        <f>IFERROR(__xludf.DUMMYFUNCTION("""COMPUTED_VALUE"""),20650.0)</f>
        <v>20650</v>
      </c>
      <c r="C159" s="1">
        <f>IFERROR(__xludf.DUMMYFUNCTION("""COMPUTED_VALUE"""),20650.0)</f>
        <v>20650</v>
      </c>
      <c r="D159" s="1">
        <f>IFERROR(__xludf.DUMMYFUNCTION("""COMPUTED_VALUE"""),19675.0)</f>
        <v>19675</v>
      </c>
      <c r="E159" s="1">
        <f>IFERROR(__xludf.DUMMYFUNCTION("""COMPUTED_VALUE"""),19725.0)</f>
        <v>19725</v>
      </c>
      <c r="F159" s="1">
        <f>IFERROR(__xludf.DUMMYFUNCTION("""COMPUTED_VALUE"""),30592.0)</f>
        <v>30592</v>
      </c>
    </row>
    <row r="160">
      <c r="A160" s="2">
        <f>IFERROR(__xludf.DUMMYFUNCTION("""COMPUTED_VALUE"""),43090.64583333333)</f>
        <v>43090.64583</v>
      </c>
      <c r="B160" s="1">
        <f>IFERROR(__xludf.DUMMYFUNCTION("""COMPUTED_VALUE"""),19525.0)</f>
        <v>19525</v>
      </c>
      <c r="C160" s="1">
        <f>IFERROR(__xludf.DUMMYFUNCTION("""COMPUTED_VALUE"""),20125.0)</f>
        <v>20125</v>
      </c>
      <c r="D160" s="1">
        <f>IFERROR(__xludf.DUMMYFUNCTION("""COMPUTED_VALUE"""),18600.0)</f>
        <v>18600</v>
      </c>
      <c r="E160" s="1">
        <f>IFERROR(__xludf.DUMMYFUNCTION("""COMPUTED_VALUE"""),18975.0)</f>
        <v>18975</v>
      </c>
      <c r="F160" s="1">
        <f>IFERROR(__xludf.DUMMYFUNCTION("""COMPUTED_VALUE"""),37331.0)</f>
        <v>37331</v>
      </c>
    </row>
    <row r="161">
      <c r="A161" s="2">
        <f>IFERROR(__xludf.DUMMYFUNCTION("""COMPUTED_VALUE"""),43091.64583333333)</f>
        <v>43091.64583</v>
      </c>
      <c r="B161" s="1">
        <f>IFERROR(__xludf.DUMMYFUNCTION("""COMPUTED_VALUE"""),19000.0)</f>
        <v>19000</v>
      </c>
      <c r="C161" s="1">
        <f>IFERROR(__xludf.DUMMYFUNCTION("""COMPUTED_VALUE"""),19825.0)</f>
        <v>19825</v>
      </c>
      <c r="D161" s="1">
        <f>IFERROR(__xludf.DUMMYFUNCTION("""COMPUTED_VALUE"""),18850.0)</f>
        <v>18850</v>
      </c>
      <c r="E161" s="1">
        <f>IFERROR(__xludf.DUMMYFUNCTION("""COMPUTED_VALUE"""),19150.0)</f>
        <v>19150</v>
      </c>
      <c r="F161" s="1">
        <f>IFERROR(__xludf.DUMMYFUNCTION("""COMPUTED_VALUE"""),57619.0)</f>
        <v>57619</v>
      </c>
    </row>
    <row r="162">
      <c r="A162" s="2">
        <f>IFERROR(__xludf.DUMMYFUNCTION("""COMPUTED_VALUE"""),43095.64583333333)</f>
        <v>43095.64583</v>
      </c>
      <c r="B162" s="1">
        <f>IFERROR(__xludf.DUMMYFUNCTION("""COMPUTED_VALUE"""),19150.0)</f>
        <v>19150</v>
      </c>
      <c r="C162" s="1">
        <f>IFERROR(__xludf.DUMMYFUNCTION("""COMPUTED_VALUE"""),19700.0)</f>
        <v>19700</v>
      </c>
      <c r="D162" s="1">
        <f>IFERROR(__xludf.DUMMYFUNCTION("""COMPUTED_VALUE"""),19000.0)</f>
        <v>19000</v>
      </c>
      <c r="E162" s="1">
        <f>IFERROR(__xludf.DUMMYFUNCTION("""COMPUTED_VALUE"""),19050.0)</f>
        <v>19050</v>
      </c>
      <c r="F162" s="1">
        <f>IFERROR(__xludf.DUMMYFUNCTION("""COMPUTED_VALUE"""),66057.0)</f>
        <v>66057</v>
      </c>
    </row>
    <row r="163">
      <c r="A163" s="2">
        <f>IFERROR(__xludf.DUMMYFUNCTION("""COMPUTED_VALUE"""),43096.64583333333)</f>
        <v>43096.64583</v>
      </c>
      <c r="B163" s="1">
        <f>IFERROR(__xludf.DUMMYFUNCTION("""COMPUTED_VALUE"""),19500.0)</f>
        <v>19500</v>
      </c>
      <c r="C163" s="1">
        <f>IFERROR(__xludf.DUMMYFUNCTION("""COMPUTED_VALUE"""),20500.0)</f>
        <v>20500</v>
      </c>
      <c r="D163" s="1">
        <f>IFERROR(__xludf.DUMMYFUNCTION("""COMPUTED_VALUE"""),18625.0)</f>
        <v>18625</v>
      </c>
      <c r="E163" s="1">
        <f>IFERROR(__xludf.DUMMYFUNCTION("""COMPUTED_VALUE"""),19750.0)</f>
        <v>19750</v>
      </c>
      <c r="F163" s="1">
        <f>IFERROR(__xludf.DUMMYFUNCTION("""COMPUTED_VALUE"""),105287.0)</f>
        <v>105287</v>
      </c>
    </row>
    <row r="164">
      <c r="A164" s="2">
        <f>IFERROR(__xludf.DUMMYFUNCTION("""COMPUTED_VALUE"""),43097.64583333333)</f>
        <v>43097.64583</v>
      </c>
      <c r="B164" s="1">
        <f>IFERROR(__xludf.DUMMYFUNCTION("""COMPUTED_VALUE"""),20275.0)</f>
        <v>20275</v>
      </c>
      <c r="C164" s="1">
        <f>IFERROR(__xludf.DUMMYFUNCTION("""COMPUTED_VALUE"""),20275.0)</f>
        <v>20275</v>
      </c>
      <c r="D164" s="1">
        <f>IFERROR(__xludf.DUMMYFUNCTION("""COMPUTED_VALUE"""),19200.0)</f>
        <v>19200</v>
      </c>
      <c r="E164" s="1">
        <f>IFERROR(__xludf.DUMMYFUNCTION("""COMPUTED_VALUE"""),20125.0)</f>
        <v>20125</v>
      </c>
      <c r="F164" s="1">
        <f>IFERROR(__xludf.DUMMYFUNCTION("""COMPUTED_VALUE"""),56212.0)</f>
        <v>56212</v>
      </c>
    </row>
    <row r="165">
      <c r="A165" s="2">
        <f>IFERROR(__xludf.DUMMYFUNCTION("""COMPUTED_VALUE"""),43102.64583333333)</f>
        <v>43102.64583</v>
      </c>
      <c r="B165" s="1">
        <f>IFERROR(__xludf.DUMMYFUNCTION("""COMPUTED_VALUE"""),20125.0)</f>
        <v>20125</v>
      </c>
      <c r="C165" s="1">
        <f>IFERROR(__xludf.DUMMYFUNCTION("""COMPUTED_VALUE"""),20550.0)</f>
        <v>20550</v>
      </c>
      <c r="D165" s="1">
        <f>IFERROR(__xludf.DUMMYFUNCTION("""COMPUTED_VALUE"""),19600.0)</f>
        <v>19600</v>
      </c>
      <c r="E165" s="1">
        <f>IFERROR(__xludf.DUMMYFUNCTION("""COMPUTED_VALUE"""),19700.0)</f>
        <v>19700</v>
      </c>
      <c r="F165" s="1">
        <f>IFERROR(__xludf.DUMMYFUNCTION("""COMPUTED_VALUE"""),32602.0)</f>
        <v>32602</v>
      </c>
    </row>
    <row r="166">
      <c r="A166" s="2">
        <f>IFERROR(__xludf.DUMMYFUNCTION("""COMPUTED_VALUE"""),43103.64583333333)</f>
        <v>43103.64583</v>
      </c>
      <c r="B166" s="1">
        <f>IFERROR(__xludf.DUMMYFUNCTION("""COMPUTED_VALUE"""),19775.0)</f>
        <v>19775</v>
      </c>
      <c r="C166" s="1">
        <f>IFERROR(__xludf.DUMMYFUNCTION("""COMPUTED_VALUE"""),22050.0)</f>
        <v>22050</v>
      </c>
      <c r="D166" s="1">
        <f>IFERROR(__xludf.DUMMYFUNCTION("""COMPUTED_VALUE"""),19525.0)</f>
        <v>19525</v>
      </c>
      <c r="E166" s="1">
        <f>IFERROR(__xludf.DUMMYFUNCTION("""COMPUTED_VALUE"""),21700.0)</f>
        <v>21700</v>
      </c>
      <c r="F166" s="1">
        <f>IFERROR(__xludf.DUMMYFUNCTION("""COMPUTED_VALUE"""),81089.0)</f>
        <v>81089</v>
      </c>
    </row>
    <row r="167">
      <c r="A167" s="2">
        <f>IFERROR(__xludf.DUMMYFUNCTION("""COMPUTED_VALUE"""),43104.64583333333)</f>
        <v>43104.64583</v>
      </c>
      <c r="B167" s="1">
        <f>IFERROR(__xludf.DUMMYFUNCTION("""COMPUTED_VALUE"""),21875.0)</f>
        <v>21875</v>
      </c>
      <c r="C167" s="1">
        <f>IFERROR(__xludf.DUMMYFUNCTION("""COMPUTED_VALUE"""),22125.0)</f>
        <v>22125</v>
      </c>
      <c r="D167" s="1">
        <f>IFERROR(__xludf.DUMMYFUNCTION("""COMPUTED_VALUE"""),20925.0)</f>
        <v>20925</v>
      </c>
      <c r="E167" s="1">
        <f>IFERROR(__xludf.DUMMYFUNCTION("""COMPUTED_VALUE"""),21150.0)</f>
        <v>21150</v>
      </c>
      <c r="F167" s="1">
        <f>IFERROR(__xludf.DUMMYFUNCTION("""COMPUTED_VALUE"""),50049.0)</f>
        <v>50049</v>
      </c>
    </row>
    <row r="168">
      <c r="A168" s="2">
        <f>IFERROR(__xludf.DUMMYFUNCTION("""COMPUTED_VALUE"""),43105.64583333333)</f>
        <v>43105.64583</v>
      </c>
      <c r="B168" s="1">
        <f>IFERROR(__xludf.DUMMYFUNCTION("""COMPUTED_VALUE"""),21150.0)</f>
        <v>21150</v>
      </c>
      <c r="C168" s="1">
        <f>IFERROR(__xludf.DUMMYFUNCTION("""COMPUTED_VALUE"""),21575.0)</f>
        <v>21575</v>
      </c>
      <c r="D168" s="1">
        <f>IFERROR(__xludf.DUMMYFUNCTION("""COMPUTED_VALUE"""),20300.0)</f>
        <v>20300</v>
      </c>
      <c r="E168" s="1">
        <f>IFERROR(__xludf.DUMMYFUNCTION("""COMPUTED_VALUE"""),20625.0)</f>
        <v>20625</v>
      </c>
      <c r="F168" s="1">
        <f>IFERROR(__xludf.DUMMYFUNCTION("""COMPUTED_VALUE"""),40071.0)</f>
        <v>40071</v>
      </c>
    </row>
    <row r="169">
      <c r="A169" s="2">
        <f>IFERROR(__xludf.DUMMYFUNCTION("""COMPUTED_VALUE"""),43108.64583333333)</f>
        <v>43108.64583</v>
      </c>
      <c r="B169" s="1">
        <f>IFERROR(__xludf.DUMMYFUNCTION("""COMPUTED_VALUE"""),20900.0)</f>
        <v>20900</v>
      </c>
      <c r="C169" s="1">
        <f>IFERROR(__xludf.DUMMYFUNCTION("""COMPUTED_VALUE"""),20900.0)</f>
        <v>20900</v>
      </c>
      <c r="D169" s="1">
        <f>IFERROR(__xludf.DUMMYFUNCTION("""COMPUTED_VALUE"""),19300.0)</f>
        <v>19300</v>
      </c>
      <c r="E169" s="1">
        <f>IFERROR(__xludf.DUMMYFUNCTION("""COMPUTED_VALUE"""),19800.0)</f>
        <v>19800</v>
      </c>
      <c r="F169" s="1">
        <f>IFERROR(__xludf.DUMMYFUNCTION("""COMPUTED_VALUE"""),43123.0)</f>
        <v>43123</v>
      </c>
    </row>
    <row r="170">
      <c r="A170" s="2">
        <f>IFERROR(__xludf.DUMMYFUNCTION("""COMPUTED_VALUE"""),43109.64583333333)</f>
        <v>43109.64583</v>
      </c>
      <c r="B170" s="1">
        <f>IFERROR(__xludf.DUMMYFUNCTION("""COMPUTED_VALUE"""),19825.0)</f>
        <v>19825</v>
      </c>
      <c r="C170" s="1">
        <f>IFERROR(__xludf.DUMMYFUNCTION("""COMPUTED_VALUE"""),20250.0)</f>
        <v>20250</v>
      </c>
      <c r="D170" s="1">
        <f>IFERROR(__xludf.DUMMYFUNCTION("""COMPUTED_VALUE"""),19375.0)</f>
        <v>19375</v>
      </c>
      <c r="E170" s="1">
        <f>IFERROR(__xludf.DUMMYFUNCTION("""COMPUTED_VALUE"""),19800.0)</f>
        <v>19800</v>
      </c>
      <c r="F170" s="1">
        <f>IFERROR(__xludf.DUMMYFUNCTION("""COMPUTED_VALUE"""),39682.0)</f>
        <v>39682</v>
      </c>
    </row>
    <row r="171">
      <c r="A171" s="2">
        <f>IFERROR(__xludf.DUMMYFUNCTION("""COMPUTED_VALUE"""),43110.64583333333)</f>
        <v>43110.64583</v>
      </c>
      <c r="B171" s="1">
        <f>IFERROR(__xludf.DUMMYFUNCTION("""COMPUTED_VALUE"""),19600.0)</f>
        <v>19600</v>
      </c>
      <c r="C171" s="1">
        <f>IFERROR(__xludf.DUMMYFUNCTION("""COMPUTED_VALUE"""),19675.0)</f>
        <v>19675</v>
      </c>
      <c r="D171" s="1">
        <f>IFERROR(__xludf.DUMMYFUNCTION("""COMPUTED_VALUE"""),18675.0)</f>
        <v>18675</v>
      </c>
      <c r="E171" s="1">
        <f>IFERROR(__xludf.DUMMYFUNCTION("""COMPUTED_VALUE"""),19000.0)</f>
        <v>19000</v>
      </c>
      <c r="F171" s="1">
        <f>IFERROR(__xludf.DUMMYFUNCTION("""COMPUTED_VALUE"""),48479.0)</f>
        <v>48479</v>
      </c>
    </row>
    <row r="172">
      <c r="A172" s="2">
        <f>IFERROR(__xludf.DUMMYFUNCTION("""COMPUTED_VALUE"""),43111.64583333333)</f>
        <v>43111.64583</v>
      </c>
      <c r="B172" s="1">
        <f>IFERROR(__xludf.DUMMYFUNCTION("""COMPUTED_VALUE"""),19000.0)</f>
        <v>19000</v>
      </c>
      <c r="C172" s="1">
        <f>IFERROR(__xludf.DUMMYFUNCTION("""COMPUTED_VALUE"""),19175.0)</f>
        <v>19175</v>
      </c>
      <c r="D172" s="1">
        <f>IFERROR(__xludf.DUMMYFUNCTION("""COMPUTED_VALUE"""),18725.0)</f>
        <v>18725</v>
      </c>
      <c r="E172" s="1">
        <f>IFERROR(__xludf.DUMMYFUNCTION("""COMPUTED_VALUE"""),18825.0)</f>
        <v>18825</v>
      </c>
      <c r="F172" s="1">
        <f>IFERROR(__xludf.DUMMYFUNCTION("""COMPUTED_VALUE"""),15075.0)</f>
        <v>15075</v>
      </c>
    </row>
    <row r="173">
      <c r="A173" s="2">
        <f>IFERROR(__xludf.DUMMYFUNCTION("""COMPUTED_VALUE"""),43112.64583333333)</f>
        <v>43112.64583</v>
      </c>
      <c r="B173" s="1">
        <f>IFERROR(__xludf.DUMMYFUNCTION("""COMPUTED_VALUE"""),18650.0)</f>
        <v>18650</v>
      </c>
      <c r="C173" s="1">
        <f>IFERROR(__xludf.DUMMYFUNCTION("""COMPUTED_VALUE"""),18775.0)</f>
        <v>18775</v>
      </c>
      <c r="D173" s="1">
        <f>IFERROR(__xludf.DUMMYFUNCTION("""COMPUTED_VALUE"""),17500.0)</f>
        <v>17500</v>
      </c>
      <c r="E173" s="1">
        <f>IFERROR(__xludf.DUMMYFUNCTION("""COMPUTED_VALUE"""),17975.0)</f>
        <v>17975</v>
      </c>
      <c r="F173" s="1">
        <f>IFERROR(__xludf.DUMMYFUNCTION("""COMPUTED_VALUE"""),67008.0)</f>
        <v>67008</v>
      </c>
    </row>
    <row r="174">
      <c r="A174" s="2">
        <f>IFERROR(__xludf.DUMMYFUNCTION("""COMPUTED_VALUE"""),43115.64583333333)</f>
        <v>43115.64583</v>
      </c>
      <c r="B174" s="1">
        <f>IFERROR(__xludf.DUMMYFUNCTION("""COMPUTED_VALUE"""),18050.0)</f>
        <v>18050</v>
      </c>
      <c r="C174" s="1">
        <f>IFERROR(__xludf.DUMMYFUNCTION("""COMPUTED_VALUE"""),18350.0)</f>
        <v>18350</v>
      </c>
      <c r="D174" s="1">
        <f>IFERROR(__xludf.DUMMYFUNCTION("""COMPUTED_VALUE"""),17650.0)</f>
        <v>17650</v>
      </c>
      <c r="E174" s="1">
        <f>IFERROR(__xludf.DUMMYFUNCTION("""COMPUTED_VALUE"""),17700.0)</f>
        <v>17700</v>
      </c>
      <c r="F174" s="1">
        <f>IFERROR(__xludf.DUMMYFUNCTION("""COMPUTED_VALUE"""),38006.0)</f>
        <v>38006</v>
      </c>
    </row>
    <row r="175">
      <c r="A175" s="2">
        <f>IFERROR(__xludf.DUMMYFUNCTION("""COMPUTED_VALUE"""),43116.64583333333)</f>
        <v>43116.64583</v>
      </c>
      <c r="B175" s="1">
        <f>IFERROR(__xludf.DUMMYFUNCTION("""COMPUTED_VALUE"""),17450.0)</f>
        <v>17450</v>
      </c>
      <c r="C175" s="1">
        <f>IFERROR(__xludf.DUMMYFUNCTION("""COMPUTED_VALUE"""),18725.0)</f>
        <v>18725</v>
      </c>
      <c r="D175" s="1">
        <f>IFERROR(__xludf.DUMMYFUNCTION("""COMPUTED_VALUE"""),17450.0)</f>
        <v>17450</v>
      </c>
      <c r="E175" s="1">
        <f>IFERROR(__xludf.DUMMYFUNCTION("""COMPUTED_VALUE"""),18225.0)</f>
        <v>18225</v>
      </c>
      <c r="F175" s="1">
        <f>IFERROR(__xludf.DUMMYFUNCTION("""COMPUTED_VALUE"""),46029.0)</f>
        <v>46029</v>
      </c>
    </row>
    <row r="176">
      <c r="A176" s="2">
        <f>IFERROR(__xludf.DUMMYFUNCTION("""COMPUTED_VALUE"""),43117.64583333333)</f>
        <v>43117.64583</v>
      </c>
      <c r="B176" s="1">
        <f>IFERROR(__xludf.DUMMYFUNCTION("""COMPUTED_VALUE"""),18275.0)</f>
        <v>18275</v>
      </c>
      <c r="C176" s="1">
        <f>IFERROR(__xludf.DUMMYFUNCTION("""COMPUTED_VALUE"""),19725.0)</f>
        <v>19725</v>
      </c>
      <c r="D176" s="1">
        <f>IFERROR(__xludf.DUMMYFUNCTION("""COMPUTED_VALUE"""),17825.0)</f>
        <v>17825</v>
      </c>
      <c r="E176" s="1">
        <f>IFERROR(__xludf.DUMMYFUNCTION("""COMPUTED_VALUE"""),19075.0)</f>
        <v>19075</v>
      </c>
      <c r="F176" s="1">
        <f>IFERROR(__xludf.DUMMYFUNCTION("""COMPUTED_VALUE"""),70946.0)</f>
        <v>70946</v>
      </c>
    </row>
    <row r="177">
      <c r="A177" s="2">
        <f>IFERROR(__xludf.DUMMYFUNCTION("""COMPUTED_VALUE"""),43118.64583333333)</f>
        <v>43118.64583</v>
      </c>
      <c r="B177" s="1">
        <f>IFERROR(__xludf.DUMMYFUNCTION("""COMPUTED_VALUE"""),18825.0)</f>
        <v>18825</v>
      </c>
      <c r="C177" s="1">
        <f>IFERROR(__xludf.DUMMYFUNCTION("""COMPUTED_VALUE"""),19200.0)</f>
        <v>19200</v>
      </c>
      <c r="D177" s="1">
        <f>IFERROR(__xludf.DUMMYFUNCTION("""COMPUTED_VALUE"""),18375.0)</f>
        <v>18375</v>
      </c>
      <c r="E177" s="1">
        <f>IFERROR(__xludf.DUMMYFUNCTION("""COMPUTED_VALUE"""),18375.0)</f>
        <v>18375</v>
      </c>
      <c r="F177" s="1">
        <f>IFERROR(__xludf.DUMMYFUNCTION("""COMPUTED_VALUE"""),41871.0)</f>
        <v>41871</v>
      </c>
    </row>
    <row r="178">
      <c r="A178" s="2">
        <f>IFERROR(__xludf.DUMMYFUNCTION("""COMPUTED_VALUE"""),43119.64583333333)</f>
        <v>43119.64583</v>
      </c>
      <c r="B178" s="1">
        <f>IFERROR(__xludf.DUMMYFUNCTION("""COMPUTED_VALUE"""),18350.0)</f>
        <v>18350</v>
      </c>
      <c r="C178" s="1">
        <f>IFERROR(__xludf.DUMMYFUNCTION("""COMPUTED_VALUE"""),18800.0)</f>
        <v>18800</v>
      </c>
      <c r="D178" s="1">
        <f>IFERROR(__xludf.DUMMYFUNCTION("""COMPUTED_VALUE"""),16600.0)</f>
        <v>16600</v>
      </c>
      <c r="E178" s="1">
        <f>IFERROR(__xludf.DUMMYFUNCTION("""COMPUTED_VALUE"""),17025.0)</f>
        <v>17025</v>
      </c>
      <c r="F178" s="1">
        <f>IFERROR(__xludf.DUMMYFUNCTION("""COMPUTED_VALUE"""),212942.0)</f>
        <v>212942</v>
      </c>
    </row>
    <row r="179">
      <c r="A179" s="2">
        <f>IFERROR(__xludf.DUMMYFUNCTION("""COMPUTED_VALUE"""),43122.64583333333)</f>
        <v>43122.64583</v>
      </c>
      <c r="B179" s="1">
        <f>IFERROR(__xludf.DUMMYFUNCTION("""COMPUTED_VALUE"""),16625.0)</f>
        <v>16625</v>
      </c>
      <c r="C179" s="1">
        <f>IFERROR(__xludf.DUMMYFUNCTION("""COMPUTED_VALUE"""),16800.0)</f>
        <v>16800</v>
      </c>
      <c r="D179" s="1">
        <f>IFERROR(__xludf.DUMMYFUNCTION("""COMPUTED_VALUE"""),14950.0)</f>
        <v>14950</v>
      </c>
      <c r="E179" s="1">
        <f>IFERROR(__xludf.DUMMYFUNCTION("""COMPUTED_VALUE"""),15975.0)</f>
        <v>15975</v>
      </c>
      <c r="F179" s="1">
        <f>IFERROR(__xludf.DUMMYFUNCTION("""COMPUTED_VALUE"""),249931.0)</f>
        <v>249931</v>
      </c>
    </row>
    <row r="180">
      <c r="A180" s="2">
        <f>IFERROR(__xludf.DUMMYFUNCTION("""COMPUTED_VALUE"""),43123.64583333333)</f>
        <v>43123.64583</v>
      </c>
      <c r="B180" s="1">
        <f>IFERROR(__xludf.DUMMYFUNCTION("""COMPUTED_VALUE"""),15975.0)</f>
        <v>15975</v>
      </c>
      <c r="C180" s="1">
        <f>IFERROR(__xludf.DUMMYFUNCTION("""COMPUTED_VALUE"""),15975.0)</f>
        <v>15975</v>
      </c>
      <c r="D180" s="1">
        <f>IFERROR(__xludf.DUMMYFUNCTION("""COMPUTED_VALUE"""),15150.0)</f>
        <v>15150</v>
      </c>
      <c r="E180" s="1">
        <f>IFERROR(__xludf.DUMMYFUNCTION("""COMPUTED_VALUE"""),15375.0)</f>
        <v>15375</v>
      </c>
      <c r="F180" s="1">
        <f>IFERROR(__xludf.DUMMYFUNCTION("""COMPUTED_VALUE"""),115410.0)</f>
        <v>115410</v>
      </c>
    </row>
    <row r="181">
      <c r="A181" s="2">
        <f>IFERROR(__xludf.DUMMYFUNCTION("""COMPUTED_VALUE"""),43124.64583333333)</f>
        <v>43124.64583</v>
      </c>
      <c r="B181" s="1">
        <f>IFERROR(__xludf.DUMMYFUNCTION("""COMPUTED_VALUE"""),15350.0)</f>
        <v>15350</v>
      </c>
      <c r="C181" s="1">
        <f>IFERROR(__xludf.DUMMYFUNCTION("""COMPUTED_VALUE"""),16150.0)</f>
        <v>16150</v>
      </c>
      <c r="D181" s="1">
        <f>IFERROR(__xludf.DUMMYFUNCTION("""COMPUTED_VALUE"""),15100.0)</f>
        <v>15100</v>
      </c>
      <c r="E181" s="1">
        <f>IFERROR(__xludf.DUMMYFUNCTION("""COMPUTED_VALUE"""),15650.0)</f>
        <v>15650</v>
      </c>
      <c r="F181" s="1">
        <f>IFERROR(__xludf.DUMMYFUNCTION("""COMPUTED_VALUE"""),77933.0)</f>
        <v>77933</v>
      </c>
    </row>
    <row r="182">
      <c r="A182" s="2">
        <f>IFERROR(__xludf.DUMMYFUNCTION("""COMPUTED_VALUE"""),43125.64583333333)</f>
        <v>43125.64583</v>
      </c>
      <c r="B182" s="1">
        <f>IFERROR(__xludf.DUMMYFUNCTION("""COMPUTED_VALUE"""),15650.0)</f>
        <v>15650</v>
      </c>
      <c r="C182" s="1">
        <f>IFERROR(__xludf.DUMMYFUNCTION("""COMPUTED_VALUE"""),16100.0)</f>
        <v>16100</v>
      </c>
      <c r="D182" s="1">
        <f>IFERROR(__xludf.DUMMYFUNCTION("""COMPUTED_VALUE"""),15225.0)</f>
        <v>15225</v>
      </c>
      <c r="E182" s="1">
        <f>IFERROR(__xludf.DUMMYFUNCTION("""COMPUTED_VALUE"""),15975.0)</f>
        <v>15975</v>
      </c>
      <c r="F182" s="1">
        <f>IFERROR(__xludf.DUMMYFUNCTION("""COMPUTED_VALUE"""),55889.0)</f>
        <v>55889</v>
      </c>
    </row>
    <row r="183">
      <c r="A183" s="2">
        <f>IFERROR(__xludf.DUMMYFUNCTION("""COMPUTED_VALUE"""),43126.64583333333)</f>
        <v>43126.64583</v>
      </c>
      <c r="B183" s="1">
        <f>IFERROR(__xludf.DUMMYFUNCTION("""COMPUTED_VALUE"""),15775.0)</f>
        <v>15775</v>
      </c>
      <c r="C183" s="1">
        <f>IFERROR(__xludf.DUMMYFUNCTION("""COMPUTED_VALUE"""),16050.0)</f>
        <v>16050</v>
      </c>
      <c r="D183" s="1">
        <f>IFERROR(__xludf.DUMMYFUNCTION("""COMPUTED_VALUE"""),15500.0)</f>
        <v>15500</v>
      </c>
      <c r="E183" s="1">
        <f>IFERROR(__xludf.DUMMYFUNCTION("""COMPUTED_VALUE"""),15900.0)</f>
        <v>15900</v>
      </c>
      <c r="F183" s="1">
        <f>IFERROR(__xludf.DUMMYFUNCTION("""COMPUTED_VALUE"""),41955.0)</f>
        <v>41955</v>
      </c>
    </row>
    <row r="184">
      <c r="A184" s="2">
        <f>IFERROR(__xludf.DUMMYFUNCTION("""COMPUTED_VALUE"""),43129.64583333333)</f>
        <v>43129.64583</v>
      </c>
      <c r="B184" s="1">
        <f>IFERROR(__xludf.DUMMYFUNCTION("""COMPUTED_VALUE"""),15825.0)</f>
        <v>15825</v>
      </c>
      <c r="C184" s="1">
        <f>IFERROR(__xludf.DUMMYFUNCTION("""COMPUTED_VALUE"""),16725.0)</f>
        <v>16725</v>
      </c>
      <c r="D184" s="1">
        <f>IFERROR(__xludf.DUMMYFUNCTION("""COMPUTED_VALUE"""),15775.0)</f>
        <v>15775</v>
      </c>
      <c r="E184" s="1">
        <f>IFERROR(__xludf.DUMMYFUNCTION("""COMPUTED_VALUE"""),16275.0)</f>
        <v>16275</v>
      </c>
      <c r="F184" s="1">
        <f>IFERROR(__xludf.DUMMYFUNCTION("""COMPUTED_VALUE"""),105340.0)</f>
        <v>105340</v>
      </c>
    </row>
    <row r="185">
      <c r="A185" s="2">
        <f>IFERROR(__xludf.DUMMYFUNCTION("""COMPUTED_VALUE"""),43130.64583333333)</f>
        <v>43130.64583</v>
      </c>
      <c r="B185" s="1">
        <f>IFERROR(__xludf.DUMMYFUNCTION("""COMPUTED_VALUE"""),16350.0)</f>
        <v>16350</v>
      </c>
      <c r="C185" s="1">
        <f>IFERROR(__xludf.DUMMYFUNCTION("""COMPUTED_VALUE"""),16775.0)</f>
        <v>16775</v>
      </c>
      <c r="D185" s="1">
        <f>IFERROR(__xludf.DUMMYFUNCTION("""COMPUTED_VALUE"""),16000.0)</f>
        <v>16000</v>
      </c>
      <c r="E185" s="1">
        <f>IFERROR(__xludf.DUMMYFUNCTION("""COMPUTED_VALUE"""),16600.0)</f>
        <v>16600</v>
      </c>
      <c r="F185" s="1">
        <f>IFERROR(__xludf.DUMMYFUNCTION("""COMPUTED_VALUE"""),84013.0)</f>
        <v>84013</v>
      </c>
    </row>
    <row r="186">
      <c r="A186" s="2">
        <f>IFERROR(__xludf.DUMMYFUNCTION("""COMPUTED_VALUE"""),43131.64583333333)</f>
        <v>43131.64583</v>
      </c>
      <c r="B186" s="1">
        <f>IFERROR(__xludf.DUMMYFUNCTION("""COMPUTED_VALUE"""),16600.0)</f>
        <v>16600</v>
      </c>
      <c r="C186" s="1">
        <f>IFERROR(__xludf.DUMMYFUNCTION("""COMPUTED_VALUE"""),16700.0)</f>
        <v>16700</v>
      </c>
      <c r="D186" s="1">
        <f>IFERROR(__xludf.DUMMYFUNCTION("""COMPUTED_VALUE"""),15750.0)</f>
        <v>15750</v>
      </c>
      <c r="E186" s="1">
        <f>IFERROR(__xludf.DUMMYFUNCTION("""COMPUTED_VALUE"""),16075.0)</f>
        <v>16075</v>
      </c>
      <c r="F186" s="1">
        <f>IFERROR(__xludf.DUMMYFUNCTION("""COMPUTED_VALUE"""),90639.0)</f>
        <v>90639</v>
      </c>
    </row>
    <row r="187">
      <c r="A187" s="2">
        <f>IFERROR(__xludf.DUMMYFUNCTION("""COMPUTED_VALUE"""),43132.64583333333)</f>
        <v>43132.64583</v>
      </c>
      <c r="B187" s="1">
        <f>IFERROR(__xludf.DUMMYFUNCTION("""COMPUTED_VALUE"""),16750.0)</f>
        <v>16750</v>
      </c>
      <c r="C187" s="1">
        <f>IFERROR(__xludf.DUMMYFUNCTION("""COMPUTED_VALUE"""),18350.0)</f>
        <v>18350</v>
      </c>
      <c r="D187" s="1">
        <f>IFERROR(__xludf.DUMMYFUNCTION("""COMPUTED_VALUE"""),16600.0)</f>
        <v>16600</v>
      </c>
      <c r="E187" s="1">
        <f>IFERROR(__xludf.DUMMYFUNCTION("""COMPUTED_VALUE"""),17775.0)</f>
        <v>17775</v>
      </c>
      <c r="F187" s="1">
        <f>IFERROR(__xludf.DUMMYFUNCTION("""COMPUTED_VALUE"""),431568.0)</f>
        <v>431568</v>
      </c>
    </row>
    <row r="188">
      <c r="A188" s="2">
        <f>IFERROR(__xludf.DUMMYFUNCTION("""COMPUTED_VALUE"""),43133.64583333333)</f>
        <v>43133.64583</v>
      </c>
      <c r="B188" s="1">
        <f>IFERROR(__xludf.DUMMYFUNCTION("""COMPUTED_VALUE"""),18200.0)</f>
        <v>18200</v>
      </c>
      <c r="C188" s="1">
        <f>IFERROR(__xludf.DUMMYFUNCTION("""COMPUTED_VALUE"""),19075.0)</f>
        <v>19075</v>
      </c>
      <c r="D188" s="1">
        <f>IFERROR(__xludf.DUMMYFUNCTION("""COMPUTED_VALUE"""),17225.0)</f>
        <v>17225</v>
      </c>
      <c r="E188" s="1">
        <f>IFERROR(__xludf.DUMMYFUNCTION("""COMPUTED_VALUE"""),17600.0)</f>
        <v>17600</v>
      </c>
      <c r="F188" s="1">
        <f>IFERROR(__xludf.DUMMYFUNCTION("""COMPUTED_VALUE"""),259042.0)</f>
        <v>259042</v>
      </c>
    </row>
    <row r="189">
      <c r="A189" s="2">
        <f>IFERROR(__xludf.DUMMYFUNCTION("""COMPUTED_VALUE"""),43136.64583333333)</f>
        <v>43136.64583</v>
      </c>
      <c r="B189" s="1">
        <f>IFERROR(__xludf.DUMMYFUNCTION("""COMPUTED_VALUE"""),16700.0)</f>
        <v>16700</v>
      </c>
      <c r="C189" s="1">
        <f>IFERROR(__xludf.DUMMYFUNCTION("""COMPUTED_VALUE"""),17475.0)</f>
        <v>17475</v>
      </c>
      <c r="D189" s="1">
        <f>IFERROR(__xludf.DUMMYFUNCTION("""COMPUTED_VALUE"""),16250.0)</f>
        <v>16250</v>
      </c>
      <c r="E189" s="1">
        <f>IFERROR(__xludf.DUMMYFUNCTION("""COMPUTED_VALUE"""),16275.0)</f>
        <v>16275</v>
      </c>
      <c r="F189" s="1">
        <f>IFERROR(__xludf.DUMMYFUNCTION("""COMPUTED_VALUE"""),78958.0)</f>
        <v>78958</v>
      </c>
    </row>
    <row r="190">
      <c r="A190" s="2">
        <f>IFERROR(__xludf.DUMMYFUNCTION("""COMPUTED_VALUE"""),43137.64583333333)</f>
        <v>43137.64583</v>
      </c>
      <c r="B190" s="1">
        <f>IFERROR(__xludf.DUMMYFUNCTION("""COMPUTED_VALUE"""),15400.0)</f>
        <v>15400</v>
      </c>
      <c r="C190" s="1">
        <f>IFERROR(__xludf.DUMMYFUNCTION("""COMPUTED_VALUE"""),16200.0)</f>
        <v>16200</v>
      </c>
      <c r="D190" s="1">
        <f>IFERROR(__xludf.DUMMYFUNCTION("""COMPUTED_VALUE"""),15150.0)</f>
        <v>15150</v>
      </c>
      <c r="E190" s="1">
        <f>IFERROR(__xludf.DUMMYFUNCTION("""COMPUTED_VALUE"""),16050.0)</f>
        <v>16050</v>
      </c>
      <c r="F190" s="1">
        <f>IFERROR(__xludf.DUMMYFUNCTION("""COMPUTED_VALUE"""),132077.0)</f>
        <v>132077</v>
      </c>
    </row>
    <row r="191">
      <c r="A191" s="2">
        <f>IFERROR(__xludf.DUMMYFUNCTION("""COMPUTED_VALUE"""),43138.64583333333)</f>
        <v>43138.64583</v>
      </c>
      <c r="B191" s="1">
        <f>IFERROR(__xludf.DUMMYFUNCTION("""COMPUTED_VALUE"""),16300.0)</f>
        <v>16300</v>
      </c>
      <c r="C191" s="1">
        <f>IFERROR(__xludf.DUMMYFUNCTION("""COMPUTED_VALUE"""),17275.0)</f>
        <v>17275</v>
      </c>
      <c r="D191" s="1">
        <f>IFERROR(__xludf.DUMMYFUNCTION("""COMPUTED_VALUE"""),15900.0)</f>
        <v>15900</v>
      </c>
      <c r="E191" s="1">
        <f>IFERROR(__xludf.DUMMYFUNCTION("""COMPUTED_VALUE"""),16325.0)</f>
        <v>16325</v>
      </c>
      <c r="F191" s="1">
        <f>IFERROR(__xludf.DUMMYFUNCTION("""COMPUTED_VALUE"""),118860.0)</f>
        <v>118860</v>
      </c>
    </row>
    <row r="192">
      <c r="A192" s="2">
        <f>IFERROR(__xludf.DUMMYFUNCTION("""COMPUTED_VALUE"""),43139.64583333333)</f>
        <v>43139.64583</v>
      </c>
      <c r="B192" s="1">
        <f>IFERROR(__xludf.DUMMYFUNCTION("""COMPUTED_VALUE"""),16350.0)</f>
        <v>16350</v>
      </c>
      <c r="C192" s="1">
        <f>IFERROR(__xludf.DUMMYFUNCTION("""COMPUTED_VALUE"""),17050.0)</f>
        <v>17050</v>
      </c>
      <c r="D192" s="1">
        <f>IFERROR(__xludf.DUMMYFUNCTION("""COMPUTED_VALUE"""),16300.0)</f>
        <v>16300</v>
      </c>
      <c r="E192" s="1">
        <f>IFERROR(__xludf.DUMMYFUNCTION("""COMPUTED_VALUE"""),16950.0)</f>
        <v>16950</v>
      </c>
      <c r="F192" s="1">
        <f>IFERROR(__xludf.DUMMYFUNCTION("""COMPUTED_VALUE"""),36744.0)</f>
        <v>36744</v>
      </c>
    </row>
    <row r="193">
      <c r="A193" s="2">
        <f>IFERROR(__xludf.DUMMYFUNCTION("""COMPUTED_VALUE"""),43140.64583333333)</f>
        <v>43140.64583</v>
      </c>
      <c r="B193" s="1">
        <f>IFERROR(__xludf.DUMMYFUNCTION("""COMPUTED_VALUE"""),16250.0)</f>
        <v>16250</v>
      </c>
      <c r="C193" s="1">
        <f>IFERROR(__xludf.DUMMYFUNCTION("""COMPUTED_VALUE"""),16675.0)</f>
        <v>16675</v>
      </c>
      <c r="D193" s="1">
        <f>IFERROR(__xludf.DUMMYFUNCTION("""COMPUTED_VALUE"""),16075.0)</f>
        <v>16075</v>
      </c>
      <c r="E193" s="1">
        <f>IFERROR(__xludf.DUMMYFUNCTION("""COMPUTED_VALUE"""),16550.0)</f>
        <v>16550</v>
      </c>
      <c r="F193" s="1">
        <f>IFERROR(__xludf.DUMMYFUNCTION("""COMPUTED_VALUE"""),40741.0)</f>
        <v>40741</v>
      </c>
    </row>
    <row r="194">
      <c r="A194" s="2">
        <f>IFERROR(__xludf.DUMMYFUNCTION("""COMPUTED_VALUE"""),43143.64583333333)</f>
        <v>43143.64583</v>
      </c>
      <c r="B194" s="1">
        <f>IFERROR(__xludf.DUMMYFUNCTION("""COMPUTED_VALUE"""),16550.0)</f>
        <v>16550</v>
      </c>
      <c r="C194" s="1">
        <f>IFERROR(__xludf.DUMMYFUNCTION("""COMPUTED_VALUE"""),17550.0)</f>
        <v>17550</v>
      </c>
      <c r="D194" s="1">
        <f>IFERROR(__xludf.DUMMYFUNCTION("""COMPUTED_VALUE"""),16550.0)</f>
        <v>16550</v>
      </c>
      <c r="E194" s="1">
        <f>IFERROR(__xludf.DUMMYFUNCTION("""COMPUTED_VALUE"""),17350.0)</f>
        <v>17350</v>
      </c>
      <c r="F194" s="1">
        <f>IFERROR(__xludf.DUMMYFUNCTION("""COMPUTED_VALUE"""),61348.0)</f>
        <v>61348</v>
      </c>
    </row>
    <row r="195">
      <c r="A195" s="2">
        <f>IFERROR(__xludf.DUMMYFUNCTION("""COMPUTED_VALUE"""),43144.64583333333)</f>
        <v>43144.64583</v>
      </c>
      <c r="B195" s="1">
        <f>IFERROR(__xludf.DUMMYFUNCTION("""COMPUTED_VALUE"""),17600.0)</f>
        <v>17600</v>
      </c>
      <c r="C195" s="1">
        <f>IFERROR(__xludf.DUMMYFUNCTION("""COMPUTED_VALUE"""),17750.0)</f>
        <v>17750</v>
      </c>
      <c r="D195" s="1">
        <f>IFERROR(__xludf.DUMMYFUNCTION("""COMPUTED_VALUE"""),16850.0)</f>
        <v>16850</v>
      </c>
      <c r="E195" s="1">
        <f>IFERROR(__xludf.DUMMYFUNCTION("""COMPUTED_VALUE"""),17125.0)</f>
        <v>17125</v>
      </c>
      <c r="F195" s="1">
        <f>IFERROR(__xludf.DUMMYFUNCTION("""COMPUTED_VALUE"""),59079.0)</f>
        <v>59079</v>
      </c>
    </row>
    <row r="196">
      <c r="A196" s="2">
        <f>IFERROR(__xludf.DUMMYFUNCTION("""COMPUTED_VALUE"""),43145.64583333333)</f>
        <v>43145.64583</v>
      </c>
      <c r="B196" s="1">
        <f>IFERROR(__xludf.DUMMYFUNCTION("""COMPUTED_VALUE"""),17075.0)</f>
        <v>17075</v>
      </c>
      <c r="C196" s="1">
        <f>IFERROR(__xludf.DUMMYFUNCTION("""COMPUTED_VALUE"""),17350.0)</f>
        <v>17350</v>
      </c>
      <c r="D196" s="1">
        <f>IFERROR(__xludf.DUMMYFUNCTION("""COMPUTED_VALUE"""),16525.0)</f>
        <v>16525</v>
      </c>
      <c r="E196" s="1">
        <f>IFERROR(__xludf.DUMMYFUNCTION("""COMPUTED_VALUE"""),17225.0)</f>
        <v>17225</v>
      </c>
      <c r="F196" s="1">
        <f>IFERROR(__xludf.DUMMYFUNCTION("""COMPUTED_VALUE"""),43920.0)</f>
        <v>43920</v>
      </c>
    </row>
    <row r="197">
      <c r="A197" s="2">
        <f>IFERROR(__xludf.DUMMYFUNCTION("""COMPUTED_VALUE"""),43150.64583333333)</f>
        <v>43150.64583</v>
      </c>
      <c r="B197" s="1">
        <f>IFERROR(__xludf.DUMMYFUNCTION("""COMPUTED_VALUE"""),17575.0)</f>
        <v>17575</v>
      </c>
      <c r="C197" s="1">
        <f>IFERROR(__xludf.DUMMYFUNCTION("""COMPUTED_VALUE"""),18125.0)</f>
        <v>18125</v>
      </c>
      <c r="D197" s="1">
        <f>IFERROR(__xludf.DUMMYFUNCTION("""COMPUTED_VALUE"""),17250.0)</f>
        <v>17250</v>
      </c>
      <c r="E197" s="1">
        <f>IFERROR(__xludf.DUMMYFUNCTION("""COMPUTED_VALUE"""),18100.0)</f>
        <v>18100</v>
      </c>
      <c r="F197" s="1">
        <f>IFERROR(__xludf.DUMMYFUNCTION("""COMPUTED_VALUE"""),68482.0)</f>
        <v>68482</v>
      </c>
    </row>
    <row r="198">
      <c r="A198" s="2">
        <f>IFERROR(__xludf.DUMMYFUNCTION("""COMPUTED_VALUE"""),43151.64583333333)</f>
        <v>43151.64583</v>
      </c>
      <c r="B198" s="1">
        <f>IFERROR(__xludf.DUMMYFUNCTION("""COMPUTED_VALUE"""),18025.0)</f>
        <v>18025</v>
      </c>
      <c r="C198" s="1">
        <f>IFERROR(__xludf.DUMMYFUNCTION("""COMPUTED_VALUE"""),18275.0)</f>
        <v>18275</v>
      </c>
      <c r="D198" s="1">
        <f>IFERROR(__xludf.DUMMYFUNCTION("""COMPUTED_VALUE"""),17825.0)</f>
        <v>17825</v>
      </c>
      <c r="E198" s="1">
        <f>IFERROR(__xludf.DUMMYFUNCTION("""COMPUTED_VALUE"""),18100.0)</f>
        <v>18100</v>
      </c>
      <c r="F198" s="1">
        <f>IFERROR(__xludf.DUMMYFUNCTION("""COMPUTED_VALUE"""),32316.0)</f>
        <v>32316</v>
      </c>
    </row>
    <row r="199">
      <c r="A199" s="2">
        <f>IFERROR(__xludf.DUMMYFUNCTION("""COMPUTED_VALUE"""),43152.64583333333)</f>
        <v>43152.64583</v>
      </c>
      <c r="B199" s="1">
        <f>IFERROR(__xludf.DUMMYFUNCTION("""COMPUTED_VALUE"""),18100.0)</f>
        <v>18100</v>
      </c>
      <c r="C199" s="1">
        <f>IFERROR(__xludf.DUMMYFUNCTION("""COMPUTED_VALUE"""),18200.0)</f>
        <v>18200</v>
      </c>
      <c r="D199" s="1">
        <f>IFERROR(__xludf.DUMMYFUNCTION("""COMPUTED_VALUE"""),17525.0)</f>
        <v>17525</v>
      </c>
      <c r="E199" s="1">
        <f>IFERROR(__xludf.DUMMYFUNCTION("""COMPUTED_VALUE"""),17825.0)</f>
        <v>17825</v>
      </c>
      <c r="F199" s="1">
        <f>IFERROR(__xludf.DUMMYFUNCTION("""COMPUTED_VALUE"""),47642.0)</f>
        <v>47642</v>
      </c>
    </row>
    <row r="200">
      <c r="A200" s="2">
        <f>IFERROR(__xludf.DUMMYFUNCTION("""COMPUTED_VALUE"""),43153.64583333333)</f>
        <v>43153.64583</v>
      </c>
      <c r="B200" s="1">
        <f>IFERROR(__xludf.DUMMYFUNCTION("""COMPUTED_VALUE"""),17825.0)</f>
        <v>17825</v>
      </c>
      <c r="C200" s="1">
        <f>IFERROR(__xludf.DUMMYFUNCTION("""COMPUTED_VALUE"""),17875.0)</f>
        <v>17875</v>
      </c>
      <c r="D200" s="1">
        <f>IFERROR(__xludf.DUMMYFUNCTION("""COMPUTED_VALUE"""),17150.0)</f>
        <v>17150</v>
      </c>
      <c r="E200" s="1">
        <f>IFERROR(__xludf.DUMMYFUNCTION("""COMPUTED_VALUE"""),17400.0)</f>
        <v>17400</v>
      </c>
      <c r="F200" s="1">
        <f>IFERROR(__xludf.DUMMYFUNCTION("""COMPUTED_VALUE"""),24140.0)</f>
        <v>24140</v>
      </c>
    </row>
    <row r="201">
      <c r="A201" s="2">
        <f>IFERROR(__xludf.DUMMYFUNCTION("""COMPUTED_VALUE"""),43154.64583333333)</f>
        <v>43154.64583</v>
      </c>
      <c r="B201" s="1">
        <f>IFERROR(__xludf.DUMMYFUNCTION("""COMPUTED_VALUE"""),17400.0)</f>
        <v>17400</v>
      </c>
      <c r="C201" s="1">
        <f>IFERROR(__xludf.DUMMYFUNCTION("""COMPUTED_VALUE"""),17500.0)</f>
        <v>17500</v>
      </c>
      <c r="D201" s="1">
        <f>IFERROR(__xludf.DUMMYFUNCTION("""COMPUTED_VALUE"""),16600.0)</f>
        <v>16600</v>
      </c>
      <c r="E201" s="1">
        <f>IFERROR(__xludf.DUMMYFUNCTION("""COMPUTED_VALUE"""),16875.0)</f>
        <v>16875</v>
      </c>
      <c r="F201" s="1">
        <f>IFERROR(__xludf.DUMMYFUNCTION("""COMPUTED_VALUE"""),41894.0)</f>
        <v>41894</v>
      </c>
    </row>
    <row r="202">
      <c r="A202" s="2">
        <f>IFERROR(__xludf.DUMMYFUNCTION("""COMPUTED_VALUE"""),43157.64583333333)</f>
        <v>43157.64583</v>
      </c>
      <c r="B202" s="1">
        <f>IFERROR(__xludf.DUMMYFUNCTION("""COMPUTED_VALUE"""),17000.0)</f>
        <v>17000</v>
      </c>
      <c r="C202" s="1">
        <f>IFERROR(__xludf.DUMMYFUNCTION("""COMPUTED_VALUE"""),17000.0)</f>
        <v>17000</v>
      </c>
      <c r="D202" s="1">
        <f>IFERROR(__xludf.DUMMYFUNCTION("""COMPUTED_VALUE"""),16050.0)</f>
        <v>16050</v>
      </c>
      <c r="E202" s="1">
        <f>IFERROR(__xludf.DUMMYFUNCTION("""COMPUTED_VALUE"""),16525.0)</f>
        <v>16525</v>
      </c>
      <c r="F202" s="1">
        <f>IFERROR(__xludf.DUMMYFUNCTION("""COMPUTED_VALUE"""),82301.0)</f>
        <v>82301</v>
      </c>
    </row>
    <row r="203">
      <c r="A203" s="2">
        <f>IFERROR(__xludf.DUMMYFUNCTION("""COMPUTED_VALUE"""),43158.64583333333)</f>
        <v>43158.64583</v>
      </c>
      <c r="B203" s="1">
        <f>IFERROR(__xludf.DUMMYFUNCTION("""COMPUTED_VALUE"""),16575.0)</f>
        <v>16575</v>
      </c>
      <c r="C203" s="1">
        <f>IFERROR(__xludf.DUMMYFUNCTION("""COMPUTED_VALUE"""),16575.0)</f>
        <v>16575</v>
      </c>
      <c r="D203" s="1">
        <f>IFERROR(__xludf.DUMMYFUNCTION("""COMPUTED_VALUE"""),16075.0)</f>
        <v>16075</v>
      </c>
      <c r="E203" s="1">
        <f>IFERROR(__xludf.DUMMYFUNCTION("""COMPUTED_VALUE"""),16375.0)</f>
        <v>16375</v>
      </c>
      <c r="F203" s="1">
        <f>IFERROR(__xludf.DUMMYFUNCTION("""COMPUTED_VALUE"""),28517.0)</f>
        <v>28517</v>
      </c>
    </row>
    <row r="204">
      <c r="A204" s="2">
        <f>IFERROR(__xludf.DUMMYFUNCTION("""COMPUTED_VALUE"""),43159.64583333333)</f>
        <v>43159.64583</v>
      </c>
      <c r="B204" s="1">
        <f>IFERROR(__xludf.DUMMYFUNCTION("""COMPUTED_VALUE"""),16175.0)</f>
        <v>16175</v>
      </c>
      <c r="C204" s="1">
        <f>IFERROR(__xludf.DUMMYFUNCTION("""COMPUTED_VALUE"""),16175.0)</f>
        <v>16175</v>
      </c>
      <c r="D204" s="1">
        <f>IFERROR(__xludf.DUMMYFUNCTION("""COMPUTED_VALUE"""),15975.0)</f>
        <v>15975</v>
      </c>
      <c r="E204" s="1">
        <f>IFERROR(__xludf.DUMMYFUNCTION("""COMPUTED_VALUE"""),16100.0)</f>
        <v>16100</v>
      </c>
      <c r="F204" s="1">
        <f>IFERROR(__xludf.DUMMYFUNCTION("""COMPUTED_VALUE"""),23468.0)</f>
        <v>23468</v>
      </c>
    </row>
    <row r="205">
      <c r="A205" s="2">
        <f>IFERROR(__xludf.DUMMYFUNCTION("""COMPUTED_VALUE"""),43161.64583333333)</f>
        <v>43161.64583</v>
      </c>
      <c r="B205" s="1">
        <f>IFERROR(__xludf.DUMMYFUNCTION("""COMPUTED_VALUE"""),15600.0)</f>
        <v>15600</v>
      </c>
      <c r="C205" s="1">
        <f>IFERROR(__xludf.DUMMYFUNCTION("""COMPUTED_VALUE"""),16500.0)</f>
        <v>16500</v>
      </c>
      <c r="D205" s="1">
        <f>IFERROR(__xludf.DUMMYFUNCTION("""COMPUTED_VALUE"""),15600.0)</f>
        <v>15600</v>
      </c>
      <c r="E205" s="1">
        <f>IFERROR(__xludf.DUMMYFUNCTION("""COMPUTED_VALUE"""),16250.0)</f>
        <v>16250</v>
      </c>
      <c r="F205" s="1">
        <f>IFERROR(__xludf.DUMMYFUNCTION("""COMPUTED_VALUE"""),32483.0)</f>
        <v>32483</v>
      </c>
    </row>
    <row r="206">
      <c r="A206" s="2">
        <f>IFERROR(__xludf.DUMMYFUNCTION("""COMPUTED_VALUE"""),43164.64583333333)</f>
        <v>43164.64583</v>
      </c>
      <c r="B206" s="1">
        <f>IFERROR(__xludf.DUMMYFUNCTION("""COMPUTED_VALUE"""),16250.0)</f>
        <v>16250</v>
      </c>
      <c r="C206" s="1">
        <f>IFERROR(__xludf.DUMMYFUNCTION("""COMPUTED_VALUE"""),16275.0)</f>
        <v>16275</v>
      </c>
      <c r="D206" s="1">
        <f>IFERROR(__xludf.DUMMYFUNCTION("""COMPUTED_VALUE"""),15550.0)</f>
        <v>15550</v>
      </c>
      <c r="E206" s="1">
        <f>IFERROR(__xludf.DUMMYFUNCTION("""COMPUTED_VALUE"""),15700.0)</f>
        <v>15700</v>
      </c>
      <c r="F206" s="1">
        <f>IFERROR(__xludf.DUMMYFUNCTION("""COMPUTED_VALUE"""),41327.0)</f>
        <v>41327</v>
      </c>
    </row>
    <row r="207">
      <c r="A207" s="2">
        <f>IFERROR(__xludf.DUMMYFUNCTION("""COMPUTED_VALUE"""),43165.64583333333)</f>
        <v>43165.64583</v>
      </c>
      <c r="B207" s="1">
        <f>IFERROR(__xludf.DUMMYFUNCTION("""COMPUTED_VALUE"""),15850.0)</f>
        <v>15850</v>
      </c>
      <c r="C207" s="1">
        <f>IFERROR(__xludf.DUMMYFUNCTION("""COMPUTED_VALUE"""),16150.0)</f>
        <v>16150</v>
      </c>
      <c r="D207" s="1">
        <f>IFERROR(__xludf.DUMMYFUNCTION("""COMPUTED_VALUE"""),15625.0)</f>
        <v>15625</v>
      </c>
      <c r="E207" s="1">
        <f>IFERROR(__xludf.DUMMYFUNCTION("""COMPUTED_VALUE"""),15650.0)</f>
        <v>15650</v>
      </c>
      <c r="F207" s="1">
        <f>IFERROR(__xludf.DUMMYFUNCTION("""COMPUTED_VALUE"""),30031.0)</f>
        <v>30031</v>
      </c>
    </row>
    <row r="208">
      <c r="A208" s="2">
        <f>IFERROR(__xludf.DUMMYFUNCTION("""COMPUTED_VALUE"""),43166.64583333333)</f>
        <v>43166.64583</v>
      </c>
      <c r="B208" s="1">
        <f>IFERROR(__xludf.DUMMYFUNCTION("""COMPUTED_VALUE"""),15550.0)</f>
        <v>15550</v>
      </c>
      <c r="C208" s="1">
        <f>IFERROR(__xludf.DUMMYFUNCTION("""COMPUTED_VALUE"""),15875.0)</f>
        <v>15875</v>
      </c>
      <c r="D208" s="1">
        <f>IFERROR(__xludf.DUMMYFUNCTION("""COMPUTED_VALUE"""),15300.0)</f>
        <v>15300</v>
      </c>
      <c r="E208" s="1">
        <f>IFERROR(__xludf.DUMMYFUNCTION("""COMPUTED_VALUE"""),15475.0)</f>
        <v>15475</v>
      </c>
      <c r="F208" s="1">
        <f>IFERROR(__xludf.DUMMYFUNCTION("""COMPUTED_VALUE"""),28275.0)</f>
        <v>28275</v>
      </c>
    </row>
    <row r="209">
      <c r="A209" s="2">
        <f>IFERROR(__xludf.DUMMYFUNCTION("""COMPUTED_VALUE"""),43167.64583333333)</f>
        <v>43167.64583</v>
      </c>
      <c r="B209" s="1">
        <f>IFERROR(__xludf.DUMMYFUNCTION("""COMPUTED_VALUE"""),15425.0)</f>
        <v>15425</v>
      </c>
      <c r="C209" s="1">
        <f>IFERROR(__xludf.DUMMYFUNCTION("""COMPUTED_VALUE"""),15825.0)</f>
        <v>15825</v>
      </c>
      <c r="D209" s="1">
        <f>IFERROR(__xludf.DUMMYFUNCTION("""COMPUTED_VALUE"""),15400.0)</f>
        <v>15400</v>
      </c>
      <c r="E209" s="1">
        <f>IFERROR(__xludf.DUMMYFUNCTION("""COMPUTED_VALUE"""),15650.0)</f>
        <v>15650</v>
      </c>
      <c r="F209" s="1">
        <f>IFERROR(__xludf.DUMMYFUNCTION("""COMPUTED_VALUE"""),23233.0)</f>
        <v>23233</v>
      </c>
    </row>
    <row r="210">
      <c r="A210" s="2">
        <f>IFERROR(__xludf.DUMMYFUNCTION("""COMPUTED_VALUE"""),43168.64583333333)</f>
        <v>43168.64583</v>
      </c>
      <c r="B210" s="1">
        <f>IFERROR(__xludf.DUMMYFUNCTION("""COMPUTED_VALUE"""),15800.0)</f>
        <v>15800</v>
      </c>
      <c r="C210" s="1">
        <f>IFERROR(__xludf.DUMMYFUNCTION("""COMPUTED_VALUE"""),15800.0)</f>
        <v>15800</v>
      </c>
      <c r="D210" s="1">
        <f>IFERROR(__xludf.DUMMYFUNCTION("""COMPUTED_VALUE"""),15525.0)</f>
        <v>15525</v>
      </c>
      <c r="E210" s="1">
        <f>IFERROR(__xludf.DUMMYFUNCTION("""COMPUTED_VALUE"""),15625.0)</f>
        <v>15625</v>
      </c>
      <c r="F210" s="1">
        <f>IFERROR(__xludf.DUMMYFUNCTION("""COMPUTED_VALUE"""),30429.0)</f>
        <v>30429</v>
      </c>
    </row>
    <row r="211">
      <c r="A211" s="2">
        <f>IFERROR(__xludf.DUMMYFUNCTION("""COMPUTED_VALUE"""),43171.64583333333)</f>
        <v>43171.64583</v>
      </c>
      <c r="B211" s="1">
        <f>IFERROR(__xludf.DUMMYFUNCTION("""COMPUTED_VALUE"""),15900.0)</f>
        <v>15900</v>
      </c>
      <c r="C211" s="1">
        <f>IFERROR(__xludf.DUMMYFUNCTION("""COMPUTED_VALUE"""),16600.0)</f>
        <v>16600</v>
      </c>
      <c r="D211" s="1">
        <f>IFERROR(__xludf.DUMMYFUNCTION("""COMPUTED_VALUE"""),15625.0)</f>
        <v>15625</v>
      </c>
      <c r="E211" s="1">
        <f>IFERROR(__xludf.DUMMYFUNCTION("""COMPUTED_VALUE"""),16500.0)</f>
        <v>16500</v>
      </c>
      <c r="F211" s="1">
        <f>IFERROR(__xludf.DUMMYFUNCTION("""COMPUTED_VALUE"""),45519.0)</f>
        <v>45519</v>
      </c>
    </row>
    <row r="212">
      <c r="A212" s="2">
        <f>IFERROR(__xludf.DUMMYFUNCTION("""COMPUTED_VALUE"""),43172.64583333333)</f>
        <v>43172.64583</v>
      </c>
      <c r="B212" s="1">
        <f>IFERROR(__xludf.DUMMYFUNCTION("""COMPUTED_VALUE"""),16400.0)</f>
        <v>16400</v>
      </c>
      <c r="C212" s="1">
        <f>IFERROR(__xludf.DUMMYFUNCTION("""COMPUTED_VALUE"""),16700.0)</f>
        <v>16700</v>
      </c>
      <c r="D212" s="1">
        <f>IFERROR(__xludf.DUMMYFUNCTION("""COMPUTED_VALUE"""),16125.0)</f>
        <v>16125</v>
      </c>
      <c r="E212" s="1">
        <f>IFERROR(__xludf.DUMMYFUNCTION("""COMPUTED_VALUE"""),16700.0)</f>
        <v>16700</v>
      </c>
      <c r="F212" s="1">
        <f>IFERROR(__xludf.DUMMYFUNCTION("""COMPUTED_VALUE"""),40821.0)</f>
        <v>40821</v>
      </c>
    </row>
    <row r="213">
      <c r="A213" s="2">
        <f>IFERROR(__xludf.DUMMYFUNCTION("""COMPUTED_VALUE"""),43173.64583333333)</f>
        <v>43173.64583</v>
      </c>
      <c r="B213" s="1">
        <f>IFERROR(__xludf.DUMMYFUNCTION("""COMPUTED_VALUE"""),16550.0)</f>
        <v>16550</v>
      </c>
      <c r="C213" s="1">
        <f>IFERROR(__xludf.DUMMYFUNCTION("""COMPUTED_VALUE"""),18925.0)</f>
        <v>18925</v>
      </c>
      <c r="D213" s="1">
        <f>IFERROR(__xludf.DUMMYFUNCTION("""COMPUTED_VALUE"""),16300.0)</f>
        <v>16300</v>
      </c>
      <c r="E213" s="1">
        <f>IFERROR(__xludf.DUMMYFUNCTION("""COMPUTED_VALUE"""),18225.0)</f>
        <v>18225</v>
      </c>
      <c r="F213" s="1">
        <f>IFERROR(__xludf.DUMMYFUNCTION("""COMPUTED_VALUE"""),197100.0)</f>
        <v>197100</v>
      </c>
    </row>
    <row r="214">
      <c r="A214" s="2">
        <f>IFERROR(__xludf.DUMMYFUNCTION("""COMPUTED_VALUE"""),43174.64583333333)</f>
        <v>43174.64583</v>
      </c>
      <c r="B214" s="1">
        <f>IFERROR(__xludf.DUMMYFUNCTION("""COMPUTED_VALUE"""),18125.0)</f>
        <v>18125</v>
      </c>
      <c r="C214" s="1">
        <f>IFERROR(__xludf.DUMMYFUNCTION("""COMPUTED_VALUE"""),18375.0)</f>
        <v>18375</v>
      </c>
      <c r="D214" s="1">
        <f>IFERROR(__xludf.DUMMYFUNCTION("""COMPUTED_VALUE"""),17775.0)</f>
        <v>17775</v>
      </c>
      <c r="E214" s="1">
        <f>IFERROR(__xludf.DUMMYFUNCTION("""COMPUTED_VALUE"""),18100.0)</f>
        <v>18100</v>
      </c>
      <c r="F214" s="1">
        <f>IFERROR(__xludf.DUMMYFUNCTION("""COMPUTED_VALUE"""),63908.0)</f>
        <v>63908</v>
      </c>
    </row>
    <row r="215">
      <c r="A215" s="2">
        <f>IFERROR(__xludf.DUMMYFUNCTION("""COMPUTED_VALUE"""),43175.64583333333)</f>
        <v>43175.64583</v>
      </c>
      <c r="B215" s="1">
        <f>IFERROR(__xludf.DUMMYFUNCTION("""COMPUTED_VALUE"""),18025.0)</f>
        <v>18025</v>
      </c>
      <c r="C215" s="1">
        <f>IFERROR(__xludf.DUMMYFUNCTION("""COMPUTED_VALUE"""),18525.0)</f>
        <v>18525</v>
      </c>
      <c r="D215" s="1">
        <f>IFERROR(__xludf.DUMMYFUNCTION("""COMPUTED_VALUE"""),17500.0)</f>
        <v>17500</v>
      </c>
      <c r="E215" s="1">
        <f>IFERROR(__xludf.DUMMYFUNCTION("""COMPUTED_VALUE"""),18275.0)</f>
        <v>18275</v>
      </c>
      <c r="F215" s="1">
        <f>IFERROR(__xludf.DUMMYFUNCTION("""COMPUTED_VALUE"""),62946.0)</f>
        <v>62946</v>
      </c>
    </row>
    <row r="216">
      <c r="A216" s="2">
        <f>IFERROR(__xludf.DUMMYFUNCTION("""COMPUTED_VALUE"""),43178.64583333333)</f>
        <v>43178.64583</v>
      </c>
      <c r="B216" s="1">
        <f>IFERROR(__xludf.DUMMYFUNCTION("""COMPUTED_VALUE"""),18275.0)</f>
        <v>18275</v>
      </c>
      <c r="C216" s="1">
        <f>IFERROR(__xludf.DUMMYFUNCTION("""COMPUTED_VALUE"""),18875.0)</f>
        <v>18875</v>
      </c>
      <c r="D216" s="1">
        <f>IFERROR(__xludf.DUMMYFUNCTION("""COMPUTED_VALUE"""),18250.0)</f>
        <v>18250</v>
      </c>
      <c r="E216" s="1">
        <f>IFERROR(__xludf.DUMMYFUNCTION("""COMPUTED_VALUE"""),18625.0)</f>
        <v>18625</v>
      </c>
      <c r="F216" s="1">
        <f>IFERROR(__xludf.DUMMYFUNCTION("""COMPUTED_VALUE"""),77827.0)</f>
        <v>77827</v>
      </c>
    </row>
    <row r="217">
      <c r="A217" s="2">
        <f>IFERROR(__xludf.DUMMYFUNCTION("""COMPUTED_VALUE"""),43179.64583333333)</f>
        <v>43179.64583</v>
      </c>
      <c r="B217" s="1">
        <f>IFERROR(__xludf.DUMMYFUNCTION("""COMPUTED_VALUE"""),18500.0)</f>
        <v>18500</v>
      </c>
      <c r="C217" s="1">
        <f>IFERROR(__xludf.DUMMYFUNCTION("""COMPUTED_VALUE"""),18500.0)</f>
        <v>18500</v>
      </c>
      <c r="D217" s="1">
        <f>IFERROR(__xludf.DUMMYFUNCTION("""COMPUTED_VALUE"""),17775.0)</f>
        <v>17775</v>
      </c>
      <c r="E217" s="1">
        <f>IFERROR(__xludf.DUMMYFUNCTION("""COMPUTED_VALUE"""),17950.0)</f>
        <v>17950</v>
      </c>
      <c r="F217" s="1">
        <f>IFERROR(__xludf.DUMMYFUNCTION("""COMPUTED_VALUE"""),49021.0)</f>
        <v>49021</v>
      </c>
    </row>
    <row r="218">
      <c r="A218" s="2">
        <f>IFERROR(__xludf.DUMMYFUNCTION("""COMPUTED_VALUE"""),43180.64583333333)</f>
        <v>43180.64583</v>
      </c>
      <c r="B218" s="1">
        <f>IFERROR(__xludf.DUMMYFUNCTION("""COMPUTED_VALUE"""),18150.0)</f>
        <v>18150</v>
      </c>
      <c r="C218" s="1">
        <f>IFERROR(__xludf.DUMMYFUNCTION("""COMPUTED_VALUE"""),18150.0)</f>
        <v>18150</v>
      </c>
      <c r="D218" s="1">
        <f>IFERROR(__xludf.DUMMYFUNCTION("""COMPUTED_VALUE"""),17350.0)</f>
        <v>17350</v>
      </c>
      <c r="E218" s="1">
        <f>IFERROR(__xludf.DUMMYFUNCTION("""COMPUTED_VALUE"""),17500.0)</f>
        <v>17500</v>
      </c>
      <c r="F218" s="1">
        <f>IFERROR(__xludf.DUMMYFUNCTION("""COMPUTED_VALUE"""),42495.0)</f>
        <v>42495</v>
      </c>
    </row>
    <row r="219">
      <c r="A219" s="2">
        <f>IFERROR(__xludf.DUMMYFUNCTION("""COMPUTED_VALUE"""),43181.64583333333)</f>
        <v>43181.64583</v>
      </c>
      <c r="B219" s="1">
        <f>IFERROR(__xludf.DUMMYFUNCTION("""COMPUTED_VALUE"""),17325.0)</f>
        <v>17325</v>
      </c>
      <c r="C219" s="1">
        <f>IFERROR(__xludf.DUMMYFUNCTION("""COMPUTED_VALUE"""),17850.0)</f>
        <v>17850</v>
      </c>
      <c r="D219" s="1">
        <f>IFERROR(__xludf.DUMMYFUNCTION("""COMPUTED_VALUE"""),16975.0)</f>
        <v>16975</v>
      </c>
      <c r="E219" s="1">
        <f>IFERROR(__xludf.DUMMYFUNCTION("""COMPUTED_VALUE"""),17125.0)</f>
        <v>17125</v>
      </c>
      <c r="F219" s="1">
        <f>IFERROR(__xludf.DUMMYFUNCTION("""COMPUTED_VALUE"""),50569.0)</f>
        <v>50569</v>
      </c>
    </row>
    <row r="220">
      <c r="A220" s="2">
        <f>IFERROR(__xludf.DUMMYFUNCTION("""COMPUTED_VALUE"""),43182.64583333333)</f>
        <v>43182.64583</v>
      </c>
      <c r="B220" s="1">
        <f>IFERROR(__xludf.DUMMYFUNCTION("""COMPUTED_VALUE"""),16700.0)</f>
        <v>16700</v>
      </c>
      <c r="C220" s="1">
        <f>IFERROR(__xludf.DUMMYFUNCTION("""COMPUTED_VALUE"""),16950.0)</f>
        <v>16950</v>
      </c>
      <c r="D220" s="1">
        <f>IFERROR(__xludf.DUMMYFUNCTION("""COMPUTED_VALUE"""),16225.0)</f>
        <v>16225</v>
      </c>
      <c r="E220" s="1">
        <f>IFERROR(__xludf.DUMMYFUNCTION("""COMPUTED_VALUE"""),16500.0)</f>
        <v>16500</v>
      </c>
      <c r="F220" s="1">
        <f>IFERROR(__xludf.DUMMYFUNCTION("""COMPUTED_VALUE"""),52625.0)</f>
        <v>52625</v>
      </c>
    </row>
    <row r="221">
      <c r="A221" s="2">
        <f>IFERROR(__xludf.DUMMYFUNCTION("""COMPUTED_VALUE"""),43185.64583333333)</f>
        <v>43185.64583</v>
      </c>
      <c r="B221" s="1">
        <f>IFERROR(__xludf.DUMMYFUNCTION("""COMPUTED_VALUE"""),16200.0)</f>
        <v>16200</v>
      </c>
      <c r="C221" s="1">
        <f>IFERROR(__xludf.DUMMYFUNCTION("""COMPUTED_VALUE"""),16900.0)</f>
        <v>16900</v>
      </c>
      <c r="D221" s="1">
        <f>IFERROR(__xludf.DUMMYFUNCTION("""COMPUTED_VALUE"""),15275.0)</f>
        <v>15275</v>
      </c>
      <c r="E221" s="1">
        <f>IFERROR(__xludf.DUMMYFUNCTION("""COMPUTED_VALUE"""),16750.0)</f>
        <v>16750</v>
      </c>
      <c r="F221" s="1">
        <f>IFERROR(__xludf.DUMMYFUNCTION("""COMPUTED_VALUE"""),65504.0)</f>
        <v>65504</v>
      </c>
    </row>
    <row r="222">
      <c r="A222" s="2">
        <f>IFERROR(__xludf.DUMMYFUNCTION("""COMPUTED_VALUE"""),43186.64583333333)</f>
        <v>43186.64583</v>
      </c>
      <c r="B222" s="1">
        <f>IFERROR(__xludf.DUMMYFUNCTION("""COMPUTED_VALUE"""),16775.0)</f>
        <v>16775</v>
      </c>
      <c r="C222" s="1">
        <f>IFERROR(__xludf.DUMMYFUNCTION("""COMPUTED_VALUE"""),17300.0)</f>
        <v>17300</v>
      </c>
      <c r="D222" s="1">
        <f>IFERROR(__xludf.DUMMYFUNCTION("""COMPUTED_VALUE"""),16000.0)</f>
        <v>16000</v>
      </c>
      <c r="E222" s="1">
        <f>IFERROR(__xludf.DUMMYFUNCTION("""COMPUTED_VALUE"""),16500.0)</f>
        <v>16500</v>
      </c>
      <c r="F222" s="1">
        <f>IFERROR(__xludf.DUMMYFUNCTION("""COMPUTED_VALUE"""),34418.0)</f>
        <v>34418</v>
      </c>
    </row>
    <row r="223">
      <c r="A223" s="2">
        <f>IFERROR(__xludf.DUMMYFUNCTION("""COMPUTED_VALUE"""),43187.64583333333)</f>
        <v>43187.64583</v>
      </c>
      <c r="B223" s="1">
        <f>IFERROR(__xludf.DUMMYFUNCTION("""COMPUTED_VALUE"""),16225.0)</f>
        <v>16225</v>
      </c>
      <c r="C223" s="1">
        <f>IFERROR(__xludf.DUMMYFUNCTION("""COMPUTED_VALUE"""),16275.0)</f>
        <v>16275</v>
      </c>
      <c r="D223" s="1">
        <f>IFERROR(__xludf.DUMMYFUNCTION("""COMPUTED_VALUE"""),15800.0)</f>
        <v>15800</v>
      </c>
      <c r="E223" s="1">
        <f>IFERROR(__xludf.DUMMYFUNCTION("""COMPUTED_VALUE"""),15875.0)</f>
        <v>15875</v>
      </c>
      <c r="F223" s="1">
        <f>IFERROR(__xludf.DUMMYFUNCTION("""COMPUTED_VALUE"""),36430.0)</f>
        <v>36430</v>
      </c>
    </row>
    <row r="224">
      <c r="A224" s="2">
        <f>IFERROR(__xludf.DUMMYFUNCTION("""COMPUTED_VALUE"""),43188.64583333333)</f>
        <v>43188.64583</v>
      </c>
      <c r="B224" s="1">
        <f>IFERROR(__xludf.DUMMYFUNCTION("""COMPUTED_VALUE"""),15900.0)</f>
        <v>15900</v>
      </c>
      <c r="C224" s="1">
        <f>IFERROR(__xludf.DUMMYFUNCTION("""COMPUTED_VALUE"""),16300.0)</f>
        <v>16300</v>
      </c>
      <c r="D224" s="1">
        <f>IFERROR(__xludf.DUMMYFUNCTION("""COMPUTED_VALUE"""),15600.0)</f>
        <v>15600</v>
      </c>
      <c r="E224" s="1">
        <f>IFERROR(__xludf.DUMMYFUNCTION("""COMPUTED_VALUE"""),16050.0)</f>
        <v>16050</v>
      </c>
      <c r="F224" s="1">
        <f>IFERROR(__xludf.DUMMYFUNCTION("""COMPUTED_VALUE"""),40110.0)</f>
        <v>40110</v>
      </c>
    </row>
    <row r="225">
      <c r="A225" s="2">
        <f>IFERROR(__xludf.DUMMYFUNCTION("""COMPUTED_VALUE"""),43189.64583333333)</f>
        <v>43189.64583</v>
      </c>
      <c r="B225" s="1">
        <f>IFERROR(__xludf.DUMMYFUNCTION("""COMPUTED_VALUE"""),16300.0)</f>
        <v>16300</v>
      </c>
      <c r="C225" s="1">
        <f>IFERROR(__xludf.DUMMYFUNCTION("""COMPUTED_VALUE"""),16500.0)</f>
        <v>16500</v>
      </c>
      <c r="D225" s="1">
        <f>IFERROR(__xludf.DUMMYFUNCTION("""COMPUTED_VALUE"""),15825.0)</f>
        <v>15825</v>
      </c>
      <c r="E225" s="1">
        <f>IFERROR(__xludf.DUMMYFUNCTION("""COMPUTED_VALUE"""),16475.0)</f>
        <v>16475</v>
      </c>
      <c r="F225" s="1">
        <f>IFERROR(__xludf.DUMMYFUNCTION("""COMPUTED_VALUE"""),30408.0)</f>
        <v>30408</v>
      </c>
    </row>
    <row r="226">
      <c r="A226" s="2">
        <f>IFERROR(__xludf.DUMMYFUNCTION("""COMPUTED_VALUE"""),43192.64583333333)</f>
        <v>43192.64583</v>
      </c>
      <c r="B226" s="1">
        <f>IFERROR(__xludf.DUMMYFUNCTION("""COMPUTED_VALUE"""),16500.0)</f>
        <v>16500</v>
      </c>
      <c r="C226" s="1">
        <f>IFERROR(__xludf.DUMMYFUNCTION("""COMPUTED_VALUE"""),16500.0)</f>
        <v>16500</v>
      </c>
      <c r="D226" s="1">
        <f>IFERROR(__xludf.DUMMYFUNCTION("""COMPUTED_VALUE"""),15650.0)</f>
        <v>15650</v>
      </c>
      <c r="E226" s="1">
        <f>IFERROR(__xludf.DUMMYFUNCTION("""COMPUTED_VALUE"""),15725.0)</f>
        <v>15725</v>
      </c>
      <c r="F226" s="1">
        <f>IFERROR(__xludf.DUMMYFUNCTION("""COMPUTED_VALUE"""),35489.0)</f>
        <v>35489</v>
      </c>
    </row>
    <row r="227">
      <c r="A227" s="2">
        <f>IFERROR(__xludf.DUMMYFUNCTION("""COMPUTED_VALUE"""),43193.64583333333)</f>
        <v>43193.64583</v>
      </c>
      <c r="B227" s="1">
        <f>IFERROR(__xludf.DUMMYFUNCTION("""COMPUTED_VALUE"""),15500.0)</f>
        <v>15500</v>
      </c>
      <c r="C227" s="1">
        <f>IFERROR(__xludf.DUMMYFUNCTION("""COMPUTED_VALUE"""),15725.0)</f>
        <v>15725</v>
      </c>
      <c r="D227" s="1">
        <f>IFERROR(__xludf.DUMMYFUNCTION("""COMPUTED_VALUE"""),15350.0)</f>
        <v>15350</v>
      </c>
      <c r="E227" s="1">
        <f>IFERROR(__xludf.DUMMYFUNCTION("""COMPUTED_VALUE"""),15700.0)</f>
        <v>15700</v>
      </c>
      <c r="F227" s="1">
        <f>IFERROR(__xludf.DUMMYFUNCTION("""COMPUTED_VALUE"""),28670.0)</f>
        <v>28670</v>
      </c>
    </row>
    <row r="228">
      <c r="A228" s="2">
        <f>IFERROR(__xludf.DUMMYFUNCTION("""COMPUTED_VALUE"""),43194.64583333333)</f>
        <v>43194.64583</v>
      </c>
      <c r="B228" s="1">
        <f>IFERROR(__xludf.DUMMYFUNCTION("""COMPUTED_VALUE"""),15775.0)</f>
        <v>15775</v>
      </c>
      <c r="C228" s="1">
        <f>IFERROR(__xludf.DUMMYFUNCTION("""COMPUTED_VALUE"""),16125.0)</f>
        <v>16125</v>
      </c>
      <c r="D228" s="1">
        <f>IFERROR(__xludf.DUMMYFUNCTION("""COMPUTED_VALUE"""),15450.0)</f>
        <v>15450</v>
      </c>
      <c r="E228" s="1">
        <f>IFERROR(__xludf.DUMMYFUNCTION("""COMPUTED_VALUE"""),15675.0)</f>
        <v>15675</v>
      </c>
      <c r="F228" s="1">
        <f>IFERROR(__xludf.DUMMYFUNCTION("""COMPUTED_VALUE"""),49600.0)</f>
        <v>49600</v>
      </c>
    </row>
    <row r="229">
      <c r="A229" s="2">
        <f>IFERROR(__xludf.DUMMYFUNCTION("""COMPUTED_VALUE"""),43195.64583333333)</f>
        <v>43195.64583</v>
      </c>
      <c r="B229" s="1">
        <f>IFERROR(__xludf.DUMMYFUNCTION("""COMPUTED_VALUE"""),15525.0)</f>
        <v>15525</v>
      </c>
      <c r="C229" s="1">
        <f>IFERROR(__xludf.DUMMYFUNCTION("""COMPUTED_VALUE"""),15950.0)</f>
        <v>15950</v>
      </c>
      <c r="D229" s="1">
        <f>IFERROR(__xludf.DUMMYFUNCTION("""COMPUTED_VALUE"""),15325.0)</f>
        <v>15325</v>
      </c>
      <c r="E229" s="1">
        <f>IFERROR(__xludf.DUMMYFUNCTION("""COMPUTED_VALUE"""),15450.0)</f>
        <v>15450</v>
      </c>
      <c r="F229" s="1">
        <f>IFERROR(__xludf.DUMMYFUNCTION("""COMPUTED_VALUE"""),57607.0)</f>
        <v>57607</v>
      </c>
    </row>
    <row r="230">
      <c r="A230" s="2">
        <f>IFERROR(__xludf.DUMMYFUNCTION("""COMPUTED_VALUE"""),43196.64583333333)</f>
        <v>43196.64583</v>
      </c>
      <c r="B230" s="1">
        <f>IFERROR(__xludf.DUMMYFUNCTION("""COMPUTED_VALUE"""),15500.0)</f>
        <v>15500</v>
      </c>
      <c r="C230" s="1">
        <f>IFERROR(__xludf.DUMMYFUNCTION("""COMPUTED_VALUE"""),15500.0)</f>
        <v>15500</v>
      </c>
      <c r="D230" s="1">
        <f>IFERROR(__xludf.DUMMYFUNCTION("""COMPUTED_VALUE"""),14950.0)</f>
        <v>14950</v>
      </c>
      <c r="E230" s="1">
        <f>IFERROR(__xludf.DUMMYFUNCTION("""COMPUTED_VALUE"""),15225.0)</f>
        <v>15225</v>
      </c>
      <c r="F230" s="1">
        <f>IFERROR(__xludf.DUMMYFUNCTION("""COMPUTED_VALUE"""),33064.0)</f>
        <v>33064</v>
      </c>
    </row>
    <row r="231">
      <c r="A231" s="2">
        <f>IFERROR(__xludf.DUMMYFUNCTION("""COMPUTED_VALUE"""),43199.64583333333)</f>
        <v>43199.64583</v>
      </c>
      <c r="B231" s="1">
        <f>IFERROR(__xludf.DUMMYFUNCTION("""COMPUTED_VALUE"""),15075.0)</f>
        <v>15075</v>
      </c>
      <c r="C231" s="1">
        <f>IFERROR(__xludf.DUMMYFUNCTION("""COMPUTED_VALUE"""),15375.0)</f>
        <v>15375</v>
      </c>
      <c r="D231" s="1">
        <f>IFERROR(__xludf.DUMMYFUNCTION("""COMPUTED_VALUE"""),14950.0)</f>
        <v>14950</v>
      </c>
      <c r="E231" s="1">
        <f>IFERROR(__xludf.DUMMYFUNCTION("""COMPUTED_VALUE"""),15075.0)</f>
        <v>15075</v>
      </c>
      <c r="F231" s="1">
        <f>IFERROR(__xludf.DUMMYFUNCTION("""COMPUTED_VALUE"""),23378.0)</f>
        <v>23378</v>
      </c>
    </row>
    <row r="232">
      <c r="A232" s="2">
        <f>IFERROR(__xludf.DUMMYFUNCTION("""COMPUTED_VALUE"""),43200.64583333333)</f>
        <v>43200.64583</v>
      </c>
      <c r="B232" s="1">
        <f>IFERROR(__xludf.DUMMYFUNCTION("""COMPUTED_VALUE"""),15075.0)</f>
        <v>15075</v>
      </c>
      <c r="C232" s="1">
        <f>IFERROR(__xludf.DUMMYFUNCTION("""COMPUTED_VALUE"""),15350.0)</f>
        <v>15350</v>
      </c>
      <c r="D232" s="1">
        <f>IFERROR(__xludf.DUMMYFUNCTION("""COMPUTED_VALUE"""),14675.0)</f>
        <v>14675</v>
      </c>
      <c r="E232" s="1">
        <f>IFERROR(__xludf.DUMMYFUNCTION("""COMPUTED_VALUE"""),15000.0)</f>
        <v>15000</v>
      </c>
      <c r="F232" s="1">
        <f>IFERROR(__xludf.DUMMYFUNCTION("""COMPUTED_VALUE"""),55053.0)</f>
        <v>55053</v>
      </c>
    </row>
    <row r="233">
      <c r="A233" s="2">
        <f>IFERROR(__xludf.DUMMYFUNCTION("""COMPUTED_VALUE"""),43201.64583333333)</f>
        <v>43201.64583</v>
      </c>
      <c r="B233" s="1">
        <f>IFERROR(__xludf.DUMMYFUNCTION("""COMPUTED_VALUE"""),15075.0)</f>
        <v>15075</v>
      </c>
      <c r="C233" s="1">
        <f>IFERROR(__xludf.DUMMYFUNCTION("""COMPUTED_VALUE"""),16175.0)</f>
        <v>16175</v>
      </c>
      <c r="D233" s="1">
        <f>IFERROR(__xludf.DUMMYFUNCTION("""COMPUTED_VALUE"""),15075.0)</f>
        <v>15075</v>
      </c>
      <c r="E233" s="1">
        <f>IFERROR(__xludf.DUMMYFUNCTION("""COMPUTED_VALUE"""),15975.0)</f>
        <v>15975</v>
      </c>
      <c r="F233" s="1">
        <f>IFERROR(__xludf.DUMMYFUNCTION("""COMPUTED_VALUE"""),69523.0)</f>
        <v>69523</v>
      </c>
    </row>
    <row r="234">
      <c r="A234" s="2">
        <f>IFERROR(__xludf.DUMMYFUNCTION("""COMPUTED_VALUE"""),43202.64583333333)</f>
        <v>43202.64583</v>
      </c>
      <c r="B234" s="1">
        <f>IFERROR(__xludf.DUMMYFUNCTION("""COMPUTED_VALUE"""),16175.0)</f>
        <v>16175</v>
      </c>
      <c r="C234" s="1">
        <f>IFERROR(__xludf.DUMMYFUNCTION("""COMPUTED_VALUE"""),16725.0)</f>
        <v>16725</v>
      </c>
      <c r="D234" s="1">
        <f>IFERROR(__xludf.DUMMYFUNCTION("""COMPUTED_VALUE"""),15875.0)</f>
        <v>15875</v>
      </c>
      <c r="E234" s="1">
        <f>IFERROR(__xludf.DUMMYFUNCTION("""COMPUTED_VALUE"""),16350.0)</f>
        <v>16350</v>
      </c>
      <c r="F234" s="1">
        <f>IFERROR(__xludf.DUMMYFUNCTION("""COMPUTED_VALUE"""),50364.0)</f>
        <v>50364</v>
      </c>
    </row>
    <row r="235">
      <c r="A235" s="2">
        <f>IFERROR(__xludf.DUMMYFUNCTION("""COMPUTED_VALUE"""),43203.64583333333)</f>
        <v>43203.64583</v>
      </c>
      <c r="B235" s="1">
        <f>IFERROR(__xludf.DUMMYFUNCTION("""COMPUTED_VALUE"""),16675.0)</f>
        <v>16675</v>
      </c>
      <c r="C235" s="1">
        <f>IFERROR(__xludf.DUMMYFUNCTION("""COMPUTED_VALUE"""),16675.0)</f>
        <v>16675</v>
      </c>
      <c r="D235" s="1">
        <f>IFERROR(__xludf.DUMMYFUNCTION("""COMPUTED_VALUE"""),16100.0)</f>
        <v>16100</v>
      </c>
      <c r="E235" s="1">
        <f>IFERROR(__xludf.DUMMYFUNCTION("""COMPUTED_VALUE"""),16450.0)</f>
        <v>16450</v>
      </c>
      <c r="F235" s="1">
        <f>IFERROR(__xludf.DUMMYFUNCTION("""COMPUTED_VALUE"""),25437.0)</f>
        <v>25437</v>
      </c>
    </row>
    <row r="236">
      <c r="A236" s="2">
        <f>IFERROR(__xludf.DUMMYFUNCTION("""COMPUTED_VALUE"""),43206.64583333333)</f>
        <v>43206.64583</v>
      </c>
      <c r="B236" s="1">
        <f>IFERROR(__xludf.DUMMYFUNCTION("""COMPUTED_VALUE"""),16475.0)</f>
        <v>16475</v>
      </c>
      <c r="C236" s="1">
        <f>IFERROR(__xludf.DUMMYFUNCTION("""COMPUTED_VALUE"""),17350.0)</f>
        <v>17350</v>
      </c>
      <c r="D236" s="1">
        <f>IFERROR(__xludf.DUMMYFUNCTION("""COMPUTED_VALUE"""),16450.0)</f>
        <v>16450</v>
      </c>
      <c r="E236" s="1">
        <f>IFERROR(__xludf.DUMMYFUNCTION("""COMPUTED_VALUE"""),17250.0)</f>
        <v>17250</v>
      </c>
      <c r="F236" s="1">
        <f>IFERROR(__xludf.DUMMYFUNCTION("""COMPUTED_VALUE"""),36391.0)</f>
        <v>36391</v>
      </c>
    </row>
    <row r="237">
      <c r="A237" s="2">
        <f>IFERROR(__xludf.DUMMYFUNCTION("""COMPUTED_VALUE"""),43207.64583333333)</f>
        <v>43207.64583</v>
      </c>
      <c r="B237" s="1">
        <f>IFERROR(__xludf.DUMMYFUNCTION("""COMPUTED_VALUE"""),17275.0)</f>
        <v>17275</v>
      </c>
      <c r="C237" s="1">
        <f>IFERROR(__xludf.DUMMYFUNCTION("""COMPUTED_VALUE"""),18000.0)</f>
        <v>18000</v>
      </c>
      <c r="D237" s="1">
        <f>IFERROR(__xludf.DUMMYFUNCTION("""COMPUTED_VALUE"""),17225.0)</f>
        <v>17225</v>
      </c>
      <c r="E237" s="1">
        <f>IFERROR(__xludf.DUMMYFUNCTION("""COMPUTED_VALUE"""),17275.0)</f>
        <v>17275</v>
      </c>
      <c r="F237" s="1">
        <f>IFERROR(__xludf.DUMMYFUNCTION("""COMPUTED_VALUE"""),75788.0)</f>
        <v>75788</v>
      </c>
    </row>
    <row r="238">
      <c r="A238" s="2">
        <f>IFERROR(__xludf.DUMMYFUNCTION("""COMPUTED_VALUE"""),43208.64583333333)</f>
        <v>43208.64583</v>
      </c>
      <c r="B238" s="1">
        <f>IFERROR(__xludf.DUMMYFUNCTION("""COMPUTED_VALUE"""),17300.0)</f>
        <v>17300</v>
      </c>
      <c r="C238" s="1">
        <f>IFERROR(__xludf.DUMMYFUNCTION("""COMPUTED_VALUE"""),18000.0)</f>
        <v>18000</v>
      </c>
      <c r="D238" s="1">
        <f>IFERROR(__xludf.DUMMYFUNCTION("""COMPUTED_VALUE"""),17300.0)</f>
        <v>17300</v>
      </c>
      <c r="E238" s="1">
        <f>IFERROR(__xludf.DUMMYFUNCTION("""COMPUTED_VALUE"""),17900.0)</f>
        <v>17900</v>
      </c>
      <c r="F238" s="1">
        <f>IFERROR(__xludf.DUMMYFUNCTION("""COMPUTED_VALUE"""),63871.0)</f>
        <v>63871</v>
      </c>
    </row>
    <row r="239">
      <c r="A239" s="2">
        <f>IFERROR(__xludf.DUMMYFUNCTION("""COMPUTED_VALUE"""),43209.64583333333)</f>
        <v>43209.64583</v>
      </c>
      <c r="B239" s="1">
        <f>IFERROR(__xludf.DUMMYFUNCTION("""COMPUTED_VALUE"""),17900.0)</f>
        <v>17900</v>
      </c>
      <c r="C239" s="1">
        <f>IFERROR(__xludf.DUMMYFUNCTION("""COMPUTED_VALUE"""),17925.0)</f>
        <v>17925</v>
      </c>
      <c r="D239" s="1">
        <f>IFERROR(__xludf.DUMMYFUNCTION("""COMPUTED_VALUE"""),17300.0)</f>
        <v>17300</v>
      </c>
      <c r="E239" s="1">
        <f>IFERROR(__xludf.DUMMYFUNCTION("""COMPUTED_VALUE"""),17600.0)</f>
        <v>17600</v>
      </c>
      <c r="F239" s="1">
        <f>IFERROR(__xludf.DUMMYFUNCTION("""COMPUTED_VALUE"""),49604.0)</f>
        <v>49604</v>
      </c>
    </row>
    <row r="240">
      <c r="A240" s="2">
        <f>IFERROR(__xludf.DUMMYFUNCTION("""COMPUTED_VALUE"""),43210.64583333333)</f>
        <v>43210.64583</v>
      </c>
      <c r="B240" s="1">
        <f>IFERROR(__xludf.DUMMYFUNCTION("""COMPUTED_VALUE"""),17500.0)</f>
        <v>17500</v>
      </c>
      <c r="C240" s="1">
        <f>IFERROR(__xludf.DUMMYFUNCTION("""COMPUTED_VALUE"""),18950.0)</f>
        <v>18950</v>
      </c>
      <c r="D240" s="1">
        <f>IFERROR(__xludf.DUMMYFUNCTION("""COMPUTED_VALUE"""),17500.0)</f>
        <v>17500</v>
      </c>
      <c r="E240" s="1">
        <f>IFERROR(__xludf.DUMMYFUNCTION("""COMPUTED_VALUE"""),18550.0)</f>
        <v>18550</v>
      </c>
      <c r="F240" s="1">
        <f>IFERROR(__xludf.DUMMYFUNCTION("""COMPUTED_VALUE"""),218151.0)</f>
        <v>218151</v>
      </c>
    </row>
    <row r="241">
      <c r="A241" s="2">
        <f>IFERROR(__xludf.DUMMYFUNCTION("""COMPUTED_VALUE"""),43213.64583333333)</f>
        <v>43213.64583</v>
      </c>
      <c r="B241" s="1">
        <f>IFERROR(__xludf.DUMMYFUNCTION("""COMPUTED_VALUE"""),18700.0)</f>
        <v>18700</v>
      </c>
      <c r="C241" s="1">
        <f>IFERROR(__xludf.DUMMYFUNCTION("""COMPUTED_VALUE"""),19425.0)</f>
        <v>19425</v>
      </c>
      <c r="D241" s="1">
        <f>IFERROR(__xludf.DUMMYFUNCTION("""COMPUTED_VALUE"""),18350.0)</f>
        <v>18350</v>
      </c>
      <c r="E241" s="1">
        <f>IFERROR(__xludf.DUMMYFUNCTION("""COMPUTED_VALUE"""),18450.0)</f>
        <v>18450</v>
      </c>
      <c r="F241" s="1">
        <f>IFERROR(__xludf.DUMMYFUNCTION("""COMPUTED_VALUE"""),101579.0)</f>
        <v>101579</v>
      </c>
    </row>
    <row r="242">
      <c r="A242" s="2">
        <f>IFERROR(__xludf.DUMMYFUNCTION("""COMPUTED_VALUE"""),43214.64583333333)</f>
        <v>43214.64583</v>
      </c>
      <c r="B242" s="1">
        <f>IFERROR(__xludf.DUMMYFUNCTION("""COMPUTED_VALUE"""),18300.0)</f>
        <v>18300</v>
      </c>
      <c r="C242" s="1">
        <f>IFERROR(__xludf.DUMMYFUNCTION("""COMPUTED_VALUE"""),18825.0)</f>
        <v>18825</v>
      </c>
      <c r="D242" s="1">
        <f>IFERROR(__xludf.DUMMYFUNCTION("""COMPUTED_VALUE"""),18000.0)</f>
        <v>18000</v>
      </c>
      <c r="E242" s="1">
        <f>IFERROR(__xludf.DUMMYFUNCTION("""COMPUTED_VALUE"""),18000.0)</f>
        <v>18000</v>
      </c>
      <c r="F242" s="1">
        <f>IFERROR(__xludf.DUMMYFUNCTION("""COMPUTED_VALUE"""),51476.0)</f>
        <v>51476</v>
      </c>
    </row>
    <row r="243">
      <c r="A243" s="2">
        <f>IFERROR(__xludf.DUMMYFUNCTION("""COMPUTED_VALUE"""),43215.64583333333)</f>
        <v>43215.64583</v>
      </c>
      <c r="B243" s="1">
        <f>IFERROR(__xludf.DUMMYFUNCTION("""COMPUTED_VALUE"""),17800.0)</f>
        <v>17800</v>
      </c>
      <c r="C243" s="1">
        <f>IFERROR(__xludf.DUMMYFUNCTION("""COMPUTED_VALUE"""),18400.0)</f>
        <v>18400</v>
      </c>
      <c r="D243" s="1">
        <f>IFERROR(__xludf.DUMMYFUNCTION("""COMPUTED_VALUE"""),16500.0)</f>
        <v>16500</v>
      </c>
      <c r="E243" s="1">
        <f>IFERROR(__xludf.DUMMYFUNCTION("""COMPUTED_VALUE"""),17925.0)</f>
        <v>17925</v>
      </c>
      <c r="F243" s="1">
        <f>IFERROR(__xludf.DUMMYFUNCTION("""COMPUTED_VALUE"""),48982.0)</f>
        <v>48982</v>
      </c>
    </row>
    <row r="244">
      <c r="A244" s="2">
        <f>IFERROR(__xludf.DUMMYFUNCTION("""COMPUTED_VALUE"""),43216.64583333333)</f>
        <v>43216.64583</v>
      </c>
      <c r="B244" s="1">
        <f>IFERROR(__xludf.DUMMYFUNCTION("""COMPUTED_VALUE"""),18250.0)</f>
        <v>18250</v>
      </c>
      <c r="C244" s="1">
        <f>IFERROR(__xludf.DUMMYFUNCTION("""COMPUTED_VALUE"""),18800.0)</f>
        <v>18800</v>
      </c>
      <c r="D244" s="1">
        <f>IFERROR(__xludf.DUMMYFUNCTION("""COMPUTED_VALUE"""),17925.0)</f>
        <v>17925</v>
      </c>
      <c r="E244" s="1">
        <f>IFERROR(__xludf.DUMMYFUNCTION("""COMPUTED_VALUE"""),18475.0)</f>
        <v>18475</v>
      </c>
      <c r="F244" s="1">
        <f>IFERROR(__xludf.DUMMYFUNCTION("""COMPUTED_VALUE"""),34504.0)</f>
        <v>34504</v>
      </c>
    </row>
    <row r="245">
      <c r="A245" s="2">
        <f>IFERROR(__xludf.DUMMYFUNCTION("""COMPUTED_VALUE"""),43217.64583333333)</f>
        <v>43217.64583</v>
      </c>
      <c r="B245" s="1">
        <f>IFERROR(__xludf.DUMMYFUNCTION("""COMPUTED_VALUE"""),18475.0)</f>
        <v>18475</v>
      </c>
      <c r="C245" s="1">
        <f>IFERROR(__xludf.DUMMYFUNCTION("""COMPUTED_VALUE"""),18700.0)</f>
        <v>18700</v>
      </c>
      <c r="D245" s="1">
        <f>IFERROR(__xludf.DUMMYFUNCTION("""COMPUTED_VALUE"""),17875.0)</f>
        <v>17875</v>
      </c>
      <c r="E245" s="1">
        <f>IFERROR(__xludf.DUMMYFUNCTION("""COMPUTED_VALUE"""),18325.0)</f>
        <v>18325</v>
      </c>
      <c r="F245" s="1">
        <f>IFERROR(__xludf.DUMMYFUNCTION("""COMPUTED_VALUE"""),43474.0)</f>
        <v>43474</v>
      </c>
    </row>
    <row r="246">
      <c r="A246" s="2">
        <f>IFERROR(__xludf.DUMMYFUNCTION("""COMPUTED_VALUE"""),43220.64583333333)</f>
        <v>43220.64583</v>
      </c>
      <c r="B246" s="1">
        <f>IFERROR(__xludf.DUMMYFUNCTION("""COMPUTED_VALUE"""),18325.0)</f>
        <v>18325</v>
      </c>
      <c r="C246" s="1">
        <f>IFERROR(__xludf.DUMMYFUNCTION("""COMPUTED_VALUE"""),18675.0)</f>
        <v>18675</v>
      </c>
      <c r="D246" s="1">
        <f>IFERROR(__xludf.DUMMYFUNCTION("""COMPUTED_VALUE"""),17250.0)</f>
        <v>17250</v>
      </c>
      <c r="E246" s="1">
        <f>IFERROR(__xludf.DUMMYFUNCTION("""COMPUTED_VALUE"""),17900.0)</f>
        <v>17900</v>
      </c>
      <c r="F246" s="1">
        <f>IFERROR(__xludf.DUMMYFUNCTION("""COMPUTED_VALUE"""),49388.0)</f>
        <v>49388</v>
      </c>
    </row>
    <row r="247">
      <c r="A247" s="2">
        <f>IFERROR(__xludf.DUMMYFUNCTION("""COMPUTED_VALUE"""),43222.64583333333)</f>
        <v>43222.64583</v>
      </c>
      <c r="B247" s="1">
        <f>IFERROR(__xludf.DUMMYFUNCTION("""COMPUTED_VALUE"""),17850.0)</f>
        <v>17850</v>
      </c>
      <c r="C247" s="1">
        <f>IFERROR(__xludf.DUMMYFUNCTION("""COMPUTED_VALUE"""),18350.0)</f>
        <v>18350</v>
      </c>
      <c r="D247" s="1">
        <f>IFERROR(__xludf.DUMMYFUNCTION("""COMPUTED_VALUE"""),17000.0)</f>
        <v>17000</v>
      </c>
      <c r="E247" s="1">
        <f>IFERROR(__xludf.DUMMYFUNCTION("""COMPUTED_VALUE"""),17825.0)</f>
        <v>17825</v>
      </c>
      <c r="F247" s="1">
        <f>IFERROR(__xludf.DUMMYFUNCTION("""COMPUTED_VALUE"""),56352.0)</f>
        <v>56352</v>
      </c>
    </row>
    <row r="248">
      <c r="A248" s="2">
        <f>IFERROR(__xludf.DUMMYFUNCTION("""COMPUTED_VALUE"""),43223.64583333333)</f>
        <v>43223.64583</v>
      </c>
      <c r="B248" s="1">
        <f>IFERROR(__xludf.DUMMYFUNCTION("""COMPUTED_VALUE"""),17800.0)</f>
        <v>17800</v>
      </c>
      <c r="C248" s="1">
        <f>IFERROR(__xludf.DUMMYFUNCTION("""COMPUTED_VALUE"""),18150.0)</f>
        <v>18150</v>
      </c>
      <c r="D248" s="1">
        <f>IFERROR(__xludf.DUMMYFUNCTION("""COMPUTED_VALUE"""),17300.0)</f>
        <v>17300</v>
      </c>
      <c r="E248" s="1">
        <f>IFERROR(__xludf.DUMMYFUNCTION("""COMPUTED_VALUE"""),17375.0)</f>
        <v>17375</v>
      </c>
      <c r="F248" s="1">
        <f>IFERROR(__xludf.DUMMYFUNCTION("""COMPUTED_VALUE"""),49253.0)</f>
        <v>49253</v>
      </c>
    </row>
    <row r="249">
      <c r="A249" s="2">
        <f>IFERROR(__xludf.DUMMYFUNCTION("""COMPUTED_VALUE"""),43224.64583333333)</f>
        <v>43224.64583</v>
      </c>
      <c r="B249" s="1">
        <f>IFERROR(__xludf.DUMMYFUNCTION("""COMPUTED_VALUE"""),17425.0)</f>
        <v>17425</v>
      </c>
      <c r="C249" s="1">
        <f>IFERROR(__xludf.DUMMYFUNCTION("""COMPUTED_VALUE"""),17650.0)</f>
        <v>17650</v>
      </c>
      <c r="D249" s="1">
        <f>IFERROR(__xludf.DUMMYFUNCTION("""COMPUTED_VALUE"""),17225.0)</f>
        <v>17225</v>
      </c>
      <c r="E249" s="1">
        <f>IFERROR(__xludf.DUMMYFUNCTION("""COMPUTED_VALUE"""),17250.0)</f>
        <v>17250</v>
      </c>
      <c r="F249" s="1">
        <f>IFERROR(__xludf.DUMMYFUNCTION("""COMPUTED_VALUE"""),27124.0)</f>
        <v>27124</v>
      </c>
    </row>
    <row r="250">
      <c r="A250" s="2">
        <f>IFERROR(__xludf.DUMMYFUNCTION("""COMPUTED_VALUE"""),43228.64583333333)</f>
        <v>43228.64583</v>
      </c>
      <c r="B250" s="1">
        <f>IFERROR(__xludf.DUMMYFUNCTION("""COMPUTED_VALUE"""),17250.0)</f>
        <v>17250</v>
      </c>
      <c r="C250" s="1">
        <f>IFERROR(__xludf.DUMMYFUNCTION("""COMPUTED_VALUE"""),18575.0)</f>
        <v>18575</v>
      </c>
      <c r="D250" s="1">
        <f>IFERROR(__xludf.DUMMYFUNCTION("""COMPUTED_VALUE"""),17250.0)</f>
        <v>17250</v>
      </c>
      <c r="E250" s="1">
        <f>IFERROR(__xludf.DUMMYFUNCTION("""COMPUTED_VALUE"""),17775.0)</f>
        <v>17775</v>
      </c>
      <c r="F250" s="1">
        <f>IFERROR(__xludf.DUMMYFUNCTION("""COMPUTED_VALUE"""),80310.0)</f>
        <v>80310</v>
      </c>
    </row>
    <row r="251">
      <c r="A251" s="2">
        <f>IFERROR(__xludf.DUMMYFUNCTION("""COMPUTED_VALUE"""),43229.64583333333)</f>
        <v>43229.64583</v>
      </c>
      <c r="B251" s="1">
        <f>IFERROR(__xludf.DUMMYFUNCTION("""COMPUTED_VALUE"""),18125.0)</f>
        <v>18125</v>
      </c>
      <c r="C251" s="1">
        <f>IFERROR(__xludf.DUMMYFUNCTION("""COMPUTED_VALUE"""),18250.0)</f>
        <v>18250</v>
      </c>
      <c r="D251" s="1">
        <f>IFERROR(__xludf.DUMMYFUNCTION("""COMPUTED_VALUE"""),17225.0)</f>
        <v>17225</v>
      </c>
      <c r="E251" s="1">
        <f>IFERROR(__xludf.DUMMYFUNCTION("""COMPUTED_VALUE"""),18150.0)</f>
        <v>18150</v>
      </c>
      <c r="F251" s="1">
        <f>IFERROR(__xludf.DUMMYFUNCTION("""COMPUTED_VALUE"""),56166.0)</f>
        <v>56166</v>
      </c>
    </row>
    <row r="252">
      <c r="A252" s="2">
        <f>IFERROR(__xludf.DUMMYFUNCTION("""COMPUTED_VALUE"""),43230.64583333333)</f>
        <v>43230.64583</v>
      </c>
      <c r="B252" s="1">
        <f>IFERROR(__xludf.DUMMYFUNCTION("""COMPUTED_VALUE"""),18025.0)</f>
        <v>18025</v>
      </c>
      <c r="C252" s="1">
        <f>IFERROR(__xludf.DUMMYFUNCTION("""COMPUTED_VALUE"""),18150.0)</f>
        <v>18150</v>
      </c>
      <c r="D252" s="1">
        <f>IFERROR(__xludf.DUMMYFUNCTION("""COMPUTED_VALUE"""),17650.0)</f>
        <v>17650</v>
      </c>
      <c r="E252" s="1">
        <f>IFERROR(__xludf.DUMMYFUNCTION("""COMPUTED_VALUE"""),17750.0)</f>
        <v>17750</v>
      </c>
      <c r="F252" s="1">
        <f>IFERROR(__xludf.DUMMYFUNCTION("""COMPUTED_VALUE"""),36038.0)</f>
        <v>36038</v>
      </c>
    </row>
    <row r="253">
      <c r="A253" s="2">
        <f>IFERROR(__xludf.DUMMYFUNCTION("""COMPUTED_VALUE"""),43231.64583333333)</f>
        <v>43231.64583</v>
      </c>
      <c r="B253" s="1">
        <f>IFERROR(__xludf.DUMMYFUNCTION("""COMPUTED_VALUE"""),17650.0)</f>
        <v>17650</v>
      </c>
      <c r="C253" s="1">
        <f>IFERROR(__xludf.DUMMYFUNCTION("""COMPUTED_VALUE"""),17975.0)</f>
        <v>17975</v>
      </c>
      <c r="D253" s="1">
        <f>IFERROR(__xludf.DUMMYFUNCTION("""COMPUTED_VALUE"""),17475.0)</f>
        <v>17475</v>
      </c>
      <c r="E253" s="1">
        <f>IFERROR(__xludf.DUMMYFUNCTION("""COMPUTED_VALUE"""),17700.0)</f>
        <v>17700</v>
      </c>
      <c r="F253" s="1">
        <f>IFERROR(__xludf.DUMMYFUNCTION("""COMPUTED_VALUE"""),28639.0)</f>
        <v>28639</v>
      </c>
    </row>
    <row r="254">
      <c r="A254" s="2">
        <f>IFERROR(__xludf.DUMMYFUNCTION("""COMPUTED_VALUE"""),43234.64583333333)</f>
        <v>43234.64583</v>
      </c>
      <c r="B254" s="1">
        <f>IFERROR(__xludf.DUMMYFUNCTION("""COMPUTED_VALUE"""),17700.0)</f>
        <v>17700</v>
      </c>
      <c r="C254" s="1">
        <f>IFERROR(__xludf.DUMMYFUNCTION("""COMPUTED_VALUE"""),17750.0)</f>
        <v>17750</v>
      </c>
      <c r="D254" s="1">
        <f>IFERROR(__xludf.DUMMYFUNCTION("""COMPUTED_VALUE"""),16550.0)</f>
        <v>16550</v>
      </c>
      <c r="E254" s="1">
        <f>IFERROR(__xludf.DUMMYFUNCTION("""COMPUTED_VALUE"""),16550.0)</f>
        <v>16550</v>
      </c>
      <c r="F254" s="1">
        <f>IFERROR(__xludf.DUMMYFUNCTION("""COMPUTED_VALUE"""),81430.0)</f>
        <v>81430</v>
      </c>
    </row>
    <row r="255">
      <c r="A255" s="2">
        <f>IFERROR(__xludf.DUMMYFUNCTION("""COMPUTED_VALUE"""),43235.64583333333)</f>
        <v>43235.64583</v>
      </c>
      <c r="B255" s="1">
        <f>IFERROR(__xludf.DUMMYFUNCTION("""COMPUTED_VALUE"""),16700.0)</f>
        <v>16700</v>
      </c>
      <c r="C255" s="1">
        <f>IFERROR(__xludf.DUMMYFUNCTION("""COMPUTED_VALUE"""),16750.0)</f>
        <v>16750</v>
      </c>
      <c r="D255" s="1">
        <f>IFERROR(__xludf.DUMMYFUNCTION("""COMPUTED_VALUE"""),16000.0)</f>
        <v>16000</v>
      </c>
      <c r="E255" s="1">
        <f>IFERROR(__xludf.DUMMYFUNCTION("""COMPUTED_VALUE"""),16175.0)</f>
        <v>16175</v>
      </c>
      <c r="F255" s="1">
        <f>IFERROR(__xludf.DUMMYFUNCTION("""COMPUTED_VALUE"""),54867.0)</f>
        <v>54867</v>
      </c>
    </row>
    <row r="256">
      <c r="A256" s="2">
        <f>IFERROR(__xludf.DUMMYFUNCTION("""COMPUTED_VALUE"""),43236.64583333333)</f>
        <v>43236.64583</v>
      </c>
      <c r="B256" s="1">
        <f>IFERROR(__xludf.DUMMYFUNCTION("""COMPUTED_VALUE"""),16275.0)</f>
        <v>16275</v>
      </c>
      <c r="C256" s="1">
        <f>IFERROR(__xludf.DUMMYFUNCTION("""COMPUTED_VALUE"""),16275.0)</f>
        <v>16275</v>
      </c>
      <c r="D256" s="1">
        <f>IFERROR(__xludf.DUMMYFUNCTION("""COMPUTED_VALUE"""),15675.0)</f>
        <v>15675</v>
      </c>
      <c r="E256" s="1">
        <f>IFERROR(__xludf.DUMMYFUNCTION("""COMPUTED_VALUE"""),15850.0)</f>
        <v>15850</v>
      </c>
      <c r="F256" s="1">
        <f>IFERROR(__xludf.DUMMYFUNCTION("""COMPUTED_VALUE"""),35890.0)</f>
        <v>35890</v>
      </c>
    </row>
    <row r="257">
      <c r="A257" s="2">
        <f>IFERROR(__xludf.DUMMYFUNCTION("""COMPUTED_VALUE"""),43237.64583333333)</f>
        <v>43237.64583</v>
      </c>
      <c r="B257" s="1">
        <f>IFERROR(__xludf.DUMMYFUNCTION("""COMPUTED_VALUE"""),15900.0)</f>
        <v>15900</v>
      </c>
      <c r="C257" s="1">
        <f>IFERROR(__xludf.DUMMYFUNCTION("""COMPUTED_VALUE"""),16750.0)</f>
        <v>16750</v>
      </c>
      <c r="D257" s="1">
        <f>IFERROR(__xludf.DUMMYFUNCTION("""COMPUTED_VALUE"""),15900.0)</f>
        <v>15900</v>
      </c>
      <c r="E257" s="1">
        <f>IFERROR(__xludf.DUMMYFUNCTION("""COMPUTED_VALUE"""),16425.0)</f>
        <v>16425</v>
      </c>
      <c r="F257" s="1">
        <f>IFERROR(__xludf.DUMMYFUNCTION("""COMPUTED_VALUE"""),27272.0)</f>
        <v>27272</v>
      </c>
    </row>
    <row r="258">
      <c r="A258" s="2">
        <f>IFERROR(__xludf.DUMMYFUNCTION("""COMPUTED_VALUE"""),43238.64583333333)</f>
        <v>43238.64583</v>
      </c>
      <c r="B258" s="1">
        <f>IFERROR(__xludf.DUMMYFUNCTION("""COMPUTED_VALUE"""),16450.0)</f>
        <v>16450</v>
      </c>
      <c r="C258" s="1">
        <f>IFERROR(__xludf.DUMMYFUNCTION("""COMPUTED_VALUE"""),16625.0)</f>
        <v>16625</v>
      </c>
      <c r="D258" s="1">
        <f>IFERROR(__xludf.DUMMYFUNCTION("""COMPUTED_VALUE"""),16175.0)</f>
        <v>16175</v>
      </c>
      <c r="E258" s="1">
        <f>IFERROR(__xludf.DUMMYFUNCTION("""COMPUTED_VALUE"""),16575.0)</f>
        <v>16575</v>
      </c>
      <c r="F258" s="1">
        <f>IFERROR(__xludf.DUMMYFUNCTION("""COMPUTED_VALUE"""),21921.0)</f>
        <v>21921</v>
      </c>
    </row>
    <row r="259">
      <c r="A259" s="2">
        <f>IFERROR(__xludf.DUMMYFUNCTION("""COMPUTED_VALUE"""),43241.64583333333)</f>
        <v>43241.64583</v>
      </c>
      <c r="B259" s="1">
        <f>IFERROR(__xludf.DUMMYFUNCTION("""COMPUTED_VALUE"""),16575.0)</f>
        <v>16575</v>
      </c>
      <c r="C259" s="1">
        <f>IFERROR(__xludf.DUMMYFUNCTION("""COMPUTED_VALUE"""),16675.0)</f>
        <v>16675</v>
      </c>
      <c r="D259" s="1">
        <f>IFERROR(__xludf.DUMMYFUNCTION("""COMPUTED_VALUE"""),16250.0)</f>
        <v>16250</v>
      </c>
      <c r="E259" s="1">
        <f>IFERROR(__xludf.DUMMYFUNCTION("""COMPUTED_VALUE"""),16375.0)</f>
        <v>16375</v>
      </c>
      <c r="F259" s="1">
        <f>IFERROR(__xludf.DUMMYFUNCTION("""COMPUTED_VALUE"""),22526.0)</f>
        <v>22526</v>
      </c>
    </row>
    <row r="260">
      <c r="A260" s="2">
        <f>IFERROR(__xludf.DUMMYFUNCTION("""COMPUTED_VALUE"""),43243.64583333333)</f>
        <v>43243.64583</v>
      </c>
      <c r="B260" s="1">
        <f>IFERROR(__xludf.DUMMYFUNCTION("""COMPUTED_VALUE"""),16225.0)</f>
        <v>16225</v>
      </c>
      <c r="C260" s="1">
        <f>IFERROR(__xludf.DUMMYFUNCTION("""COMPUTED_VALUE"""),17250.0)</f>
        <v>17250</v>
      </c>
      <c r="D260" s="1">
        <f>IFERROR(__xludf.DUMMYFUNCTION("""COMPUTED_VALUE"""),16225.0)</f>
        <v>16225</v>
      </c>
      <c r="E260" s="1">
        <f>IFERROR(__xludf.DUMMYFUNCTION("""COMPUTED_VALUE"""),17000.0)</f>
        <v>17000</v>
      </c>
      <c r="F260" s="1">
        <f>IFERROR(__xludf.DUMMYFUNCTION("""COMPUTED_VALUE"""),159910.0)</f>
        <v>159910</v>
      </c>
    </row>
    <row r="261">
      <c r="A261" s="2">
        <f>IFERROR(__xludf.DUMMYFUNCTION("""COMPUTED_VALUE"""),43244.64583333333)</f>
        <v>43244.64583</v>
      </c>
      <c r="B261" s="1">
        <f>IFERROR(__xludf.DUMMYFUNCTION("""COMPUTED_VALUE"""),17200.0)</f>
        <v>17200</v>
      </c>
      <c r="C261" s="1">
        <f>IFERROR(__xludf.DUMMYFUNCTION("""COMPUTED_VALUE"""),18225.0)</f>
        <v>18225</v>
      </c>
      <c r="D261" s="1">
        <f>IFERROR(__xludf.DUMMYFUNCTION("""COMPUTED_VALUE"""),17050.0)</f>
        <v>17050</v>
      </c>
      <c r="E261" s="1">
        <f>IFERROR(__xludf.DUMMYFUNCTION("""COMPUTED_VALUE"""),18025.0)</f>
        <v>18025</v>
      </c>
      <c r="F261" s="1">
        <f>IFERROR(__xludf.DUMMYFUNCTION("""COMPUTED_VALUE"""),229198.0)</f>
        <v>229198</v>
      </c>
    </row>
    <row r="262">
      <c r="A262" s="2">
        <f>IFERROR(__xludf.DUMMYFUNCTION("""COMPUTED_VALUE"""),43245.64583333333)</f>
        <v>43245.64583</v>
      </c>
      <c r="B262" s="1">
        <f>IFERROR(__xludf.DUMMYFUNCTION("""COMPUTED_VALUE"""),17850.0)</f>
        <v>17850</v>
      </c>
      <c r="C262" s="1">
        <f>IFERROR(__xludf.DUMMYFUNCTION("""COMPUTED_VALUE"""),18200.0)</f>
        <v>18200</v>
      </c>
      <c r="D262" s="1">
        <f>IFERROR(__xludf.DUMMYFUNCTION("""COMPUTED_VALUE"""),17575.0)</f>
        <v>17575</v>
      </c>
      <c r="E262" s="1">
        <f>IFERROR(__xludf.DUMMYFUNCTION("""COMPUTED_VALUE"""),18050.0)</f>
        <v>18050</v>
      </c>
      <c r="F262" s="1">
        <f>IFERROR(__xludf.DUMMYFUNCTION("""COMPUTED_VALUE"""),46016.0)</f>
        <v>46016</v>
      </c>
    </row>
    <row r="263">
      <c r="A263" s="2">
        <f>IFERROR(__xludf.DUMMYFUNCTION("""COMPUTED_VALUE"""),43248.64583333333)</f>
        <v>43248.64583</v>
      </c>
      <c r="B263" s="1">
        <f>IFERROR(__xludf.DUMMYFUNCTION("""COMPUTED_VALUE"""),17800.0)</f>
        <v>17800</v>
      </c>
      <c r="C263" s="1">
        <f>IFERROR(__xludf.DUMMYFUNCTION("""COMPUTED_VALUE"""),18150.0)</f>
        <v>18150</v>
      </c>
      <c r="D263" s="1">
        <f>IFERROR(__xludf.DUMMYFUNCTION("""COMPUTED_VALUE"""),17250.0)</f>
        <v>17250</v>
      </c>
      <c r="E263" s="1">
        <f>IFERROR(__xludf.DUMMYFUNCTION("""COMPUTED_VALUE"""),18075.0)</f>
        <v>18075</v>
      </c>
      <c r="F263" s="1">
        <f>IFERROR(__xludf.DUMMYFUNCTION("""COMPUTED_VALUE"""),64685.0)</f>
        <v>64685</v>
      </c>
    </row>
    <row r="264">
      <c r="A264" s="2">
        <f>IFERROR(__xludf.DUMMYFUNCTION("""COMPUTED_VALUE"""),43249.64583333333)</f>
        <v>43249.64583</v>
      </c>
      <c r="B264" s="1">
        <f>IFERROR(__xludf.DUMMYFUNCTION("""COMPUTED_VALUE"""),18025.0)</f>
        <v>18025</v>
      </c>
      <c r="C264" s="1">
        <f>IFERROR(__xludf.DUMMYFUNCTION("""COMPUTED_VALUE"""),18750.0)</f>
        <v>18750</v>
      </c>
      <c r="D264" s="1">
        <f>IFERROR(__xludf.DUMMYFUNCTION("""COMPUTED_VALUE"""),17450.0)</f>
        <v>17450</v>
      </c>
      <c r="E264" s="1">
        <f>IFERROR(__xludf.DUMMYFUNCTION("""COMPUTED_VALUE"""),17450.0)</f>
        <v>17450</v>
      </c>
      <c r="F264" s="1">
        <f>IFERROR(__xludf.DUMMYFUNCTION("""COMPUTED_VALUE"""),96862.0)</f>
        <v>96862</v>
      </c>
    </row>
    <row r="265">
      <c r="A265" s="2">
        <f>IFERROR(__xludf.DUMMYFUNCTION("""COMPUTED_VALUE"""),43250.64583333333)</f>
        <v>43250.64583</v>
      </c>
      <c r="B265" s="1">
        <f>IFERROR(__xludf.DUMMYFUNCTION("""COMPUTED_VALUE"""),17250.0)</f>
        <v>17250</v>
      </c>
      <c r="C265" s="1">
        <f>IFERROR(__xludf.DUMMYFUNCTION("""COMPUTED_VALUE"""),17675.0)</f>
        <v>17675</v>
      </c>
      <c r="D265" s="1">
        <f>IFERROR(__xludf.DUMMYFUNCTION("""COMPUTED_VALUE"""),16850.0)</f>
        <v>16850</v>
      </c>
      <c r="E265" s="1">
        <f>IFERROR(__xludf.DUMMYFUNCTION("""COMPUTED_VALUE"""),16850.0)</f>
        <v>16850</v>
      </c>
      <c r="F265" s="1">
        <f>IFERROR(__xludf.DUMMYFUNCTION("""COMPUTED_VALUE"""),36961.0)</f>
        <v>36961</v>
      </c>
    </row>
    <row r="266">
      <c r="A266" s="2">
        <f>IFERROR(__xludf.DUMMYFUNCTION("""COMPUTED_VALUE"""),43251.64583333333)</f>
        <v>43251.64583</v>
      </c>
      <c r="B266" s="1">
        <f>IFERROR(__xludf.DUMMYFUNCTION("""COMPUTED_VALUE"""),17500.0)</f>
        <v>17500</v>
      </c>
      <c r="C266" s="1">
        <f>IFERROR(__xludf.DUMMYFUNCTION("""COMPUTED_VALUE"""),17500.0)</f>
        <v>17500</v>
      </c>
      <c r="D266" s="1">
        <f>IFERROR(__xludf.DUMMYFUNCTION("""COMPUTED_VALUE"""),16575.0)</f>
        <v>16575</v>
      </c>
      <c r="E266" s="1">
        <f>IFERROR(__xludf.DUMMYFUNCTION("""COMPUTED_VALUE"""),16900.0)</f>
        <v>16900</v>
      </c>
      <c r="F266" s="1">
        <f>IFERROR(__xludf.DUMMYFUNCTION("""COMPUTED_VALUE"""),39558.0)</f>
        <v>39558</v>
      </c>
    </row>
    <row r="267">
      <c r="A267" s="2">
        <f>IFERROR(__xludf.DUMMYFUNCTION("""COMPUTED_VALUE"""),43252.64583333333)</f>
        <v>43252.64583</v>
      </c>
      <c r="B267" s="1">
        <f>IFERROR(__xludf.DUMMYFUNCTION("""COMPUTED_VALUE"""),16875.0)</f>
        <v>16875</v>
      </c>
      <c r="C267" s="1">
        <f>IFERROR(__xludf.DUMMYFUNCTION("""COMPUTED_VALUE"""),17725.0)</f>
        <v>17725</v>
      </c>
      <c r="D267" s="1">
        <f>IFERROR(__xludf.DUMMYFUNCTION("""COMPUTED_VALUE"""),16750.0)</f>
        <v>16750</v>
      </c>
      <c r="E267" s="1">
        <f>IFERROR(__xludf.DUMMYFUNCTION("""COMPUTED_VALUE"""),17625.0)</f>
        <v>17625</v>
      </c>
      <c r="F267" s="1">
        <f>IFERROR(__xludf.DUMMYFUNCTION("""COMPUTED_VALUE"""),37164.0)</f>
        <v>37164</v>
      </c>
    </row>
    <row r="268">
      <c r="A268" s="2">
        <f>IFERROR(__xludf.DUMMYFUNCTION("""COMPUTED_VALUE"""),43255.64583333333)</f>
        <v>43255.64583</v>
      </c>
      <c r="B268" s="1">
        <f>IFERROR(__xludf.DUMMYFUNCTION("""COMPUTED_VALUE"""),17775.0)</f>
        <v>17775</v>
      </c>
      <c r="C268" s="1">
        <f>IFERROR(__xludf.DUMMYFUNCTION("""COMPUTED_VALUE"""),18100.0)</f>
        <v>18100</v>
      </c>
      <c r="D268" s="1">
        <f>IFERROR(__xludf.DUMMYFUNCTION("""COMPUTED_VALUE"""),17550.0)</f>
        <v>17550</v>
      </c>
      <c r="E268" s="1">
        <f>IFERROR(__xludf.DUMMYFUNCTION("""COMPUTED_VALUE"""),17875.0)</f>
        <v>17875</v>
      </c>
      <c r="F268" s="1">
        <f>IFERROR(__xludf.DUMMYFUNCTION("""COMPUTED_VALUE"""),45818.0)</f>
        <v>45818</v>
      </c>
    </row>
    <row r="269">
      <c r="A269" s="2">
        <f>IFERROR(__xludf.DUMMYFUNCTION("""COMPUTED_VALUE"""),43256.64583333333)</f>
        <v>43256.64583</v>
      </c>
      <c r="B269" s="1">
        <f>IFERROR(__xludf.DUMMYFUNCTION("""COMPUTED_VALUE"""),17850.0)</f>
        <v>17850</v>
      </c>
      <c r="C269" s="1">
        <f>IFERROR(__xludf.DUMMYFUNCTION("""COMPUTED_VALUE"""),18200.0)</f>
        <v>18200</v>
      </c>
      <c r="D269" s="1">
        <f>IFERROR(__xludf.DUMMYFUNCTION("""COMPUTED_VALUE"""),17800.0)</f>
        <v>17800</v>
      </c>
      <c r="E269" s="1">
        <f>IFERROR(__xludf.DUMMYFUNCTION("""COMPUTED_VALUE"""),18150.0)</f>
        <v>18150</v>
      </c>
      <c r="F269" s="1">
        <f>IFERROR(__xludf.DUMMYFUNCTION("""COMPUTED_VALUE"""),44256.0)</f>
        <v>44256</v>
      </c>
    </row>
    <row r="270">
      <c r="A270" s="2">
        <f>IFERROR(__xludf.DUMMYFUNCTION("""COMPUTED_VALUE"""),43258.64583333333)</f>
        <v>43258.64583</v>
      </c>
      <c r="B270" s="1">
        <f>IFERROR(__xludf.DUMMYFUNCTION("""COMPUTED_VALUE"""),18350.0)</f>
        <v>18350</v>
      </c>
      <c r="C270" s="1">
        <f>IFERROR(__xludf.DUMMYFUNCTION("""COMPUTED_VALUE"""),19425.0)</f>
        <v>19425</v>
      </c>
      <c r="D270" s="1">
        <f>IFERROR(__xludf.DUMMYFUNCTION("""COMPUTED_VALUE"""),17975.0)</f>
        <v>17975</v>
      </c>
      <c r="E270" s="1">
        <f>IFERROR(__xludf.DUMMYFUNCTION("""COMPUTED_VALUE"""),19250.0)</f>
        <v>19250</v>
      </c>
      <c r="F270" s="1">
        <f>IFERROR(__xludf.DUMMYFUNCTION("""COMPUTED_VALUE"""),243560.0)</f>
        <v>243560</v>
      </c>
    </row>
    <row r="271">
      <c r="A271" s="2">
        <f>IFERROR(__xludf.DUMMYFUNCTION("""COMPUTED_VALUE"""),43259.64583333333)</f>
        <v>43259.64583</v>
      </c>
      <c r="B271" s="1">
        <f>IFERROR(__xludf.DUMMYFUNCTION("""COMPUTED_VALUE"""),19250.0)</f>
        <v>19250</v>
      </c>
      <c r="C271" s="1">
        <f>IFERROR(__xludf.DUMMYFUNCTION("""COMPUTED_VALUE"""),19300.0)</f>
        <v>19300</v>
      </c>
      <c r="D271" s="1">
        <f>IFERROR(__xludf.DUMMYFUNCTION("""COMPUTED_VALUE"""),18500.0)</f>
        <v>18500</v>
      </c>
      <c r="E271" s="1">
        <f>IFERROR(__xludf.DUMMYFUNCTION("""COMPUTED_VALUE"""),18925.0)</f>
        <v>18925</v>
      </c>
      <c r="F271" s="1">
        <f>IFERROR(__xludf.DUMMYFUNCTION("""COMPUTED_VALUE"""),86694.0)</f>
        <v>86694</v>
      </c>
    </row>
    <row r="272">
      <c r="A272" s="2">
        <f>IFERROR(__xludf.DUMMYFUNCTION("""COMPUTED_VALUE"""),43262.64583333333)</f>
        <v>43262.64583</v>
      </c>
      <c r="B272" s="1">
        <f>IFERROR(__xludf.DUMMYFUNCTION("""COMPUTED_VALUE"""),18750.0)</f>
        <v>18750</v>
      </c>
      <c r="C272" s="1">
        <f>IFERROR(__xludf.DUMMYFUNCTION("""COMPUTED_VALUE"""),18925.0)</f>
        <v>18925</v>
      </c>
      <c r="D272" s="1">
        <f>IFERROR(__xludf.DUMMYFUNCTION("""COMPUTED_VALUE"""),18125.0)</f>
        <v>18125</v>
      </c>
      <c r="E272" s="1">
        <f>IFERROR(__xludf.DUMMYFUNCTION("""COMPUTED_VALUE"""),18550.0)</f>
        <v>18550</v>
      </c>
      <c r="F272" s="1">
        <f>IFERROR(__xludf.DUMMYFUNCTION("""COMPUTED_VALUE"""),92072.0)</f>
        <v>92072</v>
      </c>
    </row>
    <row r="273">
      <c r="A273" s="2">
        <f>IFERROR(__xludf.DUMMYFUNCTION("""COMPUTED_VALUE"""),43263.64583333333)</f>
        <v>43263.64583</v>
      </c>
      <c r="B273" s="1">
        <f>IFERROR(__xludf.DUMMYFUNCTION("""COMPUTED_VALUE"""),18625.0)</f>
        <v>18625</v>
      </c>
      <c r="C273" s="1">
        <f>IFERROR(__xludf.DUMMYFUNCTION("""COMPUTED_VALUE"""),19725.0)</f>
        <v>19725</v>
      </c>
      <c r="D273" s="1">
        <f>IFERROR(__xludf.DUMMYFUNCTION("""COMPUTED_VALUE"""),18625.0)</f>
        <v>18625</v>
      </c>
      <c r="E273" s="1">
        <f>IFERROR(__xludf.DUMMYFUNCTION("""COMPUTED_VALUE"""),18925.0)</f>
        <v>18925</v>
      </c>
      <c r="F273" s="1">
        <f>IFERROR(__xludf.DUMMYFUNCTION("""COMPUTED_VALUE"""),137768.0)</f>
        <v>137768</v>
      </c>
    </row>
    <row r="274">
      <c r="A274" s="2">
        <f>IFERROR(__xludf.DUMMYFUNCTION("""COMPUTED_VALUE"""),43265.64583333333)</f>
        <v>43265.64583</v>
      </c>
      <c r="B274" s="1">
        <f>IFERROR(__xludf.DUMMYFUNCTION("""COMPUTED_VALUE"""),18675.0)</f>
        <v>18675</v>
      </c>
      <c r="C274" s="1">
        <f>IFERROR(__xludf.DUMMYFUNCTION("""COMPUTED_VALUE"""),19425.0)</f>
        <v>19425</v>
      </c>
      <c r="D274" s="1">
        <f>IFERROR(__xludf.DUMMYFUNCTION("""COMPUTED_VALUE"""),18475.0)</f>
        <v>18475</v>
      </c>
      <c r="E274" s="1">
        <f>IFERROR(__xludf.DUMMYFUNCTION("""COMPUTED_VALUE"""),18650.0)</f>
        <v>18650</v>
      </c>
      <c r="F274" s="1">
        <f>IFERROR(__xludf.DUMMYFUNCTION("""COMPUTED_VALUE"""),64709.0)</f>
        <v>64709</v>
      </c>
    </row>
    <row r="275">
      <c r="A275" s="2">
        <f>IFERROR(__xludf.DUMMYFUNCTION("""COMPUTED_VALUE"""),43266.64583333333)</f>
        <v>43266.64583</v>
      </c>
      <c r="B275" s="1">
        <f>IFERROR(__xludf.DUMMYFUNCTION("""COMPUTED_VALUE"""),18650.0)</f>
        <v>18650</v>
      </c>
      <c r="C275" s="1">
        <f>IFERROR(__xludf.DUMMYFUNCTION("""COMPUTED_VALUE"""),18850.0)</f>
        <v>18850</v>
      </c>
      <c r="D275" s="1">
        <f>IFERROR(__xludf.DUMMYFUNCTION("""COMPUTED_VALUE"""),17725.0)</f>
        <v>17725</v>
      </c>
      <c r="E275" s="1">
        <f>IFERROR(__xludf.DUMMYFUNCTION("""COMPUTED_VALUE"""),17925.0)</f>
        <v>17925</v>
      </c>
      <c r="F275" s="1">
        <f>IFERROR(__xludf.DUMMYFUNCTION("""COMPUTED_VALUE"""),84299.0)</f>
        <v>84299</v>
      </c>
    </row>
    <row r="276">
      <c r="A276" s="2">
        <f>IFERROR(__xludf.DUMMYFUNCTION("""COMPUTED_VALUE"""),43269.64583333333)</f>
        <v>43269.64583</v>
      </c>
      <c r="B276" s="1">
        <f>IFERROR(__xludf.DUMMYFUNCTION("""COMPUTED_VALUE"""),17525.0)</f>
        <v>17525</v>
      </c>
      <c r="C276" s="1">
        <f>IFERROR(__xludf.DUMMYFUNCTION("""COMPUTED_VALUE"""),17750.0)</f>
        <v>17750</v>
      </c>
      <c r="D276" s="1">
        <f>IFERROR(__xludf.DUMMYFUNCTION("""COMPUTED_VALUE"""),16400.0)</f>
        <v>16400</v>
      </c>
      <c r="E276" s="1">
        <f>IFERROR(__xludf.DUMMYFUNCTION("""COMPUTED_VALUE"""),16650.0)</f>
        <v>16650</v>
      </c>
      <c r="F276" s="1">
        <f>IFERROR(__xludf.DUMMYFUNCTION("""COMPUTED_VALUE"""),142429.0)</f>
        <v>142429</v>
      </c>
    </row>
    <row r="277">
      <c r="A277" s="2">
        <f>IFERROR(__xludf.DUMMYFUNCTION("""COMPUTED_VALUE"""),43270.64583333333)</f>
        <v>43270.64583</v>
      </c>
      <c r="B277" s="1">
        <f>IFERROR(__xludf.DUMMYFUNCTION("""COMPUTED_VALUE"""),16750.0)</f>
        <v>16750</v>
      </c>
      <c r="C277" s="1">
        <f>IFERROR(__xludf.DUMMYFUNCTION("""COMPUTED_VALUE"""),17225.0)</f>
        <v>17225</v>
      </c>
      <c r="D277" s="1">
        <f>IFERROR(__xludf.DUMMYFUNCTION("""COMPUTED_VALUE"""),16125.0)</f>
        <v>16125</v>
      </c>
      <c r="E277" s="1">
        <f>IFERROR(__xludf.DUMMYFUNCTION("""COMPUTED_VALUE"""),16525.0)</f>
        <v>16525</v>
      </c>
      <c r="F277" s="1">
        <f>IFERROR(__xludf.DUMMYFUNCTION("""COMPUTED_VALUE"""),65302.0)</f>
        <v>65302</v>
      </c>
    </row>
    <row r="278">
      <c r="A278" s="2">
        <f>IFERROR(__xludf.DUMMYFUNCTION("""COMPUTED_VALUE"""),43271.64583333333)</f>
        <v>43271.64583</v>
      </c>
      <c r="B278" s="1">
        <f>IFERROR(__xludf.DUMMYFUNCTION("""COMPUTED_VALUE"""),16550.0)</f>
        <v>16550</v>
      </c>
      <c r="C278" s="1">
        <f>IFERROR(__xludf.DUMMYFUNCTION("""COMPUTED_VALUE"""),16750.0)</f>
        <v>16750</v>
      </c>
      <c r="D278" s="1">
        <f>IFERROR(__xludf.DUMMYFUNCTION("""COMPUTED_VALUE"""),15850.0)</f>
        <v>15850</v>
      </c>
      <c r="E278" s="1">
        <f>IFERROR(__xludf.DUMMYFUNCTION("""COMPUTED_VALUE"""),16250.0)</f>
        <v>16250</v>
      </c>
      <c r="F278" s="1">
        <f>IFERROR(__xludf.DUMMYFUNCTION("""COMPUTED_VALUE"""),93857.0)</f>
        <v>93857</v>
      </c>
    </row>
    <row r="279">
      <c r="A279" s="2">
        <f>IFERROR(__xludf.DUMMYFUNCTION("""COMPUTED_VALUE"""),43272.64583333333)</f>
        <v>43272.64583</v>
      </c>
      <c r="B279" s="1">
        <f>IFERROR(__xludf.DUMMYFUNCTION("""COMPUTED_VALUE"""),16250.0)</f>
        <v>16250</v>
      </c>
      <c r="C279" s="1">
        <f>IFERROR(__xludf.DUMMYFUNCTION("""COMPUTED_VALUE"""),16500.0)</f>
        <v>16500</v>
      </c>
      <c r="D279" s="1">
        <f>IFERROR(__xludf.DUMMYFUNCTION("""COMPUTED_VALUE"""),15900.0)</f>
        <v>15900</v>
      </c>
      <c r="E279" s="1">
        <f>IFERROR(__xludf.DUMMYFUNCTION("""COMPUTED_VALUE"""),15900.0)</f>
        <v>15900</v>
      </c>
      <c r="F279" s="1">
        <f>IFERROR(__xludf.DUMMYFUNCTION("""COMPUTED_VALUE"""),69090.0)</f>
        <v>69090</v>
      </c>
    </row>
    <row r="280">
      <c r="A280" s="2">
        <f>IFERROR(__xludf.DUMMYFUNCTION("""COMPUTED_VALUE"""),43273.64583333333)</f>
        <v>43273.64583</v>
      </c>
      <c r="B280" s="1">
        <f>IFERROR(__xludf.DUMMYFUNCTION("""COMPUTED_VALUE"""),15925.0)</f>
        <v>15925</v>
      </c>
      <c r="C280" s="1">
        <f>IFERROR(__xludf.DUMMYFUNCTION("""COMPUTED_VALUE"""),16075.0)</f>
        <v>16075</v>
      </c>
      <c r="D280" s="1">
        <f>IFERROR(__xludf.DUMMYFUNCTION("""COMPUTED_VALUE"""),15550.0)</f>
        <v>15550</v>
      </c>
      <c r="E280" s="1">
        <f>IFERROR(__xludf.DUMMYFUNCTION("""COMPUTED_VALUE"""),15875.0)</f>
        <v>15875</v>
      </c>
      <c r="F280" s="1">
        <f>IFERROR(__xludf.DUMMYFUNCTION("""COMPUTED_VALUE"""),51806.0)</f>
        <v>51806</v>
      </c>
    </row>
    <row r="281">
      <c r="A281" s="2">
        <f>IFERROR(__xludf.DUMMYFUNCTION("""COMPUTED_VALUE"""),43276.64583333333)</f>
        <v>43276.64583</v>
      </c>
      <c r="B281" s="1">
        <f>IFERROR(__xludf.DUMMYFUNCTION("""COMPUTED_VALUE"""),15875.0)</f>
        <v>15875</v>
      </c>
      <c r="C281" s="1">
        <f>IFERROR(__xludf.DUMMYFUNCTION("""COMPUTED_VALUE"""),16375.0)</f>
        <v>16375</v>
      </c>
      <c r="D281" s="1">
        <f>IFERROR(__xludf.DUMMYFUNCTION("""COMPUTED_VALUE"""),15175.0)</f>
        <v>15175</v>
      </c>
      <c r="E281" s="1">
        <f>IFERROR(__xludf.DUMMYFUNCTION("""COMPUTED_VALUE"""),15900.0)</f>
        <v>15900</v>
      </c>
      <c r="F281" s="1">
        <f>IFERROR(__xludf.DUMMYFUNCTION("""COMPUTED_VALUE"""),95423.0)</f>
        <v>95423</v>
      </c>
    </row>
    <row r="282">
      <c r="A282" s="2">
        <f>IFERROR(__xludf.DUMMYFUNCTION("""COMPUTED_VALUE"""),43277.64583333333)</f>
        <v>43277.64583</v>
      </c>
      <c r="B282" s="1">
        <f>IFERROR(__xludf.DUMMYFUNCTION("""COMPUTED_VALUE"""),15600.0)</f>
        <v>15600</v>
      </c>
      <c r="C282" s="1">
        <f>IFERROR(__xludf.DUMMYFUNCTION("""COMPUTED_VALUE"""),15700.0)</f>
        <v>15700</v>
      </c>
      <c r="D282" s="1">
        <f>IFERROR(__xludf.DUMMYFUNCTION("""COMPUTED_VALUE"""),14950.0)</f>
        <v>14950</v>
      </c>
      <c r="E282" s="1">
        <f>IFERROR(__xludf.DUMMYFUNCTION("""COMPUTED_VALUE"""),15500.0)</f>
        <v>15500</v>
      </c>
      <c r="F282" s="1">
        <f>IFERROR(__xludf.DUMMYFUNCTION("""COMPUTED_VALUE"""),116125.0)</f>
        <v>116125</v>
      </c>
    </row>
    <row r="283">
      <c r="A283" s="2">
        <f>IFERROR(__xludf.DUMMYFUNCTION("""COMPUTED_VALUE"""),43278.64583333333)</f>
        <v>43278.64583</v>
      </c>
      <c r="B283" s="1">
        <f>IFERROR(__xludf.DUMMYFUNCTION("""COMPUTED_VALUE"""),15500.0)</f>
        <v>15500</v>
      </c>
      <c r="C283" s="1">
        <f>IFERROR(__xludf.DUMMYFUNCTION("""COMPUTED_VALUE"""),15900.0)</f>
        <v>15900</v>
      </c>
      <c r="D283" s="1">
        <f>IFERROR(__xludf.DUMMYFUNCTION("""COMPUTED_VALUE"""),15300.0)</f>
        <v>15300</v>
      </c>
      <c r="E283" s="1">
        <f>IFERROR(__xludf.DUMMYFUNCTION("""COMPUTED_VALUE"""),15550.0)</f>
        <v>15550</v>
      </c>
      <c r="F283" s="1">
        <f>IFERROR(__xludf.DUMMYFUNCTION("""COMPUTED_VALUE"""),53661.0)</f>
        <v>53661</v>
      </c>
    </row>
    <row r="284">
      <c r="A284" s="2">
        <f>IFERROR(__xludf.DUMMYFUNCTION("""COMPUTED_VALUE"""),43279.64583333333)</f>
        <v>43279.64583</v>
      </c>
      <c r="B284" s="1">
        <f>IFERROR(__xludf.DUMMYFUNCTION("""COMPUTED_VALUE"""),15375.0)</f>
        <v>15375</v>
      </c>
      <c r="C284" s="1">
        <f>IFERROR(__xludf.DUMMYFUNCTION("""COMPUTED_VALUE"""),15750.0)</f>
        <v>15750</v>
      </c>
      <c r="D284" s="1">
        <f>IFERROR(__xludf.DUMMYFUNCTION("""COMPUTED_VALUE"""),15000.0)</f>
        <v>15000</v>
      </c>
      <c r="E284" s="1">
        <f>IFERROR(__xludf.DUMMYFUNCTION("""COMPUTED_VALUE"""),15325.0)</f>
        <v>15325</v>
      </c>
      <c r="F284" s="1">
        <f>IFERROR(__xludf.DUMMYFUNCTION("""COMPUTED_VALUE"""),61705.0)</f>
        <v>61705</v>
      </c>
    </row>
    <row r="285">
      <c r="A285" s="2">
        <f>IFERROR(__xludf.DUMMYFUNCTION("""COMPUTED_VALUE"""),43280.64583333333)</f>
        <v>43280.64583</v>
      </c>
      <c r="B285" s="1">
        <f>IFERROR(__xludf.DUMMYFUNCTION("""COMPUTED_VALUE"""),15300.0)</f>
        <v>15300</v>
      </c>
      <c r="C285" s="1">
        <f>IFERROR(__xludf.DUMMYFUNCTION("""COMPUTED_VALUE"""),15500.0)</f>
        <v>15500</v>
      </c>
      <c r="D285" s="1">
        <f>IFERROR(__xludf.DUMMYFUNCTION("""COMPUTED_VALUE"""),15050.0)</f>
        <v>15050</v>
      </c>
      <c r="E285" s="1">
        <f>IFERROR(__xludf.DUMMYFUNCTION("""COMPUTED_VALUE"""),15450.0)</f>
        <v>15450</v>
      </c>
      <c r="F285" s="1">
        <f>IFERROR(__xludf.DUMMYFUNCTION("""COMPUTED_VALUE"""),41076.0)</f>
        <v>41076</v>
      </c>
    </row>
    <row r="286">
      <c r="A286" s="2">
        <f>IFERROR(__xludf.DUMMYFUNCTION("""COMPUTED_VALUE"""),43283.64583333333)</f>
        <v>43283.64583</v>
      </c>
      <c r="B286" s="1">
        <f>IFERROR(__xludf.DUMMYFUNCTION("""COMPUTED_VALUE"""),15450.0)</f>
        <v>15450</v>
      </c>
      <c r="C286" s="1">
        <f>IFERROR(__xludf.DUMMYFUNCTION("""COMPUTED_VALUE"""),16200.0)</f>
        <v>16200</v>
      </c>
      <c r="D286" s="1">
        <f>IFERROR(__xludf.DUMMYFUNCTION("""COMPUTED_VALUE"""),15400.0)</f>
        <v>15400</v>
      </c>
      <c r="E286" s="1">
        <f>IFERROR(__xludf.DUMMYFUNCTION("""COMPUTED_VALUE"""),15625.0)</f>
        <v>15625</v>
      </c>
      <c r="F286" s="1">
        <f>IFERROR(__xludf.DUMMYFUNCTION("""COMPUTED_VALUE"""),66934.0)</f>
        <v>66934</v>
      </c>
    </row>
    <row r="287">
      <c r="A287" s="2">
        <f>IFERROR(__xludf.DUMMYFUNCTION("""COMPUTED_VALUE"""),43284.64583333333)</f>
        <v>43284.64583</v>
      </c>
      <c r="B287" s="1">
        <f>IFERROR(__xludf.DUMMYFUNCTION("""COMPUTED_VALUE"""),15500.0)</f>
        <v>15500</v>
      </c>
      <c r="C287" s="1">
        <f>IFERROR(__xludf.DUMMYFUNCTION("""COMPUTED_VALUE"""),15750.0)</f>
        <v>15750</v>
      </c>
      <c r="D287" s="1">
        <f>IFERROR(__xludf.DUMMYFUNCTION("""COMPUTED_VALUE"""),14775.0)</f>
        <v>14775</v>
      </c>
      <c r="E287" s="1">
        <f>IFERROR(__xludf.DUMMYFUNCTION("""COMPUTED_VALUE"""),15575.0)</f>
        <v>15575</v>
      </c>
      <c r="F287" s="1">
        <f>IFERROR(__xludf.DUMMYFUNCTION("""COMPUTED_VALUE"""),78867.0)</f>
        <v>78867</v>
      </c>
    </row>
    <row r="288">
      <c r="A288" s="2">
        <f>IFERROR(__xludf.DUMMYFUNCTION("""COMPUTED_VALUE"""),43285.64583333333)</f>
        <v>43285.64583</v>
      </c>
      <c r="B288" s="1">
        <f>IFERROR(__xludf.DUMMYFUNCTION("""COMPUTED_VALUE"""),15400.0)</f>
        <v>15400</v>
      </c>
      <c r="C288" s="1">
        <f>IFERROR(__xludf.DUMMYFUNCTION("""COMPUTED_VALUE"""),16050.0)</f>
        <v>16050</v>
      </c>
      <c r="D288" s="1">
        <f>IFERROR(__xludf.DUMMYFUNCTION("""COMPUTED_VALUE"""),15350.0)</f>
        <v>15350</v>
      </c>
      <c r="E288" s="1">
        <f>IFERROR(__xludf.DUMMYFUNCTION("""COMPUTED_VALUE"""),15900.0)</f>
        <v>15900</v>
      </c>
      <c r="F288" s="1">
        <f>IFERROR(__xludf.DUMMYFUNCTION("""COMPUTED_VALUE"""),31520.0)</f>
        <v>31520</v>
      </c>
    </row>
    <row r="289">
      <c r="A289" s="2">
        <f>IFERROR(__xludf.DUMMYFUNCTION("""COMPUTED_VALUE"""),43286.64583333333)</f>
        <v>43286.64583</v>
      </c>
      <c r="B289" s="1">
        <f>IFERROR(__xludf.DUMMYFUNCTION("""COMPUTED_VALUE"""),16175.0)</f>
        <v>16175</v>
      </c>
      <c r="C289" s="1">
        <f>IFERROR(__xludf.DUMMYFUNCTION("""COMPUTED_VALUE"""),16225.0)</f>
        <v>16225</v>
      </c>
      <c r="D289" s="1">
        <f>IFERROR(__xludf.DUMMYFUNCTION("""COMPUTED_VALUE"""),15125.0)</f>
        <v>15125</v>
      </c>
      <c r="E289" s="1">
        <f>IFERROR(__xludf.DUMMYFUNCTION("""COMPUTED_VALUE"""),15375.0)</f>
        <v>15375</v>
      </c>
      <c r="F289" s="1">
        <f>IFERROR(__xludf.DUMMYFUNCTION("""COMPUTED_VALUE"""),68515.0)</f>
        <v>68515</v>
      </c>
    </row>
    <row r="290">
      <c r="A290" s="2">
        <f>IFERROR(__xludf.DUMMYFUNCTION("""COMPUTED_VALUE"""),43287.64583333333)</f>
        <v>43287.64583</v>
      </c>
      <c r="B290" s="1">
        <f>IFERROR(__xludf.DUMMYFUNCTION("""COMPUTED_VALUE"""),15375.0)</f>
        <v>15375</v>
      </c>
      <c r="C290" s="1">
        <f>IFERROR(__xludf.DUMMYFUNCTION("""COMPUTED_VALUE"""),15700.0)</f>
        <v>15700</v>
      </c>
      <c r="D290" s="1">
        <f>IFERROR(__xludf.DUMMYFUNCTION("""COMPUTED_VALUE"""),14575.0)</f>
        <v>14575</v>
      </c>
      <c r="E290" s="1">
        <f>IFERROR(__xludf.DUMMYFUNCTION("""COMPUTED_VALUE"""),15250.0)</f>
        <v>15250</v>
      </c>
      <c r="F290" s="1">
        <f>IFERROR(__xludf.DUMMYFUNCTION("""COMPUTED_VALUE"""),108957.0)</f>
        <v>108957</v>
      </c>
    </row>
    <row r="291">
      <c r="A291" s="2">
        <f>IFERROR(__xludf.DUMMYFUNCTION("""COMPUTED_VALUE"""),43290.64583333333)</f>
        <v>43290.64583</v>
      </c>
      <c r="B291" s="1">
        <f>IFERROR(__xludf.DUMMYFUNCTION("""COMPUTED_VALUE"""),15350.0)</f>
        <v>15350</v>
      </c>
      <c r="C291" s="1">
        <f>IFERROR(__xludf.DUMMYFUNCTION("""COMPUTED_VALUE"""),15775.0)</f>
        <v>15775</v>
      </c>
      <c r="D291" s="1">
        <f>IFERROR(__xludf.DUMMYFUNCTION("""COMPUTED_VALUE"""),15050.0)</f>
        <v>15050</v>
      </c>
      <c r="E291" s="1">
        <f>IFERROR(__xludf.DUMMYFUNCTION("""COMPUTED_VALUE"""),15675.0)</f>
        <v>15675</v>
      </c>
      <c r="F291" s="1">
        <f>IFERROR(__xludf.DUMMYFUNCTION("""COMPUTED_VALUE"""),45607.0)</f>
        <v>45607</v>
      </c>
    </row>
    <row r="292">
      <c r="A292" s="2">
        <f>IFERROR(__xludf.DUMMYFUNCTION("""COMPUTED_VALUE"""),43291.64583333333)</f>
        <v>43291.64583</v>
      </c>
      <c r="B292" s="1">
        <f>IFERROR(__xludf.DUMMYFUNCTION("""COMPUTED_VALUE"""),15675.0)</f>
        <v>15675</v>
      </c>
      <c r="C292" s="1">
        <f>IFERROR(__xludf.DUMMYFUNCTION("""COMPUTED_VALUE"""),16150.0)</f>
        <v>16150</v>
      </c>
      <c r="D292" s="1">
        <f>IFERROR(__xludf.DUMMYFUNCTION("""COMPUTED_VALUE"""),15625.0)</f>
        <v>15625</v>
      </c>
      <c r="E292" s="1">
        <f>IFERROR(__xludf.DUMMYFUNCTION("""COMPUTED_VALUE"""),15950.0)</f>
        <v>15950</v>
      </c>
      <c r="F292" s="1">
        <f>IFERROR(__xludf.DUMMYFUNCTION("""COMPUTED_VALUE"""),43758.0)</f>
        <v>43758</v>
      </c>
    </row>
    <row r="293">
      <c r="A293" s="2">
        <f>IFERROR(__xludf.DUMMYFUNCTION("""COMPUTED_VALUE"""),43292.64583333333)</f>
        <v>43292.64583</v>
      </c>
      <c r="B293" s="1">
        <f>IFERROR(__xludf.DUMMYFUNCTION("""COMPUTED_VALUE"""),15950.0)</f>
        <v>15950</v>
      </c>
      <c r="C293" s="1">
        <f>IFERROR(__xludf.DUMMYFUNCTION("""COMPUTED_VALUE"""),15950.0)</f>
        <v>15950</v>
      </c>
      <c r="D293" s="1">
        <f>IFERROR(__xludf.DUMMYFUNCTION("""COMPUTED_VALUE"""),15450.0)</f>
        <v>15450</v>
      </c>
      <c r="E293" s="1">
        <f>IFERROR(__xludf.DUMMYFUNCTION("""COMPUTED_VALUE"""),15600.0)</f>
        <v>15600</v>
      </c>
      <c r="F293" s="1">
        <f>IFERROR(__xludf.DUMMYFUNCTION("""COMPUTED_VALUE"""),15552.0)</f>
        <v>15552</v>
      </c>
    </row>
    <row r="294">
      <c r="A294" s="2">
        <f>IFERROR(__xludf.DUMMYFUNCTION("""COMPUTED_VALUE"""),43293.64583333333)</f>
        <v>43293.64583</v>
      </c>
      <c r="B294" s="1">
        <f>IFERROR(__xludf.DUMMYFUNCTION("""COMPUTED_VALUE"""),15750.0)</f>
        <v>15750</v>
      </c>
      <c r="C294" s="1">
        <f>IFERROR(__xludf.DUMMYFUNCTION("""COMPUTED_VALUE"""),15750.0)</f>
        <v>15750</v>
      </c>
      <c r="D294" s="1">
        <f>IFERROR(__xludf.DUMMYFUNCTION("""COMPUTED_VALUE"""),15200.0)</f>
        <v>15200</v>
      </c>
      <c r="E294" s="1">
        <f>IFERROR(__xludf.DUMMYFUNCTION("""COMPUTED_VALUE"""),15500.0)</f>
        <v>15500</v>
      </c>
      <c r="F294" s="1">
        <f>IFERROR(__xludf.DUMMYFUNCTION("""COMPUTED_VALUE"""),33625.0)</f>
        <v>33625</v>
      </c>
    </row>
    <row r="295">
      <c r="A295" s="2">
        <f>IFERROR(__xludf.DUMMYFUNCTION("""COMPUTED_VALUE"""),43294.64583333333)</f>
        <v>43294.64583</v>
      </c>
      <c r="B295" s="1">
        <f>IFERROR(__xludf.DUMMYFUNCTION("""COMPUTED_VALUE"""),15500.0)</f>
        <v>15500</v>
      </c>
      <c r="C295" s="1">
        <f>IFERROR(__xludf.DUMMYFUNCTION("""COMPUTED_VALUE"""),16100.0)</f>
        <v>16100</v>
      </c>
      <c r="D295" s="1">
        <f>IFERROR(__xludf.DUMMYFUNCTION("""COMPUTED_VALUE"""),15300.0)</f>
        <v>15300</v>
      </c>
      <c r="E295" s="1">
        <f>IFERROR(__xludf.DUMMYFUNCTION("""COMPUTED_VALUE"""),15950.0)</f>
        <v>15950</v>
      </c>
      <c r="F295" s="1">
        <f>IFERROR(__xludf.DUMMYFUNCTION("""COMPUTED_VALUE"""),40024.0)</f>
        <v>40024</v>
      </c>
    </row>
    <row r="296">
      <c r="A296" s="2">
        <f>IFERROR(__xludf.DUMMYFUNCTION("""COMPUTED_VALUE"""),43297.64583333333)</f>
        <v>43297.64583</v>
      </c>
      <c r="B296" s="1">
        <f>IFERROR(__xludf.DUMMYFUNCTION("""COMPUTED_VALUE"""),15950.0)</f>
        <v>15950</v>
      </c>
      <c r="C296" s="1">
        <f>IFERROR(__xludf.DUMMYFUNCTION("""COMPUTED_VALUE"""),16050.0)</f>
        <v>16050</v>
      </c>
      <c r="D296" s="1">
        <f>IFERROR(__xludf.DUMMYFUNCTION("""COMPUTED_VALUE"""),15275.0)</f>
        <v>15275</v>
      </c>
      <c r="E296" s="1">
        <f>IFERROR(__xludf.DUMMYFUNCTION("""COMPUTED_VALUE"""),15325.0)</f>
        <v>15325</v>
      </c>
      <c r="F296" s="1">
        <f>IFERROR(__xludf.DUMMYFUNCTION("""COMPUTED_VALUE"""),50834.0)</f>
        <v>50834</v>
      </c>
    </row>
    <row r="297">
      <c r="A297" s="2">
        <f>IFERROR(__xludf.DUMMYFUNCTION("""COMPUTED_VALUE"""),43298.64583333333)</f>
        <v>43298.64583</v>
      </c>
      <c r="B297" s="1">
        <f>IFERROR(__xludf.DUMMYFUNCTION("""COMPUTED_VALUE"""),15475.0)</f>
        <v>15475</v>
      </c>
      <c r="C297" s="1">
        <f>IFERROR(__xludf.DUMMYFUNCTION("""COMPUTED_VALUE"""),15475.0)</f>
        <v>15475</v>
      </c>
      <c r="D297" s="1">
        <f>IFERROR(__xludf.DUMMYFUNCTION("""COMPUTED_VALUE"""),15075.0)</f>
        <v>15075</v>
      </c>
      <c r="E297" s="1">
        <f>IFERROR(__xludf.DUMMYFUNCTION("""COMPUTED_VALUE"""),15425.0)</f>
        <v>15425</v>
      </c>
      <c r="F297" s="1">
        <f>IFERROR(__xludf.DUMMYFUNCTION("""COMPUTED_VALUE"""),23794.0)</f>
        <v>23794</v>
      </c>
    </row>
    <row r="298">
      <c r="A298" s="2">
        <f>IFERROR(__xludf.DUMMYFUNCTION("""COMPUTED_VALUE"""),43299.64583333333)</f>
        <v>43299.64583</v>
      </c>
      <c r="B298" s="1">
        <f>IFERROR(__xludf.DUMMYFUNCTION("""COMPUTED_VALUE"""),15575.0)</f>
        <v>15575</v>
      </c>
      <c r="C298" s="1">
        <f>IFERROR(__xludf.DUMMYFUNCTION("""COMPUTED_VALUE"""),15800.0)</f>
        <v>15800</v>
      </c>
      <c r="D298" s="1">
        <f>IFERROR(__xludf.DUMMYFUNCTION("""COMPUTED_VALUE"""),15250.0)</f>
        <v>15250</v>
      </c>
      <c r="E298" s="1">
        <f>IFERROR(__xludf.DUMMYFUNCTION("""COMPUTED_VALUE"""),15425.0)</f>
        <v>15425</v>
      </c>
      <c r="F298" s="1">
        <f>IFERROR(__xludf.DUMMYFUNCTION("""COMPUTED_VALUE"""),29827.0)</f>
        <v>29827</v>
      </c>
    </row>
    <row r="299">
      <c r="A299" s="2">
        <f>IFERROR(__xludf.DUMMYFUNCTION("""COMPUTED_VALUE"""),43300.64583333333)</f>
        <v>43300.64583</v>
      </c>
      <c r="B299" s="1">
        <f>IFERROR(__xludf.DUMMYFUNCTION("""COMPUTED_VALUE"""),15350.0)</f>
        <v>15350</v>
      </c>
      <c r="C299" s="1">
        <f>IFERROR(__xludf.DUMMYFUNCTION("""COMPUTED_VALUE"""),15550.0)</f>
        <v>15550</v>
      </c>
      <c r="D299" s="1">
        <f>IFERROR(__xludf.DUMMYFUNCTION("""COMPUTED_VALUE"""),14800.0)</f>
        <v>14800</v>
      </c>
      <c r="E299" s="1">
        <f>IFERROR(__xludf.DUMMYFUNCTION("""COMPUTED_VALUE"""),15000.0)</f>
        <v>15000</v>
      </c>
      <c r="F299" s="1">
        <f>IFERROR(__xludf.DUMMYFUNCTION("""COMPUTED_VALUE"""),57974.0)</f>
        <v>57974</v>
      </c>
    </row>
    <row r="300">
      <c r="A300" s="2">
        <f>IFERROR(__xludf.DUMMYFUNCTION("""COMPUTED_VALUE"""),43301.64583333333)</f>
        <v>43301.64583</v>
      </c>
      <c r="B300" s="1">
        <f>IFERROR(__xludf.DUMMYFUNCTION("""COMPUTED_VALUE"""),15000.0)</f>
        <v>15000</v>
      </c>
      <c r="C300" s="1">
        <f>IFERROR(__xludf.DUMMYFUNCTION("""COMPUTED_VALUE"""),15150.0)</f>
        <v>15150</v>
      </c>
      <c r="D300" s="1">
        <f>IFERROR(__xludf.DUMMYFUNCTION("""COMPUTED_VALUE"""),14275.0)</f>
        <v>14275</v>
      </c>
      <c r="E300" s="1">
        <f>IFERROR(__xludf.DUMMYFUNCTION("""COMPUTED_VALUE"""),14375.0)</f>
        <v>14375</v>
      </c>
      <c r="F300" s="1">
        <f>IFERROR(__xludf.DUMMYFUNCTION("""COMPUTED_VALUE"""),75145.0)</f>
        <v>75145</v>
      </c>
    </row>
    <row r="301">
      <c r="A301" s="2">
        <f>IFERROR(__xludf.DUMMYFUNCTION("""COMPUTED_VALUE"""),43304.64583333333)</f>
        <v>43304.64583</v>
      </c>
      <c r="B301" s="1">
        <f>IFERROR(__xludf.DUMMYFUNCTION("""COMPUTED_VALUE"""),14450.0)</f>
        <v>14450</v>
      </c>
      <c r="C301" s="1">
        <f>IFERROR(__xludf.DUMMYFUNCTION("""COMPUTED_VALUE"""),14550.0)</f>
        <v>14550</v>
      </c>
      <c r="D301" s="1">
        <f>IFERROR(__xludf.DUMMYFUNCTION("""COMPUTED_VALUE"""),12275.0)</f>
        <v>12275</v>
      </c>
      <c r="E301" s="1">
        <f>IFERROR(__xludf.DUMMYFUNCTION("""COMPUTED_VALUE"""),12500.0)</f>
        <v>12500</v>
      </c>
      <c r="F301" s="1">
        <f>IFERROR(__xludf.DUMMYFUNCTION("""COMPUTED_VALUE"""),165622.0)</f>
        <v>165622</v>
      </c>
    </row>
    <row r="302">
      <c r="A302" s="2">
        <f>IFERROR(__xludf.DUMMYFUNCTION("""COMPUTED_VALUE"""),43305.64583333333)</f>
        <v>43305.64583</v>
      </c>
      <c r="B302" s="1">
        <f>IFERROR(__xludf.DUMMYFUNCTION("""COMPUTED_VALUE"""),12350.0)</f>
        <v>12350</v>
      </c>
      <c r="C302" s="1">
        <f>IFERROR(__xludf.DUMMYFUNCTION("""COMPUTED_VALUE"""),13100.0)</f>
        <v>13100</v>
      </c>
      <c r="D302" s="1">
        <f>IFERROR(__xludf.DUMMYFUNCTION("""COMPUTED_VALUE"""),12350.0)</f>
        <v>12350</v>
      </c>
      <c r="E302" s="1">
        <f>IFERROR(__xludf.DUMMYFUNCTION("""COMPUTED_VALUE"""),12750.0)</f>
        <v>12750</v>
      </c>
      <c r="F302" s="1">
        <f>IFERROR(__xludf.DUMMYFUNCTION("""COMPUTED_VALUE"""),77245.0)</f>
        <v>77245</v>
      </c>
    </row>
    <row r="303">
      <c r="A303" s="2">
        <f>IFERROR(__xludf.DUMMYFUNCTION("""COMPUTED_VALUE"""),43306.64583333333)</f>
        <v>43306.64583</v>
      </c>
      <c r="B303" s="1">
        <f>IFERROR(__xludf.DUMMYFUNCTION("""COMPUTED_VALUE"""),12900.0)</f>
        <v>12900</v>
      </c>
      <c r="C303" s="1">
        <f>IFERROR(__xludf.DUMMYFUNCTION("""COMPUTED_VALUE"""),13050.0)</f>
        <v>13050</v>
      </c>
      <c r="D303" s="1">
        <f>IFERROR(__xludf.DUMMYFUNCTION("""COMPUTED_VALUE"""),12575.0)</f>
        <v>12575</v>
      </c>
      <c r="E303" s="1">
        <f>IFERROR(__xludf.DUMMYFUNCTION("""COMPUTED_VALUE"""),12775.0)</f>
        <v>12775</v>
      </c>
      <c r="F303" s="1">
        <f>IFERROR(__xludf.DUMMYFUNCTION("""COMPUTED_VALUE"""),50754.0)</f>
        <v>50754</v>
      </c>
    </row>
    <row r="304">
      <c r="A304" s="2">
        <f>IFERROR(__xludf.DUMMYFUNCTION("""COMPUTED_VALUE"""),43307.64583333333)</f>
        <v>43307.64583</v>
      </c>
      <c r="B304" s="1">
        <f>IFERROR(__xludf.DUMMYFUNCTION("""COMPUTED_VALUE"""),12900.0)</f>
        <v>12900</v>
      </c>
      <c r="C304" s="1">
        <f>IFERROR(__xludf.DUMMYFUNCTION("""COMPUTED_VALUE"""),13375.0)</f>
        <v>13375</v>
      </c>
      <c r="D304" s="1">
        <f>IFERROR(__xludf.DUMMYFUNCTION("""COMPUTED_VALUE"""),12875.0)</f>
        <v>12875</v>
      </c>
      <c r="E304" s="1">
        <f>IFERROR(__xludf.DUMMYFUNCTION("""COMPUTED_VALUE"""),13350.0)</f>
        <v>13350</v>
      </c>
      <c r="F304" s="1">
        <f>IFERROR(__xludf.DUMMYFUNCTION("""COMPUTED_VALUE"""),31099.0)</f>
        <v>31099</v>
      </c>
    </row>
    <row r="305">
      <c r="A305" s="2">
        <f>IFERROR(__xludf.DUMMYFUNCTION("""COMPUTED_VALUE"""),43308.64583333333)</f>
        <v>43308.64583</v>
      </c>
      <c r="B305" s="1">
        <f>IFERROR(__xludf.DUMMYFUNCTION("""COMPUTED_VALUE"""),13500.0)</f>
        <v>13500</v>
      </c>
      <c r="C305" s="1">
        <f>IFERROR(__xludf.DUMMYFUNCTION("""COMPUTED_VALUE"""),13850.0)</f>
        <v>13850</v>
      </c>
      <c r="D305" s="1">
        <f>IFERROR(__xludf.DUMMYFUNCTION("""COMPUTED_VALUE"""),13200.0)</f>
        <v>13200</v>
      </c>
      <c r="E305" s="1">
        <f>IFERROR(__xludf.DUMMYFUNCTION("""COMPUTED_VALUE"""),13625.0)</f>
        <v>13625</v>
      </c>
      <c r="F305" s="1">
        <f>IFERROR(__xludf.DUMMYFUNCTION("""COMPUTED_VALUE"""),42210.0)</f>
        <v>42210</v>
      </c>
    </row>
    <row r="306">
      <c r="A306" s="2">
        <f>IFERROR(__xludf.DUMMYFUNCTION("""COMPUTED_VALUE"""),43311.64583333333)</f>
        <v>43311.64583</v>
      </c>
      <c r="B306" s="1">
        <f>IFERROR(__xludf.DUMMYFUNCTION("""COMPUTED_VALUE"""),13750.0)</f>
        <v>13750</v>
      </c>
      <c r="C306" s="1">
        <f>IFERROR(__xludf.DUMMYFUNCTION("""COMPUTED_VALUE"""),13750.0)</f>
        <v>13750</v>
      </c>
      <c r="D306" s="1">
        <f>IFERROR(__xludf.DUMMYFUNCTION("""COMPUTED_VALUE"""),13075.0)</f>
        <v>13075</v>
      </c>
      <c r="E306" s="1">
        <f>IFERROR(__xludf.DUMMYFUNCTION("""COMPUTED_VALUE"""),13300.0)</f>
        <v>13300</v>
      </c>
      <c r="F306" s="1">
        <f>IFERROR(__xludf.DUMMYFUNCTION("""COMPUTED_VALUE"""),28302.0)</f>
        <v>28302</v>
      </c>
    </row>
    <row r="307">
      <c r="A307" s="2">
        <f>IFERROR(__xludf.DUMMYFUNCTION("""COMPUTED_VALUE"""),43312.64583333333)</f>
        <v>43312.64583</v>
      </c>
      <c r="B307" s="1">
        <f>IFERROR(__xludf.DUMMYFUNCTION("""COMPUTED_VALUE"""),13100.0)</f>
        <v>13100</v>
      </c>
      <c r="C307" s="1">
        <f>IFERROR(__xludf.DUMMYFUNCTION("""COMPUTED_VALUE"""),13325.0)</f>
        <v>13325</v>
      </c>
      <c r="D307" s="1">
        <f>IFERROR(__xludf.DUMMYFUNCTION("""COMPUTED_VALUE"""),12925.0)</f>
        <v>12925</v>
      </c>
      <c r="E307" s="1">
        <f>IFERROR(__xludf.DUMMYFUNCTION("""COMPUTED_VALUE"""),13325.0)</f>
        <v>13325</v>
      </c>
      <c r="F307" s="1">
        <f>IFERROR(__xludf.DUMMYFUNCTION("""COMPUTED_VALUE"""),33555.0)</f>
        <v>33555</v>
      </c>
    </row>
    <row r="308">
      <c r="A308" s="2">
        <f>IFERROR(__xludf.DUMMYFUNCTION("""COMPUTED_VALUE"""),43313.64583333333)</f>
        <v>43313.64583</v>
      </c>
      <c r="B308" s="1">
        <f>IFERROR(__xludf.DUMMYFUNCTION("""COMPUTED_VALUE"""),13325.0)</f>
        <v>13325</v>
      </c>
      <c r="C308" s="1">
        <f>IFERROR(__xludf.DUMMYFUNCTION("""COMPUTED_VALUE"""),13725.0)</f>
        <v>13725</v>
      </c>
      <c r="D308" s="1">
        <f>IFERROR(__xludf.DUMMYFUNCTION("""COMPUTED_VALUE"""),13000.0)</f>
        <v>13000</v>
      </c>
      <c r="E308" s="1">
        <f>IFERROR(__xludf.DUMMYFUNCTION("""COMPUTED_VALUE"""),13425.0)</f>
        <v>13425</v>
      </c>
      <c r="F308" s="1">
        <f>IFERROR(__xludf.DUMMYFUNCTION("""COMPUTED_VALUE"""),44777.0)</f>
        <v>44777</v>
      </c>
    </row>
    <row r="309">
      <c r="A309" s="2">
        <f>IFERROR(__xludf.DUMMYFUNCTION("""COMPUTED_VALUE"""),43314.64583333333)</f>
        <v>43314.64583</v>
      </c>
      <c r="B309" s="1">
        <f>IFERROR(__xludf.DUMMYFUNCTION("""COMPUTED_VALUE"""),13500.0)</f>
        <v>13500</v>
      </c>
      <c r="C309" s="1">
        <f>IFERROR(__xludf.DUMMYFUNCTION("""COMPUTED_VALUE"""),13625.0)</f>
        <v>13625</v>
      </c>
      <c r="D309" s="1">
        <f>IFERROR(__xludf.DUMMYFUNCTION("""COMPUTED_VALUE"""),13050.0)</f>
        <v>13050</v>
      </c>
      <c r="E309" s="1">
        <f>IFERROR(__xludf.DUMMYFUNCTION("""COMPUTED_VALUE"""),13250.0)</f>
        <v>13250</v>
      </c>
      <c r="F309" s="1">
        <f>IFERROR(__xludf.DUMMYFUNCTION("""COMPUTED_VALUE"""),18581.0)</f>
        <v>18581</v>
      </c>
    </row>
    <row r="310">
      <c r="A310" s="2">
        <f>IFERROR(__xludf.DUMMYFUNCTION("""COMPUTED_VALUE"""),43315.64583333333)</f>
        <v>43315.64583</v>
      </c>
      <c r="B310" s="1">
        <f>IFERROR(__xludf.DUMMYFUNCTION("""COMPUTED_VALUE"""),13275.0)</f>
        <v>13275</v>
      </c>
      <c r="C310" s="1">
        <f>IFERROR(__xludf.DUMMYFUNCTION("""COMPUTED_VALUE"""),13825.0)</f>
        <v>13825</v>
      </c>
      <c r="D310" s="1">
        <f>IFERROR(__xludf.DUMMYFUNCTION("""COMPUTED_VALUE"""),13275.0)</f>
        <v>13275</v>
      </c>
      <c r="E310" s="1">
        <f>IFERROR(__xludf.DUMMYFUNCTION("""COMPUTED_VALUE"""),13725.0)</f>
        <v>13725</v>
      </c>
      <c r="F310" s="1">
        <f>IFERROR(__xludf.DUMMYFUNCTION("""COMPUTED_VALUE"""),31408.0)</f>
        <v>31408</v>
      </c>
    </row>
    <row r="311">
      <c r="A311" s="2">
        <f>IFERROR(__xludf.DUMMYFUNCTION("""COMPUTED_VALUE"""),43318.64583333333)</f>
        <v>43318.64583</v>
      </c>
      <c r="B311" s="1">
        <f>IFERROR(__xludf.DUMMYFUNCTION("""COMPUTED_VALUE"""),13750.0)</f>
        <v>13750</v>
      </c>
      <c r="C311" s="1">
        <f>IFERROR(__xludf.DUMMYFUNCTION("""COMPUTED_VALUE"""),13900.0)</f>
        <v>13900</v>
      </c>
      <c r="D311" s="1">
        <f>IFERROR(__xludf.DUMMYFUNCTION("""COMPUTED_VALUE"""),13200.0)</f>
        <v>13200</v>
      </c>
      <c r="E311" s="1">
        <f>IFERROR(__xludf.DUMMYFUNCTION("""COMPUTED_VALUE"""),13400.0)</f>
        <v>13400</v>
      </c>
      <c r="F311" s="1">
        <f>IFERROR(__xludf.DUMMYFUNCTION("""COMPUTED_VALUE"""),44787.0)</f>
        <v>44787</v>
      </c>
    </row>
    <row r="312">
      <c r="A312" s="2">
        <f>IFERROR(__xludf.DUMMYFUNCTION("""COMPUTED_VALUE"""),43319.64583333333)</f>
        <v>43319.64583</v>
      </c>
      <c r="B312" s="1">
        <f>IFERROR(__xludf.DUMMYFUNCTION("""COMPUTED_VALUE"""),13400.0)</f>
        <v>13400</v>
      </c>
      <c r="C312" s="1">
        <f>IFERROR(__xludf.DUMMYFUNCTION("""COMPUTED_VALUE"""),13550.0)</f>
        <v>13550</v>
      </c>
      <c r="D312" s="1">
        <f>IFERROR(__xludf.DUMMYFUNCTION("""COMPUTED_VALUE"""),13200.0)</f>
        <v>13200</v>
      </c>
      <c r="E312" s="1">
        <f>IFERROR(__xludf.DUMMYFUNCTION("""COMPUTED_VALUE"""),13350.0)</f>
        <v>13350</v>
      </c>
      <c r="F312" s="1">
        <f>IFERROR(__xludf.DUMMYFUNCTION("""COMPUTED_VALUE"""),22653.0)</f>
        <v>22653</v>
      </c>
    </row>
    <row r="313">
      <c r="A313" s="2">
        <f>IFERROR(__xludf.DUMMYFUNCTION("""COMPUTED_VALUE"""),43320.64583333333)</f>
        <v>43320.64583</v>
      </c>
      <c r="B313" s="1">
        <f>IFERROR(__xludf.DUMMYFUNCTION("""COMPUTED_VALUE"""),13350.0)</f>
        <v>13350</v>
      </c>
      <c r="C313" s="1">
        <f>IFERROR(__xludf.DUMMYFUNCTION("""COMPUTED_VALUE"""),13525.0)</f>
        <v>13525</v>
      </c>
      <c r="D313" s="1">
        <f>IFERROR(__xludf.DUMMYFUNCTION("""COMPUTED_VALUE"""),13150.0)</f>
        <v>13150</v>
      </c>
      <c r="E313" s="1">
        <f>IFERROR(__xludf.DUMMYFUNCTION("""COMPUTED_VALUE"""),13300.0)</f>
        <v>13300</v>
      </c>
      <c r="F313" s="1">
        <f>IFERROR(__xludf.DUMMYFUNCTION("""COMPUTED_VALUE"""),30259.0)</f>
        <v>30259</v>
      </c>
    </row>
    <row r="314">
      <c r="A314" s="2">
        <f>IFERROR(__xludf.DUMMYFUNCTION("""COMPUTED_VALUE"""),43321.64583333333)</f>
        <v>43321.64583</v>
      </c>
      <c r="B314" s="1">
        <f>IFERROR(__xludf.DUMMYFUNCTION("""COMPUTED_VALUE"""),13400.0)</f>
        <v>13400</v>
      </c>
      <c r="C314" s="1">
        <f>IFERROR(__xludf.DUMMYFUNCTION("""COMPUTED_VALUE"""),13425.0)</f>
        <v>13425</v>
      </c>
      <c r="D314" s="1">
        <f>IFERROR(__xludf.DUMMYFUNCTION("""COMPUTED_VALUE"""),13200.0)</f>
        <v>13200</v>
      </c>
      <c r="E314" s="1">
        <f>IFERROR(__xludf.DUMMYFUNCTION("""COMPUTED_VALUE"""),13350.0)</f>
        <v>13350</v>
      </c>
      <c r="F314" s="1">
        <f>IFERROR(__xludf.DUMMYFUNCTION("""COMPUTED_VALUE"""),12766.0)</f>
        <v>12766</v>
      </c>
    </row>
    <row r="315">
      <c r="A315" s="2">
        <f>IFERROR(__xludf.DUMMYFUNCTION("""COMPUTED_VALUE"""),43322.64583333333)</f>
        <v>43322.64583</v>
      </c>
      <c r="B315" s="1">
        <f>IFERROR(__xludf.DUMMYFUNCTION("""COMPUTED_VALUE"""),13175.0)</f>
        <v>13175</v>
      </c>
      <c r="C315" s="1">
        <f>IFERROR(__xludf.DUMMYFUNCTION("""COMPUTED_VALUE"""),13300.0)</f>
        <v>13300</v>
      </c>
      <c r="D315" s="1">
        <f>IFERROR(__xludf.DUMMYFUNCTION("""COMPUTED_VALUE"""),12750.0)</f>
        <v>12750</v>
      </c>
      <c r="E315" s="1">
        <f>IFERROR(__xludf.DUMMYFUNCTION("""COMPUTED_VALUE"""),12750.0)</f>
        <v>12750</v>
      </c>
      <c r="F315" s="1">
        <f>IFERROR(__xludf.DUMMYFUNCTION("""COMPUTED_VALUE"""),38953.0)</f>
        <v>38953</v>
      </c>
    </row>
    <row r="316">
      <c r="A316" s="2">
        <f>IFERROR(__xludf.DUMMYFUNCTION("""COMPUTED_VALUE"""),43325.64583333333)</f>
        <v>43325.64583</v>
      </c>
      <c r="B316" s="1">
        <f>IFERROR(__xludf.DUMMYFUNCTION("""COMPUTED_VALUE"""),12650.0)</f>
        <v>12650</v>
      </c>
      <c r="C316" s="1">
        <f>IFERROR(__xludf.DUMMYFUNCTION("""COMPUTED_VALUE"""),12650.0)</f>
        <v>12650</v>
      </c>
      <c r="D316" s="1">
        <f>IFERROR(__xludf.DUMMYFUNCTION("""COMPUTED_VALUE"""),11800.0)</f>
        <v>11800</v>
      </c>
      <c r="E316" s="1">
        <f>IFERROR(__xludf.DUMMYFUNCTION("""COMPUTED_VALUE"""),11825.0)</f>
        <v>11825</v>
      </c>
      <c r="F316" s="1">
        <f>IFERROR(__xludf.DUMMYFUNCTION("""COMPUTED_VALUE"""),92695.0)</f>
        <v>92695</v>
      </c>
    </row>
    <row r="317">
      <c r="A317" s="2">
        <f>IFERROR(__xludf.DUMMYFUNCTION("""COMPUTED_VALUE"""),43326.64583333333)</f>
        <v>43326.64583</v>
      </c>
      <c r="B317" s="1">
        <f>IFERROR(__xludf.DUMMYFUNCTION("""COMPUTED_VALUE"""),11700.0)</f>
        <v>11700</v>
      </c>
      <c r="C317" s="1">
        <f>IFERROR(__xludf.DUMMYFUNCTION("""COMPUTED_VALUE"""),12250.0)</f>
        <v>12250</v>
      </c>
      <c r="D317" s="1">
        <f>IFERROR(__xludf.DUMMYFUNCTION("""COMPUTED_VALUE"""),11600.0)</f>
        <v>11600</v>
      </c>
      <c r="E317" s="1">
        <f>IFERROR(__xludf.DUMMYFUNCTION("""COMPUTED_VALUE"""),11600.0)</f>
        <v>11600</v>
      </c>
      <c r="F317" s="1">
        <f>IFERROR(__xludf.DUMMYFUNCTION("""COMPUTED_VALUE"""),58974.0)</f>
        <v>58974</v>
      </c>
    </row>
    <row r="318">
      <c r="A318" s="2">
        <f>IFERROR(__xludf.DUMMYFUNCTION("""COMPUTED_VALUE"""),43328.64583333333)</f>
        <v>43328.64583</v>
      </c>
      <c r="B318" s="1">
        <f>IFERROR(__xludf.DUMMYFUNCTION("""COMPUTED_VALUE"""),11325.0)</f>
        <v>11325</v>
      </c>
      <c r="C318" s="1">
        <f>IFERROR(__xludf.DUMMYFUNCTION("""COMPUTED_VALUE"""),11950.0)</f>
        <v>11950</v>
      </c>
      <c r="D318" s="1">
        <f>IFERROR(__xludf.DUMMYFUNCTION("""COMPUTED_VALUE"""),10850.0)</f>
        <v>10850</v>
      </c>
      <c r="E318" s="1">
        <f>IFERROR(__xludf.DUMMYFUNCTION("""COMPUTED_VALUE"""),11875.0)</f>
        <v>11875</v>
      </c>
      <c r="F318" s="1">
        <f>IFERROR(__xludf.DUMMYFUNCTION("""COMPUTED_VALUE"""),96657.0)</f>
        <v>96657</v>
      </c>
    </row>
    <row r="319">
      <c r="A319" s="2">
        <f>IFERROR(__xludf.DUMMYFUNCTION("""COMPUTED_VALUE"""),43329.64583333333)</f>
        <v>43329.64583</v>
      </c>
      <c r="B319" s="1">
        <f>IFERROR(__xludf.DUMMYFUNCTION("""COMPUTED_VALUE"""),11775.0)</f>
        <v>11775</v>
      </c>
      <c r="C319" s="1">
        <f>IFERROR(__xludf.DUMMYFUNCTION("""COMPUTED_VALUE"""),12200.0)</f>
        <v>12200</v>
      </c>
      <c r="D319" s="1">
        <f>IFERROR(__xludf.DUMMYFUNCTION("""COMPUTED_VALUE"""),11275.0)</f>
        <v>11275</v>
      </c>
      <c r="E319" s="1">
        <f>IFERROR(__xludf.DUMMYFUNCTION("""COMPUTED_VALUE"""),11400.0)</f>
        <v>11400</v>
      </c>
      <c r="F319" s="1">
        <f>IFERROR(__xludf.DUMMYFUNCTION("""COMPUTED_VALUE"""),85824.0)</f>
        <v>85824</v>
      </c>
    </row>
    <row r="320">
      <c r="A320" s="2">
        <f>IFERROR(__xludf.DUMMYFUNCTION("""COMPUTED_VALUE"""),43332.64583333333)</f>
        <v>43332.64583</v>
      </c>
      <c r="B320" s="1">
        <f>IFERROR(__xludf.DUMMYFUNCTION("""COMPUTED_VALUE"""),11275.0)</f>
        <v>11275</v>
      </c>
      <c r="C320" s="1">
        <f>IFERROR(__xludf.DUMMYFUNCTION("""COMPUTED_VALUE"""),11675.0)</f>
        <v>11675</v>
      </c>
      <c r="D320" s="1">
        <f>IFERROR(__xludf.DUMMYFUNCTION("""COMPUTED_VALUE"""),10400.0)</f>
        <v>10400</v>
      </c>
      <c r="E320" s="1">
        <f>IFERROR(__xludf.DUMMYFUNCTION("""COMPUTED_VALUE"""),10525.0)</f>
        <v>10525</v>
      </c>
      <c r="F320" s="1">
        <f>IFERROR(__xludf.DUMMYFUNCTION("""COMPUTED_VALUE"""),152941.0)</f>
        <v>152941</v>
      </c>
    </row>
    <row r="321">
      <c r="A321" s="2">
        <f>IFERROR(__xludf.DUMMYFUNCTION("""COMPUTED_VALUE"""),43333.64583333333)</f>
        <v>43333.64583</v>
      </c>
      <c r="B321" s="1">
        <f>IFERROR(__xludf.DUMMYFUNCTION("""COMPUTED_VALUE"""),10675.0)</f>
        <v>10675</v>
      </c>
      <c r="C321" s="1">
        <f>IFERROR(__xludf.DUMMYFUNCTION("""COMPUTED_VALUE"""),11125.0)</f>
        <v>11125</v>
      </c>
      <c r="D321" s="1">
        <f>IFERROR(__xludf.DUMMYFUNCTION("""COMPUTED_VALUE"""),10650.0)</f>
        <v>10650</v>
      </c>
      <c r="E321" s="1">
        <f>IFERROR(__xludf.DUMMYFUNCTION("""COMPUTED_VALUE"""),11075.0)</f>
        <v>11075</v>
      </c>
      <c r="F321" s="1">
        <f>IFERROR(__xludf.DUMMYFUNCTION("""COMPUTED_VALUE"""),94667.0)</f>
        <v>94667</v>
      </c>
    </row>
    <row r="322">
      <c r="A322" s="2">
        <f>IFERROR(__xludf.DUMMYFUNCTION("""COMPUTED_VALUE"""),43334.64583333333)</f>
        <v>43334.64583</v>
      </c>
      <c r="B322" s="1">
        <f>IFERROR(__xludf.DUMMYFUNCTION("""COMPUTED_VALUE"""),11100.0)</f>
        <v>11100</v>
      </c>
      <c r="C322" s="1">
        <f>IFERROR(__xludf.DUMMYFUNCTION("""COMPUTED_VALUE"""),12250.0)</f>
        <v>12250</v>
      </c>
      <c r="D322" s="1">
        <f>IFERROR(__xludf.DUMMYFUNCTION("""COMPUTED_VALUE"""),11100.0)</f>
        <v>11100</v>
      </c>
      <c r="E322" s="1">
        <f>IFERROR(__xludf.DUMMYFUNCTION("""COMPUTED_VALUE"""),12000.0)</f>
        <v>12000</v>
      </c>
      <c r="F322" s="1">
        <f>IFERROR(__xludf.DUMMYFUNCTION("""COMPUTED_VALUE"""),111643.0)</f>
        <v>111643</v>
      </c>
    </row>
    <row r="323">
      <c r="A323" s="2">
        <f>IFERROR(__xludf.DUMMYFUNCTION("""COMPUTED_VALUE"""),43335.64583333333)</f>
        <v>43335.64583</v>
      </c>
      <c r="B323" s="1">
        <f>IFERROR(__xludf.DUMMYFUNCTION("""COMPUTED_VALUE"""),12000.0)</f>
        <v>12000</v>
      </c>
      <c r="C323" s="1">
        <f>IFERROR(__xludf.DUMMYFUNCTION("""COMPUTED_VALUE"""),12450.0)</f>
        <v>12450</v>
      </c>
      <c r="D323" s="1">
        <f>IFERROR(__xludf.DUMMYFUNCTION("""COMPUTED_VALUE"""),11850.0)</f>
        <v>11850</v>
      </c>
      <c r="E323" s="1">
        <f>IFERROR(__xludf.DUMMYFUNCTION("""COMPUTED_VALUE"""),12275.0)</f>
        <v>12275</v>
      </c>
      <c r="F323" s="1">
        <f>IFERROR(__xludf.DUMMYFUNCTION("""COMPUTED_VALUE"""),63108.0)</f>
        <v>63108</v>
      </c>
    </row>
    <row r="324">
      <c r="A324" s="2">
        <f>IFERROR(__xludf.DUMMYFUNCTION("""COMPUTED_VALUE"""),43336.64583333333)</f>
        <v>43336.64583</v>
      </c>
      <c r="B324" s="1">
        <f>IFERROR(__xludf.DUMMYFUNCTION("""COMPUTED_VALUE"""),12275.0)</f>
        <v>12275</v>
      </c>
      <c r="C324" s="1">
        <f>IFERROR(__xludf.DUMMYFUNCTION("""COMPUTED_VALUE"""),12275.0)</f>
        <v>12275</v>
      </c>
      <c r="D324" s="1">
        <f>IFERROR(__xludf.DUMMYFUNCTION("""COMPUTED_VALUE"""),11700.0)</f>
        <v>11700</v>
      </c>
      <c r="E324" s="1">
        <f>IFERROR(__xludf.DUMMYFUNCTION("""COMPUTED_VALUE"""),12025.0)</f>
        <v>12025</v>
      </c>
      <c r="F324" s="1">
        <f>IFERROR(__xludf.DUMMYFUNCTION("""COMPUTED_VALUE"""),42463.0)</f>
        <v>42463</v>
      </c>
    </row>
    <row r="325">
      <c r="A325" s="2">
        <f>IFERROR(__xludf.DUMMYFUNCTION("""COMPUTED_VALUE"""),43339.64583333333)</f>
        <v>43339.64583</v>
      </c>
      <c r="B325" s="1">
        <f>IFERROR(__xludf.DUMMYFUNCTION("""COMPUTED_VALUE"""),12000.0)</f>
        <v>12000</v>
      </c>
      <c r="C325" s="1">
        <f>IFERROR(__xludf.DUMMYFUNCTION("""COMPUTED_VALUE"""),12000.0)</f>
        <v>12000</v>
      </c>
      <c r="D325" s="1">
        <f>IFERROR(__xludf.DUMMYFUNCTION("""COMPUTED_VALUE"""),11650.0)</f>
        <v>11650</v>
      </c>
      <c r="E325" s="1">
        <f>IFERROR(__xludf.DUMMYFUNCTION("""COMPUTED_VALUE"""),11850.0)</f>
        <v>11850</v>
      </c>
      <c r="F325" s="1">
        <f>IFERROR(__xludf.DUMMYFUNCTION("""COMPUTED_VALUE"""),35107.0)</f>
        <v>35107</v>
      </c>
    </row>
    <row r="326">
      <c r="A326" s="2">
        <f>IFERROR(__xludf.DUMMYFUNCTION("""COMPUTED_VALUE"""),43340.64583333333)</f>
        <v>43340.64583</v>
      </c>
      <c r="B326" s="1">
        <f>IFERROR(__xludf.DUMMYFUNCTION("""COMPUTED_VALUE"""),11750.0)</f>
        <v>11750</v>
      </c>
      <c r="C326" s="1">
        <f>IFERROR(__xludf.DUMMYFUNCTION("""COMPUTED_VALUE"""),12000.0)</f>
        <v>12000</v>
      </c>
      <c r="D326" s="1">
        <f>IFERROR(__xludf.DUMMYFUNCTION("""COMPUTED_VALUE"""),11750.0)</f>
        <v>11750</v>
      </c>
      <c r="E326" s="1">
        <f>IFERROR(__xludf.DUMMYFUNCTION("""COMPUTED_VALUE"""),11800.0)</f>
        <v>11800</v>
      </c>
      <c r="F326" s="1">
        <f>IFERROR(__xludf.DUMMYFUNCTION("""COMPUTED_VALUE"""),19734.0)</f>
        <v>19734</v>
      </c>
    </row>
    <row r="327">
      <c r="A327" s="2">
        <f>IFERROR(__xludf.DUMMYFUNCTION("""COMPUTED_VALUE"""),43341.64583333333)</f>
        <v>43341.64583</v>
      </c>
      <c r="B327" s="1">
        <f>IFERROR(__xludf.DUMMYFUNCTION("""COMPUTED_VALUE"""),11750.0)</f>
        <v>11750</v>
      </c>
      <c r="C327" s="1">
        <f>IFERROR(__xludf.DUMMYFUNCTION("""COMPUTED_VALUE"""),12075.0)</f>
        <v>12075</v>
      </c>
      <c r="D327" s="1">
        <f>IFERROR(__xludf.DUMMYFUNCTION("""COMPUTED_VALUE"""),11750.0)</f>
        <v>11750</v>
      </c>
      <c r="E327" s="1">
        <f>IFERROR(__xludf.DUMMYFUNCTION("""COMPUTED_VALUE"""),11925.0)</f>
        <v>11925</v>
      </c>
      <c r="F327" s="1">
        <f>IFERROR(__xludf.DUMMYFUNCTION("""COMPUTED_VALUE"""),47793.0)</f>
        <v>47793</v>
      </c>
    </row>
    <row r="328">
      <c r="A328" s="2">
        <f>IFERROR(__xludf.DUMMYFUNCTION("""COMPUTED_VALUE"""),43342.64583333333)</f>
        <v>43342.64583</v>
      </c>
      <c r="B328" s="1">
        <f>IFERROR(__xludf.DUMMYFUNCTION("""COMPUTED_VALUE"""),12000.0)</f>
        <v>12000</v>
      </c>
      <c r="C328" s="1">
        <f>IFERROR(__xludf.DUMMYFUNCTION("""COMPUTED_VALUE"""),12175.0)</f>
        <v>12175</v>
      </c>
      <c r="D328" s="1">
        <f>IFERROR(__xludf.DUMMYFUNCTION("""COMPUTED_VALUE"""),11150.0)</f>
        <v>11150</v>
      </c>
      <c r="E328" s="1">
        <f>IFERROR(__xludf.DUMMYFUNCTION("""COMPUTED_VALUE"""),11475.0)</f>
        <v>11475</v>
      </c>
      <c r="F328" s="1">
        <f>IFERROR(__xludf.DUMMYFUNCTION("""COMPUTED_VALUE"""),93982.0)</f>
        <v>93982</v>
      </c>
    </row>
    <row r="329">
      <c r="A329" s="2">
        <f>IFERROR(__xludf.DUMMYFUNCTION("""COMPUTED_VALUE"""),43343.64583333333)</f>
        <v>43343.64583</v>
      </c>
      <c r="B329" s="1">
        <f>IFERROR(__xludf.DUMMYFUNCTION("""COMPUTED_VALUE"""),11475.0)</f>
        <v>11475</v>
      </c>
      <c r="C329" s="1">
        <f>IFERROR(__xludf.DUMMYFUNCTION("""COMPUTED_VALUE"""),11700.0)</f>
        <v>11700</v>
      </c>
      <c r="D329" s="1">
        <f>IFERROR(__xludf.DUMMYFUNCTION("""COMPUTED_VALUE"""),11275.0)</f>
        <v>11275</v>
      </c>
      <c r="E329" s="1">
        <f>IFERROR(__xludf.DUMMYFUNCTION("""COMPUTED_VALUE"""),11525.0)</f>
        <v>11525</v>
      </c>
      <c r="F329" s="1">
        <f>IFERROR(__xludf.DUMMYFUNCTION("""COMPUTED_VALUE"""),32871.0)</f>
        <v>32871</v>
      </c>
    </row>
    <row r="330">
      <c r="A330" s="2">
        <f>IFERROR(__xludf.DUMMYFUNCTION("""COMPUTED_VALUE"""),43346.64583333333)</f>
        <v>43346.64583</v>
      </c>
      <c r="B330" s="1">
        <f>IFERROR(__xludf.DUMMYFUNCTION("""COMPUTED_VALUE"""),11550.0)</f>
        <v>11550</v>
      </c>
      <c r="C330" s="1">
        <f>IFERROR(__xludf.DUMMYFUNCTION("""COMPUTED_VALUE"""),11825.0)</f>
        <v>11825</v>
      </c>
      <c r="D330" s="1">
        <f>IFERROR(__xludf.DUMMYFUNCTION("""COMPUTED_VALUE"""),11250.0)</f>
        <v>11250</v>
      </c>
      <c r="E330" s="1">
        <f>IFERROR(__xludf.DUMMYFUNCTION("""COMPUTED_VALUE"""),11375.0)</f>
        <v>11375</v>
      </c>
      <c r="F330" s="1">
        <f>IFERROR(__xludf.DUMMYFUNCTION("""COMPUTED_VALUE"""),37312.0)</f>
        <v>37312</v>
      </c>
    </row>
    <row r="331">
      <c r="A331" s="2">
        <f>IFERROR(__xludf.DUMMYFUNCTION("""COMPUTED_VALUE"""),43347.64583333333)</f>
        <v>43347.64583</v>
      </c>
      <c r="B331" s="1">
        <f>IFERROR(__xludf.DUMMYFUNCTION("""COMPUTED_VALUE"""),11375.0)</f>
        <v>11375</v>
      </c>
      <c r="C331" s="1">
        <f>IFERROR(__xludf.DUMMYFUNCTION("""COMPUTED_VALUE"""),11625.0)</f>
        <v>11625</v>
      </c>
      <c r="D331" s="1">
        <f>IFERROR(__xludf.DUMMYFUNCTION("""COMPUTED_VALUE"""),11350.0)</f>
        <v>11350</v>
      </c>
      <c r="E331" s="1">
        <f>IFERROR(__xludf.DUMMYFUNCTION("""COMPUTED_VALUE"""),11550.0)</f>
        <v>11550</v>
      </c>
      <c r="F331" s="1">
        <f>IFERROR(__xludf.DUMMYFUNCTION("""COMPUTED_VALUE"""),36340.0)</f>
        <v>36340</v>
      </c>
    </row>
    <row r="332">
      <c r="A332" s="2">
        <f>IFERROR(__xludf.DUMMYFUNCTION("""COMPUTED_VALUE"""),43348.64583333333)</f>
        <v>43348.64583</v>
      </c>
      <c r="B332" s="1">
        <f>IFERROR(__xludf.DUMMYFUNCTION("""COMPUTED_VALUE"""),11650.0)</f>
        <v>11650</v>
      </c>
      <c r="C332" s="1">
        <f>IFERROR(__xludf.DUMMYFUNCTION("""COMPUTED_VALUE"""),11900.0)</f>
        <v>11900</v>
      </c>
      <c r="D332" s="1">
        <f>IFERROR(__xludf.DUMMYFUNCTION("""COMPUTED_VALUE"""),11525.0)</f>
        <v>11525</v>
      </c>
      <c r="E332" s="1">
        <f>IFERROR(__xludf.DUMMYFUNCTION("""COMPUTED_VALUE"""),11750.0)</f>
        <v>11750</v>
      </c>
      <c r="F332" s="1">
        <f>IFERROR(__xludf.DUMMYFUNCTION("""COMPUTED_VALUE"""),39237.0)</f>
        <v>39237</v>
      </c>
    </row>
    <row r="333">
      <c r="A333" s="2">
        <f>IFERROR(__xludf.DUMMYFUNCTION("""COMPUTED_VALUE"""),43349.64583333333)</f>
        <v>43349.64583</v>
      </c>
      <c r="B333" s="1">
        <f>IFERROR(__xludf.DUMMYFUNCTION("""COMPUTED_VALUE"""),11625.0)</f>
        <v>11625</v>
      </c>
      <c r="C333" s="1">
        <f>IFERROR(__xludf.DUMMYFUNCTION("""COMPUTED_VALUE"""),12075.0)</f>
        <v>12075</v>
      </c>
      <c r="D333" s="1">
        <f>IFERROR(__xludf.DUMMYFUNCTION("""COMPUTED_VALUE"""),11475.0)</f>
        <v>11475</v>
      </c>
      <c r="E333" s="1">
        <f>IFERROR(__xludf.DUMMYFUNCTION("""COMPUTED_VALUE"""),12000.0)</f>
        <v>12000</v>
      </c>
      <c r="F333" s="1">
        <f>IFERROR(__xludf.DUMMYFUNCTION("""COMPUTED_VALUE"""),52878.0)</f>
        <v>52878</v>
      </c>
    </row>
    <row r="334">
      <c r="A334" s="2">
        <f>IFERROR(__xludf.DUMMYFUNCTION("""COMPUTED_VALUE"""),43350.64583333333)</f>
        <v>43350.64583</v>
      </c>
      <c r="B334" s="1">
        <f>IFERROR(__xludf.DUMMYFUNCTION("""COMPUTED_VALUE"""),11950.0)</f>
        <v>11950</v>
      </c>
      <c r="C334" s="1">
        <f>IFERROR(__xludf.DUMMYFUNCTION("""COMPUTED_VALUE"""),11975.0)</f>
        <v>11975</v>
      </c>
      <c r="D334" s="1">
        <f>IFERROR(__xludf.DUMMYFUNCTION("""COMPUTED_VALUE"""),10800.0)</f>
        <v>10800</v>
      </c>
      <c r="E334" s="1">
        <f>IFERROR(__xludf.DUMMYFUNCTION("""COMPUTED_VALUE"""),11250.0)</f>
        <v>11250</v>
      </c>
      <c r="F334" s="1">
        <f>IFERROR(__xludf.DUMMYFUNCTION("""COMPUTED_VALUE"""),129254.0)</f>
        <v>129254</v>
      </c>
    </row>
    <row r="335">
      <c r="A335" s="2">
        <f>IFERROR(__xludf.DUMMYFUNCTION("""COMPUTED_VALUE"""),43353.64583333333)</f>
        <v>43353.64583</v>
      </c>
      <c r="B335" s="1">
        <f>IFERROR(__xludf.DUMMYFUNCTION("""COMPUTED_VALUE"""),11150.0)</f>
        <v>11150</v>
      </c>
      <c r="C335" s="1">
        <f>IFERROR(__xludf.DUMMYFUNCTION("""COMPUTED_VALUE"""),11375.0)</f>
        <v>11375</v>
      </c>
      <c r="D335" s="1">
        <f>IFERROR(__xludf.DUMMYFUNCTION("""COMPUTED_VALUE"""),10500.0)</f>
        <v>10500</v>
      </c>
      <c r="E335" s="1">
        <f>IFERROR(__xludf.DUMMYFUNCTION("""COMPUTED_VALUE"""),10775.0)</f>
        <v>10775</v>
      </c>
      <c r="F335" s="1">
        <f>IFERROR(__xludf.DUMMYFUNCTION("""COMPUTED_VALUE"""),94092.0)</f>
        <v>94092</v>
      </c>
    </row>
    <row r="336">
      <c r="A336" s="2">
        <f>IFERROR(__xludf.DUMMYFUNCTION("""COMPUTED_VALUE"""),43354.64583333333)</f>
        <v>43354.64583</v>
      </c>
      <c r="B336" s="1">
        <f>IFERROR(__xludf.DUMMYFUNCTION("""COMPUTED_VALUE"""),10675.0)</f>
        <v>10675</v>
      </c>
      <c r="C336" s="1">
        <f>IFERROR(__xludf.DUMMYFUNCTION("""COMPUTED_VALUE"""),11150.0)</f>
        <v>11150</v>
      </c>
      <c r="D336" s="1">
        <f>IFERROR(__xludf.DUMMYFUNCTION("""COMPUTED_VALUE"""),10675.0)</f>
        <v>10675</v>
      </c>
      <c r="E336" s="1">
        <f>IFERROR(__xludf.DUMMYFUNCTION("""COMPUTED_VALUE"""),11125.0)</f>
        <v>11125</v>
      </c>
      <c r="F336" s="1">
        <f>IFERROR(__xludf.DUMMYFUNCTION("""COMPUTED_VALUE"""),32543.0)</f>
        <v>32543</v>
      </c>
    </row>
    <row r="337">
      <c r="A337" s="2">
        <f>IFERROR(__xludf.DUMMYFUNCTION("""COMPUTED_VALUE"""),43355.64583333333)</f>
        <v>43355.64583</v>
      </c>
      <c r="B337" s="1">
        <f>IFERROR(__xludf.DUMMYFUNCTION("""COMPUTED_VALUE"""),11275.0)</f>
        <v>11275</v>
      </c>
      <c r="C337" s="1">
        <f>IFERROR(__xludf.DUMMYFUNCTION("""COMPUTED_VALUE"""),11275.0)</f>
        <v>11275</v>
      </c>
      <c r="D337" s="1">
        <f>IFERROR(__xludf.DUMMYFUNCTION("""COMPUTED_VALUE"""),10575.0)</f>
        <v>10575</v>
      </c>
      <c r="E337" s="1">
        <f>IFERROR(__xludf.DUMMYFUNCTION("""COMPUTED_VALUE"""),10950.0)</f>
        <v>10950</v>
      </c>
      <c r="F337" s="1">
        <f>IFERROR(__xludf.DUMMYFUNCTION("""COMPUTED_VALUE"""),58422.0)</f>
        <v>58422</v>
      </c>
    </row>
    <row r="338">
      <c r="A338" s="2">
        <f>IFERROR(__xludf.DUMMYFUNCTION("""COMPUTED_VALUE"""),43356.64583333333)</f>
        <v>43356.64583</v>
      </c>
      <c r="B338" s="1">
        <f>IFERROR(__xludf.DUMMYFUNCTION("""COMPUTED_VALUE"""),10950.0)</f>
        <v>10950</v>
      </c>
      <c r="C338" s="1">
        <f>IFERROR(__xludf.DUMMYFUNCTION("""COMPUTED_VALUE"""),11000.0)</f>
        <v>11000</v>
      </c>
      <c r="D338" s="1">
        <f>IFERROR(__xludf.DUMMYFUNCTION("""COMPUTED_VALUE"""),10175.0)</f>
        <v>10175</v>
      </c>
      <c r="E338" s="1">
        <f>IFERROR(__xludf.DUMMYFUNCTION("""COMPUTED_VALUE"""),10725.0)</f>
        <v>10725</v>
      </c>
      <c r="F338" s="1">
        <f>IFERROR(__xludf.DUMMYFUNCTION("""COMPUTED_VALUE"""),157545.0)</f>
        <v>157545</v>
      </c>
    </row>
    <row r="339">
      <c r="A339" s="2">
        <f>IFERROR(__xludf.DUMMYFUNCTION("""COMPUTED_VALUE"""),43357.64583333333)</f>
        <v>43357.64583</v>
      </c>
      <c r="B339" s="1">
        <f>IFERROR(__xludf.DUMMYFUNCTION("""COMPUTED_VALUE"""),10850.0)</f>
        <v>10850</v>
      </c>
      <c r="C339" s="1">
        <f>IFERROR(__xludf.DUMMYFUNCTION("""COMPUTED_VALUE"""),11200.0)</f>
        <v>11200</v>
      </c>
      <c r="D339" s="1">
        <f>IFERROR(__xludf.DUMMYFUNCTION("""COMPUTED_VALUE"""),10775.0)</f>
        <v>10775</v>
      </c>
      <c r="E339" s="1">
        <f>IFERROR(__xludf.DUMMYFUNCTION("""COMPUTED_VALUE"""),11050.0)</f>
        <v>11050</v>
      </c>
      <c r="F339" s="1">
        <f>IFERROR(__xludf.DUMMYFUNCTION("""COMPUTED_VALUE"""),55933.0)</f>
        <v>55933</v>
      </c>
    </row>
    <row r="340">
      <c r="A340" s="2">
        <f>IFERROR(__xludf.DUMMYFUNCTION("""COMPUTED_VALUE"""),43360.64583333333)</f>
        <v>43360.64583</v>
      </c>
      <c r="B340" s="1">
        <f>IFERROR(__xludf.DUMMYFUNCTION("""COMPUTED_VALUE"""),11075.0)</f>
        <v>11075</v>
      </c>
      <c r="C340" s="1">
        <f>IFERROR(__xludf.DUMMYFUNCTION("""COMPUTED_VALUE"""),11125.0)</f>
        <v>11125</v>
      </c>
      <c r="D340" s="1">
        <f>IFERROR(__xludf.DUMMYFUNCTION("""COMPUTED_VALUE"""),10475.0)</f>
        <v>10475</v>
      </c>
      <c r="E340" s="1">
        <f>IFERROR(__xludf.DUMMYFUNCTION("""COMPUTED_VALUE"""),10650.0)</f>
        <v>10650</v>
      </c>
      <c r="F340" s="1">
        <f>IFERROR(__xludf.DUMMYFUNCTION("""COMPUTED_VALUE"""),50163.0)</f>
        <v>50163</v>
      </c>
    </row>
    <row r="341">
      <c r="A341" s="2">
        <f>IFERROR(__xludf.DUMMYFUNCTION("""COMPUTED_VALUE"""),43361.64583333333)</f>
        <v>43361.64583</v>
      </c>
      <c r="B341" s="1">
        <f>IFERROR(__xludf.DUMMYFUNCTION("""COMPUTED_VALUE"""),10525.0)</f>
        <v>10525</v>
      </c>
      <c r="C341" s="1">
        <f>IFERROR(__xludf.DUMMYFUNCTION("""COMPUTED_VALUE"""),10975.0)</f>
        <v>10975</v>
      </c>
      <c r="D341" s="1">
        <f>IFERROR(__xludf.DUMMYFUNCTION("""COMPUTED_VALUE"""),10350.0)</f>
        <v>10350</v>
      </c>
      <c r="E341" s="1">
        <f>IFERROR(__xludf.DUMMYFUNCTION("""COMPUTED_VALUE"""),10750.0)</f>
        <v>10750</v>
      </c>
      <c r="F341" s="1">
        <f>IFERROR(__xludf.DUMMYFUNCTION("""COMPUTED_VALUE"""),53481.0)</f>
        <v>53481</v>
      </c>
    </row>
    <row r="342">
      <c r="A342" s="2">
        <f>IFERROR(__xludf.DUMMYFUNCTION("""COMPUTED_VALUE"""),43362.64583333333)</f>
        <v>43362.64583</v>
      </c>
      <c r="B342" s="1">
        <f>IFERROR(__xludf.DUMMYFUNCTION("""COMPUTED_VALUE"""),10875.0)</f>
        <v>10875</v>
      </c>
      <c r="C342" s="1">
        <f>IFERROR(__xludf.DUMMYFUNCTION("""COMPUTED_VALUE"""),10900.0)</f>
        <v>10900</v>
      </c>
      <c r="D342" s="1">
        <f>IFERROR(__xludf.DUMMYFUNCTION("""COMPUTED_VALUE"""),10600.0)</f>
        <v>10600</v>
      </c>
      <c r="E342" s="1">
        <f>IFERROR(__xludf.DUMMYFUNCTION("""COMPUTED_VALUE"""),10600.0)</f>
        <v>10600</v>
      </c>
      <c r="F342" s="1">
        <f>IFERROR(__xludf.DUMMYFUNCTION("""COMPUTED_VALUE"""),28623.0)</f>
        <v>28623</v>
      </c>
    </row>
    <row r="343">
      <c r="A343" s="2">
        <f>IFERROR(__xludf.DUMMYFUNCTION("""COMPUTED_VALUE"""),43363.64583333333)</f>
        <v>43363.64583</v>
      </c>
      <c r="B343" s="1">
        <f>IFERROR(__xludf.DUMMYFUNCTION("""COMPUTED_VALUE"""),10575.0)</f>
        <v>10575</v>
      </c>
      <c r="C343" s="1">
        <f>IFERROR(__xludf.DUMMYFUNCTION("""COMPUTED_VALUE"""),10675.0)</f>
        <v>10675</v>
      </c>
      <c r="D343" s="1">
        <f>IFERROR(__xludf.DUMMYFUNCTION("""COMPUTED_VALUE"""),10175.0)</f>
        <v>10175</v>
      </c>
      <c r="E343" s="1">
        <f>IFERROR(__xludf.DUMMYFUNCTION("""COMPUTED_VALUE"""),10200.0)</f>
        <v>10200</v>
      </c>
      <c r="F343" s="1">
        <f>IFERROR(__xludf.DUMMYFUNCTION("""COMPUTED_VALUE"""),67724.0)</f>
        <v>67724</v>
      </c>
    </row>
    <row r="344">
      <c r="A344" s="2">
        <f>IFERROR(__xludf.DUMMYFUNCTION("""COMPUTED_VALUE"""),43364.64583333333)</f>
        <v>43364.64583</v>
      </c>
      <c r="B344" s="1">
        <f>IFERROR(__xludf.DUMMYFUNCTION("""COMPUTED_VALUE"""),10275.0)</f>
        <v>10275</v>
      </c>
      <c r="C344" s="1">
        <f>IFERROR(__xludf.DUMMYFUNCTION("""COMPUTED_VALUE"""),10775.0)</f>
        <v>10775</v>
      </c>
      <c r="D344" s="1">
        <f>IFERROR(__xludf.DUMMYFUNCTION("""COMPUTED_VALUE"""),10075.0)</f>
        <v>10075</v>
      </c>
      <c r="E344" s="1">
        <f>IFERROR(__xludf.DUMMYFUNCTION("""COMPUTED_VALUE"""),10700.0)</f>
        <v>10700</v>
      </c>
      <c r="F344" s="1">
        <f>IFERROR(__xludf.DUMMYFUNCTION("""COMPUTED_VALUE"""),75018.0)</f>
        <v>75018</v>
      </c>
    </row>
    <row r="345">
      <c r="A345" s="2">
        <f>IFERROR(__xludf.DUMMYFUNCTION("""COMPUTED_VALUE"""),43370.64583333333)</f>
        <v>43370.64583</v>
      </c>
      <c r="B345" s="1">
        <f>IFERROR(__xludf.DUMMYFUNCTION("""COMPUTED_VALUE"""),10275.0)</f>
        <v>10275</v>
      </c>
      <c r="C345" s="1">
        <f>IFERROR(__xludf.DUMMYFUNCTION("""COMPUTED_VALUE"""),10625.0)</f>
        <v>10625</v>
      </c>
      <c r="D345" s="1">
        <f>IFERROR(__xludf.DUMMYFUNCTION("""COMPUTED_VALUE"""),10275.0)</f>
        <v>10275</v>
      </c>
      <c r="E345" s="1">
        <f>IFERROR(__xludf.DUMMYFUNCTION("""COMPUTED_VALUE"""),10575.0)</f>
        <v>10575</v>
      </c>
      <c r="F345" s="1">
        <f>IFERROR(__xludf.DUMMYFUNCTION("""COMPUTED_VALUE"""),65108.0)</f>
        <v>65108</v>
      </c>
    </row>
    <row r="346">
      <c r="A346" s="2">
        <f>IFERROR(__xludf.DUMMYFUNCTION("""COMPUTED_VALUE"""),43371.64583333333)</f>
        <v>43371.64583</v>
      </c>
      <c r="B346" s="1">
        <f>IFERROR(__xludf.DUMMYFUNCTION("""COMPUTED_VALUE"""),10700.0)</f>
        <v>10700</v>
      </c>
      <c r="C346" s="1">
        <f>IFERROR(__xludf.DUMMYFUNCTION("""COMPUTED_VALUE"""),10750.0)</f>
        <v>10750</v>
      </c>
      <c r="D346" s="1">
        <f>IFERROR(__xludf.DUMMYFUNCTION("""COMPUTED_VALUE"""),10400.0)</f>
        <v>10400</v>
      </c>
      <c r="E346" s="1">
        <f>IFERROR(__xludf.DUMMYFUNCTION("""COMPUTED_VALUE"""),10575.0)</f>
        <v>10575</v>
      </c>
      <c r="F346" s="1">
        <f>IFERROR(__xludf.DUMMYFUNCTION("""COMPUTED_VALUE"""),42263.0)</f>
        <v>42263</v>
      </c>
    </row>
    <row r="347">
      <c r="A347" s="2">
        <f>IFERROR(__xludf.DUMMYFUNCTION("""COMPUTED_VALUE"""),43374.64583333333)</f>
        <v>43374.64583</v>
      </c>
      <c r="B347" s="1">
        <f>IFERROR(__xludf.DUMMYFUNCTION("""COMPUTED_VALUE"""),10700.0)</f>
        <v>10700</v>
      </c>
      <c r="C347" s="1">
        <f>IFERROR(__xludf.DUMMYFUNCTION("""COMPUTED_VALUE"""),10725.0)</f>
        <v>10725</v>
      </c>
      <c r="D347" s="1">
        <f>IFERROR(__xludf.DUMMYFUNCTION("""COMPUTED_VALUE"""),10200.0)</f>
        <v>10200</v>
      </c>
      <c r="E347" s="1">
        <f>IFERROR(__xludf.DUMMYFUNCTION("""COMPUTED_VALUE"""),10300.0)</f>
        <v>10300</v>
      </c>
      <c r="F347" s="1">
        <f>IFERROR(__xludf.DUMMYFUNCTION("""COMPUTED_VALUE"""),51069.0)</f>
        <v>51069</v>
      </c>
    </row>
    <row r="348">
      <c r="A348" s="2">
        <f>IFERROR(__xludf.DUMMYFUNCTION("""COMPUTED_VALUE"""),43375.64583333333)</f>
        <v>43375.64583</v>
      </c>
      <c r="B348" s="1">
        <f>IFERROR(__xludf.DUMMYFUNCTION("""COMPUTED_VALUE"""),10300.0)</f>
        <v>10300</v>
      </c>
      <c r="C348" s="1">
        <f>IFERROR(__xludf.DUMMYFUNCTION("""COMPUTED_VALUE"""),10450.0)</f>
        <v>10450</v>
      </c>
      <c r="D348" s="1">
        <f>IFERROR(__xludf.DUMMYFUNCTION("""COMPUTED_VALUE"""),9700.0)</f>
        <v>9700</v>
      </c>
      <c r="E348" s="1">
        <f>IFERROR(__xludf.DUMMYFUNCTION("""COMPUTED_VALUE"""),9700.0)</f>
        <v>9700</v>
      </c>
      <c r="F348" s="1">
        <f>IFERROR(__xludf.DUMMYFUNCTION("""COMPUTED_VALUE"""),77037.0)</f>
        <v>77037</v>
      </c>
    </row>
    <row r="349">
      <c r="A349" s="2">
        <f>IFERROR(__xludf.DUMMYFUNCTION("""COMPUTED_VALUE"""),43377.64583333333)</f>
        <v>43377.64583</v>
      </c>
      <c r="B349" s="1">
        <f>IFERROR(__xludf.DUMMYFUNCTION("""COMPUTED_VALUE"""),9750.0)</f>
        <v>9750</v>
      </c>
      <c r="C349" s="1">
        <f>IFERROR(__xludf.DUMMYFUNCTION("""COMPUTED_VALUE"""),9900.0)</f>
        <v>9900</v>
      </c>
      <c r="D349" s="1">
        <f>IFERROR(__xludf.DUMMYFUNCTION("""COMPUTED_VALUE"""),9425.0)</f>
        <v>9425</v>
      </c>
      <c r="E349" s="1">
        <f>IFERROR(__xludf.DUMMYFUNCTION("""COMPUTED_VALUE"""),9425.0)</f>
        <v>9425</v>
      </c>
      <c r="F349" s="1">
        <f>IFERROR(__xludf.DUMMYFUNCTION("""COMPUTED_VALUE"""),39115.0)</f>
        <v>39115</v>
      </c>
    </row>
    <row r="350">
      <c r="A350" s="2">
        <f>IFERROR(__xludf.DUMMYFUNCTION("""COMPUTED_VALUE"""),43378.64583333333)</f>
        <v>43378.64583</v>
      </c>
      <c r="B350" s="1">
        <f>IFERROR(__xludf.DUMMYFUNCTION("""COMPUTED_VALUE"""),9425.0)</f>
        <v>9425</v>
      </c>
      <c r="C350" s="1">
        <f>IFERROR(__xludf.DUMMYFUNCTION("""COMPUTED_VALUE"""),9575.0)</f>
        <v>9575</v>
      </c>
      <c r="D350" s="1">
        <f>IFERROR(__xludf.DUMMYFUNCTION("""COMPUTED_VALUE"""),9125.0)</f>
        <v>9125</v>
      </c>
      <c r="E350" s="1">
        <f>IFERROR(__xludf.DUMMYFUNCTION("""COMPUTED_VALUE"""),9200.0)</f>
        <v>9200</v>
      </c>
      <c r="F350" s="1">
        <f>IFERROR(__xludf.DUMMYFUNCTION("""COMPUTED_VALUE"""),42738.0)</f>
        <v>42738</v>
      </c>
    </row>
    <row r="351">
      <c r="A351" s="2">
        <f>IFERROR(__xludf.DUMMYFUNCTION("""COMPUTED_VALUE"""),43381.64583333333)</f>
        <v>43381.64583</v>
      </c>
      <c r="B351" s="1">
        <f>IFERROR(__xludf.DUMMYFUNCTION("""COMPUTED_VALUE"""),9125.0)</f>
        <v>9125</v>
      </c>
      <c r="C351" s="1">
        <f>IFERROR(__xludf.DUMMYFUNCTION("""COMPUTED_VALUE"""),9475.0)</f>
        <v>9475</v>
      </c>
      <c r="D351" s="1">
        <f>IFERROR(__xludf.DUMMYFUNCTION("""COMPUTED_VALUE"""),8600.0)</f>
        <v>8600</v>
      </c>
      <c r="E351" s="1">
        <f>IFERROR(__xludf.DUMMYFUNCTION("""COMPUTED_VALUE"""),8600.0)</f>
        <v>8600</v>
      </c>
      <c r="F351" s="1">
        <f>IFERROR(__xludf.DUMMYFUNCTION("""COMPUTED_VALUE"""),64890.0)</f>
        <v>64890</v>
      </c>
    </row>
    <row r="352">
      <c r="A352" s="2">
        <f>IFERROR(__xludf.DUMMYFUNCTION("""COMPUTED_VALUE"""),43383.64583333333)</f>
        <v>43383.64583</v>
      </c>
      <c r="B352" s="1">
        <f>IFERROR(__xludf.DUMMYFUNCTION("""COMPUTED_VALUE"""),8650.0)</f>
        <v>8650</v>
      </c>
      <c r="C352" s="1">
        <f>IFERROR(__xludf.DUMMYFUNCTION("""COMPUTED_VALUE"""),8800.0)</f>
        <v>8800</v>
      </c>
      <c r="D352" s="1">
        <f>IFERROR(__xludf.DUMMYFUNCTION("""COMPUTED_VALUE"""),8325.0)</f>
        <v>8325</v>
      </c>
      <c r="E352" s="1">
        <f>IFERROR(__xludf.DUMMYFUNCTION("""COMPUTED_VALUE"""),8450.0)</f>
        <v>8450</v>
      </c>
      <c r="F352" s="1">
        <f>IFERROR(__xludf.DUMMYFUNCTION("""COMPUTED_VALUE"""),104507.0)</f>
        <v>104507</v>
      </c>
    </row>
    <row r="353">
      <c r="A353" s="2">
        <f>IFERROR(__xludf.DUMMYFUNCTION("""COMPUTED_VALUE"""),43384.64583333333)</f>
        <v>43384.64583</v>
      </c>
      <c r="B353" s="1">
        <f>IFERROR(__xludf.DUMMYFUNCTION("""COMPUTED_VALUE"""),8075.0)</f>
        <v>8075</v>
      </c>
      <c r="C353" s="1">
        <f>IFERROR(__xludf.DUMMYFUNCTION("""COMPUTED_VALUE"""),8475.0)</f>
        <v>8475</v>
      </c>
      <c r="D353" s="1">
        <f>IFERROR(__xludf.DUMMYFUNCTION("""COMPUTED_VALUE"""),7900.0)</f>
        <v>7900</v>
      </c>
      <c r="E353" s="1">
        <f>IFERROR(__xludf.DUMMYFUNCTION("""COMPUTED_VALUE"""),7900.0)</f>
        <v>7900</v>
      </c>
      <c r="F353" s="1">
        <f>IFERROR(__xludf.DUMMYFUNCTION("""COMPUTED_VALUE"""),74060.0)</f>
        <v>74060</v>
      </c>
    </row>
    <row r="354">
      <c r="A354" s="2">
        <f>IFERROR(__xludf.DUMMYFUNCTION("""COMPUTED_VALUE"""),43385.64583333333)</f>
        <v>43385.64583</v>
      </c>
      <c r="B354" s="1">
        <f>IFERROR(__xludf.DUMMYFUNCTION("""COMPUTED_VALUE"""),7900.0)</f>
        <v>7900</v>
      </c>
      <c r="C354" s="1">
        <f>IFERROR(__xludf.DUMMYFUNCTION("""COMPUTED_VALUE"""),8275.0)</f>
        <v>8275</v>
      </c>
      <c r="D354" s="1">
        <f>IFERROR(__xludf.DUMMYFUNCTION("""COMPUTED_VALUE"""),7875.0)</f>
        <v>7875</v>
      </c>
      <c r="E354" s="1">
        <f>IFERROR(__xludf.DUMMYFUNCTION("""COMPUTED_VALUE"""),8250.0)</f>
        <v>8250</v>
      </c>
      <c r="F354" s="1">
        <f>IFERROR(__xludf.DUMMYFUNCTION("""COMPUTED_VALUE"""),42793.0)</f>
        <v>42793</v>
      </c>
    </row>
    <row r="355">
      <c r="A355" s="2">
        <f>IFERROR(__xludf.DUMMYFUNCTION("""COMPUTED_VALUE"""),43388.64583333333)</f>
        <v>43388.64583</v>
      </c>
      <c r="B355" s="1">
        <f>IFERROR(__xludf.DUMMYFUNCTION("""COMPUTED_VALUE"""),8200.0)</f>
        <v>8200</v>
      </c>
      <c r="C355" s="1">
        <f>IFERROR(__xludf.DUMMYFUNCTION("""COMPUTED_VALUE"""),8250.0)</f>
        <v>8250</v>
      </c>
      <c r="D355" s="1">
        <f>IFERROR(__xludf.DUMMYFUNCTION("""COMPUTED_VALUE"""),8000.0)</f>
        <v>8000</v>
      </c>
      <c r="E355" s="1">
        <f>IFERROR(__xludf.DUMMYFUNCTION("""COMPUTED_VALUE"""),8125.0)</f>
        <v>8125</v>
      </c>
      <c r="F355" s="1">
        <f>IFERROR(__xludf.DUMMYFUNCTION("""COMPUTED_VALUE"""),41467.0)</f>
        <v>41467</v>
      </c>
    </row>
    <row r="356">
      <c r="A356" s="2">
        <f>IFERROR(__xludf.DUMMYFUNCTION("""COMPUTED_VALUE"""),43389.64583333333)</f>
        <v>43389.64583</v>
      </c>
      <c r="B356" s="1">
        <f>IFERROR(__xludf.DUMMYFUNCTION("""COMPUTED_VALUE"""),8125.0)</f>
        <v>8125</v>
      </c>
      <c r="C356" s="1">
        <f>IFERROR(__xludf.DUMMYFUNCTION("""COMPUTED_VALUE"""),8225.0)</f>
        <v>8225</v>
      </c>
      <c r="D356" s="1">
        <f>IFERROR(__xludf.DUMMYFUNCTION("""COMPUTED_VALUE"""),7975.0)</f>
        <v>7975</v>
      </c>
      <c r="E356" s="1">
        <f>IFERROR(__xludf.DUMMYFUNCTION("""COMPUTED_VALUE"""),8075.0)</f>
        <v>8075</v>
      </c>
      <c r="F356" s="1">
        <f>IFERROR(__xludf.DUMMYFUNCTION("""COMPUTED_VALUE"""),58378.0)</f>
        <v>58378</v>
      </c>
    </row>
    <row r="357">
      <c r="A357" s="2">
        <f>IFERROR(__xludf.DUMMYFUNCTION("""COMPUTED_VALUE"""),43390.64583333333)</f>
        <v>43390.64583</v>
      </c>
      <c r="B357" s="1">
        <f>IFERROR(__xludf.DUMMYFUNCTION("""COMPUTED_VALUE"""),8150.0)</f>
        <v>8150</v>
      </c>
      <c r="C357" s="1">
        <f>IFERROR(__xludf.DUMMYFUNCTION("""COMPUTED_VALUE"""),8575.0)</f>
        <v>8575</v>
      </c>
      <c r="D357" s="1">
        <f>IFERROR(__xludf.DUMMYFUNCTION("""COMPUTED_VALUE"""),8150.0)</f>
        <v>8150</v>
      </c>
      <c r="E357" s="1">
        <f>IFERROR(__xludf.DUMMYFUNCTION("""COMPUTED_VALUE"""),8400.0)</f>
        <v>8400</v>
      </c>
      <c r="F357" s="1">
        <f>IFERROR(__xludf.DUMMYFUNCTION("""COMPUTED_VALUE"""),84540.0)</f>
        <v>84540</v>
      </c>
    </row>
    <row r="358">
      <c r="A358" s="2">
        <f>IFERROR(__xludf.DUMMYFUNCTION("""COMPUTED_VALUE"""),43391.64583333333)</f>
        <v>43391.64583</v>
      </c>
      <c r="B358" s="1">
        <f>IFERROR(__xludf.DUMMYFUNCTION("""COMPUTED_VALUE"""),8375.0)</f>
        <v>8375</v>
      </c>
      <c r="C358" s="1">
        <f>IFERROR(__xludf.DUMMYFUNCTION("""COMPUTED_VALUE"""),8550.0)</f>
        <v>8550</v>
      </c>
      <c r="D358" s="1">
        <f>IFERROR(__xludf.DUMMYFUNCTION("""COMPUTED_VALUE"""),8300.0)</f>
        <v>8300</v>
      </c>
      <c r="E358" s="1">
        <f>IFERROR(__xludf.DUMMYFUNCTION("""COMPUTED_VALUE"""),8350.0)</f>
        <v>8350</v>
      </c>
      <c r="F358" s="1">
        <f>IFERROR(__xludf.DUMMYFUNCTION("""COMPUTED_VALUE"""),26145.0)</f>
        <v>26145</v>
      </c>
    </row>
    <row r="359">
      <c r="A359" s="2">
        <f>IFERROR(__xludf.DUMMYFUNCTION("""COMPUTED_VALUE"""),43392.64583333333)</f>
        <v>43392.64583</v>
      </c>
      <c r="B359" s="1">
        <f>IFERROR(__xludf.DUMMYFUNCTION("""COMPUTED_VALUE"""),8325.0)</f>
        <v>8325</v>
      </c>
      <c r="C359" s="1">
        <f>IFERROR(__xludf.DUMMYFUNCTION("""COMPUTED_VALUE"""),8650.0)</f>
        <v>8650</v>
      </c>
      <c r="D359" s="1">
        <f>IFERROR(__xludf.DUMMYFUNCTION("""COMPUTED_VALUE"""),8000.0)</f>
        <v>8000</v>
      </c>
      <c r="E359" s="1">
        <f>IFERROR(__xludf.DUMMYFUNCTION("""COMPUTED_VALUE"""),8575.0)</f>
        <v>8575</v>
      </c>
      <c r="F359" s="1">
        <f>IFERROR(__xludf.DUMMYFUNCTION("""COMPUTED_VALUE"""),63293.0)</f>
        <v>63293</v>
      </c>
    </row>
    <row r="360">
      <c r="A360" s="2">
        <f>IFERROR(__xludf.DUMMYFUNCTION("""COMPUTED_VALUE"""),43395.64583333333)</f>
        <v>43395.64583</v>
      </c>
      <c r="B360" s="1">
        <f>IFERROR(__xludf.DUMMYFUNCTION("""COMPUTED_VALUE"""),8400.0)</f>
        <v>8400</v>
      </c>
      <c r="C360" s="1">
        <f>IFERROR(__xludf.DUMMYFUNCTION("""COMPUTED_VALUE"""),9150.0)</f>
        <v>9150</v>
      </c>
      <c r="D360" s="1">
        <f>IFERROR(__xludf.DUMMYFUNCTION("""COMPUTED_VALUE"""),8400.0)</f>
        <v>8400</v>
      </c>
      <c r="E360" s="1">
        <f>IFERROR(__xludf.DUMMYFUNCTION("""COMPUTED_VALUE"""),9125.0)</f>
        <v>9125</v>
      </c>
      <c r="F360" s="1">
        <f>IFERROR(__xludf.DUMMYFUNCTION("""COMPUTED_VALUE"""),88935.0)</f>
        <v>88935</v>
      </c>
    </row>
    <row r="361">
      <c r="A361" s="2">
        <f>IFERROR(__xludf.DUMMYFUNCTION("""COMPUTED_VALUE"""),43396.64583333333)</f>
        <v>43396.64583</v>
      </c>
      <c r="B361" s="1">
        <f>IFERROR(__xludf.DUMMYFUNCTION("""COMPUTED_VALUE"""),9025.0)</f>
        <v>9025</v>
      </c>
      <c r="C361" s="1">
        <f>IFERROR(__xludf.DUMMYFUNCTION("""COMPUTED_VALUE"""),9225.0)</f>
        <v>9225</v>
      </c>
      <c r="D361" s="1">
        <f>IFERROR(__xludf.DUMMYFUNCTION("""COMPUTED_VALUE"""),8650.0)</f>
        <v>8650</v>
      </c>
      <c r="E361" s="1">
        <f>IFERROR(__xludf.DUMMYFUNCTION("""COMPUTED_VALUE"""),8925.0)</f>
        <v>8925</v>
      </c>
      <c r="F361" s="1">
        <f>IFERROR(__xludf.DUMMYFUNCTION("""COMPUTED_VALUE"""),55440.0)</f>
        <v>55440</v>
      </c>
    </row>
    <row r="362">
      <c r="A362" s="2">
        <f>IFERROR(__xludf.DUMMYFUNCTION("""COMPUTED_VALUE"""),43397.64583333333)</f>
        <v>43397.64583</v>
      </c>
      <c r="B362" s="1">
        <f>IFERROR(__xludf.DUMMYFUNCTION("""COMPUTED_VALUE"""),9075.0)</f>
        <v>9075</v>
      </c>
      <c r="C362" s="1">
        <f>IFERROR(__xludf.DUMMYFUNCTION("""COMPUTED_VALUE"""),9675.0)</f>
        <v>9675</v>
      </c>
      <c r="D362" s="1">
        <f>IFERROR(__xludf.DUMMYFUNCTION("""COMPUTED_VALUE"""),8800.0)</f>
        <v>8800</v>
      </c>
      <c r="E362" s="1">
        <f>IFERROR(__xludf.DUMMYFUNCTION("""COMPUTED_VALUE"""),8975.0)</f>
        <v>8975</v>
      </c>
      <c r="F362" s="1">
        <f>IFERROR(__xludf.DUMMYFUNCTION("""COMPUTED_VALUE"""),189299.0)</f>
        <v>189299</v>
      </c>
    </row>
    <row r="363">
      <c r="A363" s="2">
        <f>IFERROR(__xludf.DUMMYFUNCTION("""COMPUTED_VALUE"""),43398.64583333333)</f>
        <v>43398.64583</v>
      </c>
      <c r="B363" s="1">
        <f>IFERROR(__xludf.DUMMYFUNCTION("""COMPUTED_VALUE"""),8750.0)</f>
        <v>8750</v>
      </c>
      <c r="C363" s="1">
        <f>IFERROR(__xludf.DUMMYFUNCTION("""COMPUTED_VALUE"""),8875.0)</f>
        <v>8875</v>
      </c>
      <c r="D363" s="1">
        <f>IFERROR(__xludf.DUMMYFUNCTION("""COMPUTED_VALUE"""),8200.0)</f>
        <v>8200</v>
      </c>
      <c r="E363" s="1">
        <f>IFERROR(__xludf.DUMMYFUNCTION("""COMPUTED_VALUE"""),8550.0)</f>
        <v>8550</v>
      </c>
      <c r="F363" s="1">
        <f>IFERROR(__xludf.DUMMYFUNCTION("""COMPUTED_VALUE"""),102340.0)</f>
        <v>102340</v>
      </c>
    </row>
    <row r="364">
      <c r="A364" s="2">
        <f>IFERROR(__xludf.DUMMYFUNCTION("""COMPUTED_VALUE"""),43399.64583333333)</f>
        <v>43399.64583</v>
      </c>
      <c r="B364" s="1">
        <f>IFERROR(__xludf.DUMMYFUNCTION("""COMPUTED_VALUE"""),8550.0)</f>
        <v>8550</v>
      </c>
      <c r="C364" s="1">
        <f>IFERROR(__xludf.DUMMYFUNCTION("""COMPUTED_VALUE"""),8700.0)</f>
        <v>8700</v>
      </c>
      <c r="D364" s="1">
        <f>IFERROR(__xludf.DUMMYFUNCTION("""COMPUTED_VALUE"""),7700.0)</f>
        <v>7700</v>
      </c>
      <c r="E364" s="1">
        <f>IFERROR(__xludf.DUMMYFUNCTION("""COMPUTED_VALUE"""),8250.0)</f>
        <v>8250</v>
      </c>
      <c r="F364" s="1">
        <f>IFERROR(__xludf.DUMMYFUNCTION("""COMPUTED_VALUE"""),88215.0)</f>
        <v>88215</v>
      </c>
    </row>
    <row r="365">
      <c r="A365" s="2">
        <f>IFERROR(__xludf.DUMMYFUNCTION("""COMPUTED_VALUE"""),43402.64583333333)</f>
        <v>43402.64583</v>
      </c>
      <c r="B365" s="1">
        <f>IFERROR(__xludf.DUMMYFUNCTION("""COMPUTED_VALUE"""),8050.0)</f>
        <v>8050</v>
      </c>
      <c r="C365" s="1">
        <f>IFERROR(__xludf.DUMMYFUNCTION("""COMPUTED_VALUE"""),8575.0)</f>
        <v>8575</v>
      </c>
      <c r="D365" s="1">
        <f>IFERROR(__xludf.DUMMYFUNCTION("""COMPUTED_VALUE"""),7400.0)</f>
        <v>7400</v>
      </c>
      <c r="E365" s="1">
        <f>IFERROR(__xludf.DUMMYFUNCTION("""COMPUTED_VALUE"""),7425.0)</f>
        <v>7425</v>
      </c>
      <c r="F365" s="1">
        <f>IFERROR(__xludf.DUMMYFUNCTION("""COMPUTED_VALUE"""),83229.0)</f>
        <v>83229</v>
      </c>
    </row>
    <row r="366">
      <c r="A366" s="2">
        <f>IFERROR(__xludf.DUMMYFUNCTION("""COMPUTED_VALUE"""),43403.64583333333)</f>
        <v>43403.64583</v>
      </c>
      <c r="B366" s="1">
        <f>IFERROR(__xludf.DUMMYFUNCTION("""COMPUTED_VALUE"""),7200.0)</f>
        <v>7200</v>
      </c>
      <c r="C366" s="1">
        <f>IFERROR(__xludf.DUMMYFUNCTION("""COMPUTED_VALUE"""),7875.0)</f>
        <v>7875</v>
      </c>
      <c r="D366" s="1">
        <f>IFERROR(__xludf.DUMMYFUNCTION("""COMPUTED_VALUE"""),7200.0)</f>
        <v>7200</v>
      </c>
      <c r="E366" s="1">
        <f>IFERROR(__xludf.DUMMYFUNCTION("""COMPUTED_VALUE"""),7850.0)</f>
        <v>7850</v>
      </c>
      <c r="F366" s="1">
        <f>IFERROR(__xludf.DUMMYFUNCTION("""COMPUTED_VALUE"""),87031.0)</f>
        <v>87031</v>
      </c>
    </row>
    <row r="367">
      <c r="A367" s="2">
        <f>IFERROR(__xludf.DUMMYFUNCTION("""COMPUTED_VALUE"""),43404.64583333333)</f>
        <v>43404.64583</v>
      </c>
      <c r="B367" s="1">
        <f>IFERROR(__xludf.DUMMYFUNCTION("""COMPUTED_VALUE"""),8125.0)</f>
        <v>8125</v>
      </c>
      <c r="C367" s="1">
        <f>IFERROR(__xludf.DUMMYFUNCTION("""COMPUTED_VALUE"""),8275.0)</f>
        <v>8275</v>
      </c>
      <c r="D367" s="1">
        <f>IFERROR(__xludf.DUMMYFUNCTION("""COMPUTED_VALUE"""),7700.0)</f>
        <v>7700</v>
      </c>
      <c r="E367" s="1">
        <f>IFERROR(__xludf.DUMMYFUNCTION("""COMPUTED_VALUE"""),8075.0)</f>
        <v>8075</v>
      </c>
      <c r="F367" s="1">
        <f>IFERROR(__xludf.DUMMYFUNCTION("""COMPUTED_VALUE"""),32522.0)</f>
        <v>32522</v>
      </c>
    </row>
    <row r="368">
      <c r="A368" s="2">
        <f>IFERROR(__xludf.DUMMYFUNCTION("""COMPUTED_VALUE"""),43405.64583333333)</f>
        <v>43405.64583</v>
      </c>
      <c r="B368" s="1">
        <f>IFERROR(__xludf.DUMMYFUNCTION("""COMPUTED_VALUE"""),8350.0)</f>
        <v>8350</v>
      </c>
      <c r="C368" s="1">
        <f>IFERROR(__xludf.DUMMYFUNCTION("""COMPUTED_VALUE"""),8350.0)</f>
        <v>8350</v>
      </c>
      <c r="D368" s="1">
        <f>IFERROR(__xludf.DUMMYFUNCTION("""COMPUTED_VALUE"""),8025.0)</f>
        <v>8025</v>
      </c>
      <c r="E368" s="1">
        <f>IFERROR(__xludf.DUMMYFUNCTION("""COMPUTED_VALUE"""),8200.0)</f>
        <v>8200</v>
      </c>
      <c r="F368" s="1">
        <f>IFERROR(__xludf.DUMMYFUNCTION("""COMPUTED_VALUE"""),31851.0)</f>
        <v>31851</v>
      </c>
    </row>
    <row r="369">
      <c r="A369" s="2">
        <f>IFERROR(__xludf.DUMMYFUNCTION("""COMPUTED_VALUE"""),43406.64583333333)</f>
        <v>43406.64583</v>
      </c>
      <c r="B369" s="1">
        <f>IFERROR(__xludf.DUMMYFUNCTION("""COMPUTED_VALUE"""),8400.0)</f>
        <v>8400</v>
      </c>
      <c r="C369" s="1">
        <f>IFERROR(__xludf.DUMMYFUNCTION("""COMPUTED_VALUE"""),8625.0)</f>
        <v>8625</v>
      </c>
      <c r="D369" s="1">
        <f>IFERROR(__xludf.DUMMYFUNCTION("""COMPUTED_VALUE"""),8175.0)</f>
        <v>8175</v>
      </c>
      <c r="E369" s="1">
        <f>IFERROR(__xludf.DUMMYFUNCTION("""COMPUTED_VALUE"""),8500.0)</f>
        <v>8500</v>
      </c>
      <c r="F369" s="1">
        <f>IFERROR(__xludf.DUMMYFUNCTION("""COMPUTED_VALUE"""),79394.0)</f>
        <v>79394</v>
      </c>
    </row>
    <row r="370">
      <c r="A370" s="2">
        <f>IFERROR(__xludf.DUMMYFUNCTION("""COMPUTED_VALUE"""),43409.64583333333)</f>
        <v>43409.64583</v>
      </c>
      <c r="B370" s="1">
        <f>IFERROR(__xludf.DUMMYFUNCTION("""COMPUTED_VALUE"""),8500.0)</f>
        <v>8500</v>
      </c>
      <c r="C370" s="1">
        <f>IFERROR(__xludf.DUMMYFUNCTION("""COMPUTED_VALUE"""),8600.0)</f>
        <v>8600</v>
      </c>
      <c r="D370" s="1">
        <f>IFERROR(__xludf.DUMMYFUNCTION("""COMPUTED_VALUE"""),8125.0)</f>
        <v>8125</v>
      </c>
      <c r="E370" s="1">
        <f>IFERROR(__xludf.DUMMYFUNCTION("""COMPUTED_VALUE"""),8225.0)</f>
        <v>8225</v>
      </c>
      <c r="F370" s="1">
        <f>IFERROR(__xludf.DUMMYFUNCTION("""COMPUTED_VALUE"""),24511.0)</f>
        <v>24511</v>
      </c>
    </row>
    <row r="371">
      <c r="A371" s="2">
        <f>IFERROR(__xludf.DUMMYFUNCTION("""COMPUTED_VALUE"""),43410.64583333333)</f>
        <v>43410.64583</v>
      </c>
      <c r="B371" s="1">
        <f>IFERROR(__xludf.DUMMYFUNCTION("""COMPUTED_VALUE"""),8225.0)</f>
        <v>8225</v>
      </c>
      <c r="C371" s="1">
        <f>IFERROR(__xludf.DUMMYFUNCTION("""COMPUTED_VALUE"""),8450.0)</f>
        <v>8450</v>
      </c>
      <c r="D371" s="1">
        <f>IFERROR(__xludf.DUMMYFUNCTION("""COMPUTED_VALUE"""),7850.0)</f>
        <v>7850</v>
      </c>
      <c r="E371" s="1">
        <f>IFERROR(__xludf.DUMMYFUNCTION("""COMPUTED_VALUE"""),8050.0)</f>
        <v>8050</v>
      </c>
      <c r="F371" s="1">
        <f>IFERROR(__xludf.DUMMYFUNCTION("""COMPUTED_VALUE"""),51571.0)</f>
        <v>51571</v>
      </c>
    </row>
    <row r="372">
      <c r="A372" s="2">
        <f>IFERROR(__xludf.DUMMYFUNCTION("""COMPUTED_VALUE"""),43411.64583333333)</f>
        <v>43411.64583</v>
      </c>
      <c r="B372" s="1">
        <f>IFERROR(__xludf.DUMMYFUNCTION("""COMPUTED_VALUE"""),8175.0)</f>
        <v>8175</v>
      </c>
      <c r="C372" s="1">
        <f>IFERROR(__xludf.DUMMYFUNCTION("""COMPUTED_VALUE"""),8175.0)</f>
        <v>8175</v>
      </c>
      <c r="D372" s="1">
        <f>IFERROR(__xludf.DUMMYFUNCTION("""COMPUTED_VALUE"""),7575.0)</f>
        <v>7575</v>
      </c>
      <c r="E372" s="1">
        <f>IFERROR(__xludf.DUMMYFUNCTION("""COMPUTED_VALUE"""),7975.0)</f>
        <v>7975</v>
      </c>
      <c r="F372" s="1">
        <f>IFERROR(__xludf.DUMMYFUNCTION("""COMPUTED_VALUE"""),50997.0)</f>
        <v>50997</v>
      </c>
    </row>
    <row r="373">
      <c r="A373" s="2">
        <f>IFERROR(__xludf.DUMMYFUNCTION("""COMPUTED_VALUE"""),43412.64583333333)</f>
        <v>43412.64583</v>
      </c>
      <c r="B373" s="1">
        <f>IFERROR(__xludf.DUMMYFUNCTION("""COMPUTED_VALUE"""),8150.0)</f>
        <v>8150</v>
      </c>
      <c r="C373" s="1">
        <f>IFERROR(__xludf.DUMMYFUNCTION("""COMPUTED_VALUE"""),8275.0)</f>
        <v>8275</v>
      </c>
      <c r="D373" s="1">
        <f>IFERROR(__xludf.DUMMYFUNCTION("""COMPUTED_VALUE"""),7900.0)</f>
        <v>7900</v>
      </c>
      <c r="E373" s="1">
        <f>IFERROR(__xludf.DUMMYFUNCTION("""COMPUTED_VALUE"""),8150.0)</f>
        <v>8150</v>
      </c>
      <c r="F373" s="1">
        <f>IFERROR(__xludf.DUMMYFUNCTION("""COMPUTED_VALUE"""),45662.0)</f>
        <v>45662</v>
      </c>
    </row>
    <row r="374">
      <c r="A374" s="2">
        <f>IFERROR(__xludf.DUMMYFUNCTION("""COMPUTED_VALUE"""),43413.64583333333)</f>
        <v>43413.64583</v>
      </c>
      <c r="B374" s="1">
        <f>IFERROR(__xludf.DUMMYFUNCTION("""COMPUTED_VALUE"""),8250.0)</f>
        <v>8250</v>
      </c>
      <c r="C374" s="1">
        <f>IFERROR(__xludf.DUMMYFUNCTION("""COMPUTED_VALUE"""),8725.0)</f>
        <v>8725</v>
      </c>
      <c r="D374" s="1">
        <f>IFERROR(__xludf.DUMMYFUNCTION("""COMPUTED_VALUE"""),8075.0)</f>
        <v>8075</v>
      </c>
      <c r="E374" s="1">
        <f>IFERROR(__xludf.DUMMYFUNCTION("""COMPUTED_VALUE"""),8450.0)</f>
        <v>8450</v>
      </c>
      <c r="F374" s="1">
        <f>IFERROR(__xludf.DUMMYFUNCTION("""COMPUTED_VALUE"""),82604.0)</f>
        <v>82604</v>
      </c>
    </row>
    <row r="375">
      <c r="A375" s="2">
        <f>IFERROR(__xludf.DUMMYFUNCTION("""COMPUTED_VALUE"""),43416.64583333333)</f>
        <v>43416.64583</v>
      </c>
      <c r="B375" s="1">
        <f>IFERROR(__xludf.DUMMYFUNCTION("""COMPUTED_VALUE"""),8350.0)</f>
        <v>8350</v>
      </c>
      <c r="C375" s="1">
        <f>IFERROR(__xludf.DUMMYFUNCTION("""COMPUTED_VALUE"""),9425.0)</f>
        <v>9425</v>
      </c>
      <c r="D375" s="1">
        <f>IFERROR(__xludf.DUMMYFUNCTION("""COMPUTED_VALUE"""),8275.0)</f>
        <v>8275</v>
      </c>
      <c r="E375" s="1">
        <f>IFERROR(__xludf.DUMMYFUNCTION("""COMPUTED_VALUE"""),8975.0)</f>
        <v>8975</v>
      </c>
      <c r="F375" s="1">
        <f>IFERROR(__xludf.DUMMYFUNCTION("""COMPUTED_VALUE"""),178150.0)</f>
        <v>178150</v>
      </c>
    </row>
    <row r="376">
      <c r="A376" s="2">
        <f>IFERROR(__xludf.DUMMYFUNCTION("""COMPUTED_VALUE"""),43417.64583333333)</f>
        <v>43417.64583</v>
      </c>
      <c r="B376" s="1">
        <f>IFERROR(__xludf.DUMMYFUNCTION("""COMPUTED_VALUE"""),8575.0)</f>
        <v>8575</v>
      </c>
      <c r="C376" s="1">
        <f>IFERROR(__xludf.DUMMYFUNCTION("""COMPUTED_VALUE"""),8700.0)</f>
        <v>8700</v>
      </c>
      <c r="D376" s="1">
        <f>IFERROR(__xludf.DUMMYFUNCTION("""COMPUTED_VALUE"""),7925.0)</f>
        <v>7925</v>
      </c>
      <c r="E376" s="1">
        <f>IFERROR(__xludf.DUMMYFUNCTION("""COMPUTED_VALUE"""),8275.0)</f>
        <v>8275</v>
      </c>
      <c r="F376" s="1">
        <f>IFERROR(__xludf.DUMMYFUNCTION("""COMPUTED_VALUE"""),180189.0)</f>
        <v>180189</v>
      </c>
    </row>
    <row r="377">
      <c r="A377" s="2">
        <f>IFERROR(__xludf.DUMMYFUNCTION("""COMPUTED_VALUE"""),43418.64583333333)</f>
        <v>43418.64583</v>
      </c>
      <c r="B377" s="1">
        <f>IFERROR(__xludf.DUMMYFUNCTION("""COMPUTED_VALUE"""),8250.0)</f>
        <v>8250</v>
      </c>
      <c r="C377" s="1">
        <f>IFERROR(__xludf.DUMMYFUNCTION("""COMPUTED_VALUE"""),8525.0)</f>
        <v>8525</v>
      </c>
      <c r="D377" s="1">
        <f>IFERROR(__xludf.DUMMYFUNCTION("""COMPUTED_VALUE"""),7975.0)</f>
        <v>7975</v>
      </c>
      <c r="E377" s="1">
        <f>IFERROR(__xludf.DUMMYFUNCTION("""COMPUTED_VALUE"""),8050.0)</f>
        <v>8050</v>
      </c>
      <c r="F377" s="1">
        <f>IFERROR(__xludf.DUMMYFUNCTION("""COMPUTED_VALUE"""),100019.0)</f>
        <v>100019</v>
      </c>
    </row>
    <row r="378">
      <c r="A378" s="2">
        <f>IFERROR(__xludf.DUMMYFUNCTION("""COMPUTED_VALUE"""),43419.6875)</f>
        <v>43419.6875</v>
      </c>
      <c r="B378" s="1">
        <f>IFERROR(__xludf.DUMMYFUNCTION("""COMPUTED_VALUE"""),8050.0)</f>
        <v>8050</v>
      </c>
      <c r="C378" s="1">
        <f>IFERROR(__xludf.DUMMYFUNCTION("""COMPUTED_VALUE"""),8225.0)</f>
        <v>8225</v>
      </c>
      <c r="D378" s="1">
        <f>IFERROR(__xludf.DUMMYFUNCTION("""COMPUTED_VALUE"""),7800.0)</f>
        <v>7800</v>
      </c>
      <c r="E378" s="1">
        <f>IFERROR(__xludf.DUMMYFUNCTION("""COMPUTED_VALUE"""),8175.0)</f>
        <v>8175</v>
      </c>
      <c r="F378" s="1">
        <f>IFERROR(__xludf.DUMMYFUNCTION("""COMPUTED_VALUE"""),60988.0)</f>
        <v>60988</v>
      </c>
    </row>
    <row r="379">
      <c r="A379" s="2">
        <f>IFERROR(__xludf.DUMMYFUNCTION("""COMPUTED_VALUE"""),43420.64583333333)</f>
        <v>43420.64583</v>
      </c>
      <c r="B379" s="1">
        <f>IFERROR(__xludf.DUMMYFUNCTION("""COMPUTED_VALUE"""),8225.0)</f>
        <v>8225</v>
      </c>
      <c r="C379" s="1">
        <f>IFERROR(__xludf.DUMMYFUNCTION("""COMPUTED_VALUE"""),8575.0)</f>
        <v>8575</v>
      </c>
      <c r="D379" s="1">
        <f>IFERROR(__xludf.DUMMYFUNCTION("""COMPUTED_VALUE"""),8125.0)</f>
        <v>8125</v>
      </c>
      <c r="E379" s="1">
        <f>IFERROR(__xludf.DUMMYFUNCTION("""COMPUTED_VALUE"""),8450.0)</f>
        <v>8450</v>
      </c>
      <c r="F379" s="1">
        <f>IFERROR(__xludf.DUMMYFUNCTION("""COMPUTED_VALUE"""),61496.0)</f>
        <v>61496</v>
      </c>
    </row>
    <row r="380">
      <c r="A380" s="2">
        <f>IFERROR(__xludf.DUMMYFUNCTION("""COMPUTED_VALUE"""),43423.64583333333)</f>
        <v>43423.64583</v>
      </c>
      <c r="B380" s="1">
        <f>IFERROR(__xludf.DUMMYFUNCTION("""COMPUTED_VALUE"""),8425.0)</f>
        <v>8425</v>
      </c>
      <c r="C380" s="1">
        <f>IFERROR(__xludf.DUMMYFUNCTION("""COMPUTED_VALUE"""),8700.0)</f>
        <v>8700</v>
      </c>
      <c r="D380" s="1">
        <f>IFERROR(__xludf.DUMMYFUNCTION("""COMPUTED_VALUE"""),8050.0)</f>
        <v>8050</v>
      </c>
      <c r="E380" s="1">
        <f>IFERROR(__xludf.DUMMYFUNCTION("""COMPUTED_VALUE"""),8200.0)</f>
        <v>8200</v>
      </c>
      <c r="F380" s="1">
        <f>IFERROR(__xludf.DUMMYFUNCTION("""COMPUTED_VALUE"""),96654.0)</f>
        <v>96654</v>
      </c>
    </row>
    <row r="381">
      <c r="A381" s="2">
        <f>IFERROR(__xludf.DUMMYFUNCTION("""COMPUTED_VALUE"""),43424.64583333333)</f>
        <v>43424.64583</v>
      </c>
      <c r="B381" s="1">
        <f>IFERROR(__xludf.DUMMYFUNCTION("""COMPUTED_VALUE"""),8050.0)</f>
        <v>8050</v>
      </c>
      <c r="C381" s="1">
        <f>IFERROR(__xludf.DUMMYFUNCTION("""COMPUTED_VALUE"""),8300.0)</f>
        <v>8300</v>
      </c>
      <c r="D381" s="1">
        <f>IFERROR(__xludf.DUMMYFUNCTION("""COMPUTED_VALUE"""),7900.0)</f>
        <v>7900</v>
      </c>
      <c r="E381" s="1">
        <f>IFERROR(__xludf.DUMMYFUNCTION("""COMPUTED_VALUE"""),8100.0)</f>
        <v>8100</v>
      </c>
      <c r="F381" s="1">
        <f>IFERROR(__xludf.DUMMYFUNCTION("""COMPUTED_VALUE"""),69084.0)</f>
        <v>69084</v>
      </c>
    </row>
    <row r="382">
      <c r="A382" s="2">
        <f>IFERROR(__xludf.DUMMYFUNCTION("""COMPUTED_VALUE"""),43425.64583333333)</f>
        <v>43425.64583</v>
      </c>
      <c r="B382" s="1">
        <f>IFERROR(__xludf.DUMMYFUNCTION("""COMPUTED_VALUE"""),7950.0)</f>
        <v>7950</v>
      </c>
      <c r="C382" s="1">
        <f>IFERROR(__xludf.DUMMYFUNCTION("""COMPUTED_VALUE"""),9400.0)</f>
        <v>9400</v>
      </c>
      <c r="D382" s="1">
        <f>IFERROR(__xludf.DUMMYFUNCTION("""COMPUTED_VALUE"""),7950.0)</f>
        <v>7950</v>
      </c>
      <c r="E382" s="1">
        <f>IFERROR(__xludf.DUMMYFUNCTION("""COMPUTED_VALUE"""),8650.0)</f>
        <v>8650</v>
      </c>
      <c r="F382" s="1">
        <f>IFERROR(__xludf.DUMMYFUNCTION("""COMPUTED_VALUE"""),104079.0)</f>
        <v>104079</v>
      </c>
    </row>
    <row r="383">
      <c r="A383" s="2">
        <f>IFERROR(__xludf.DUMMYFUNCTION("""COMPUTED_VALUE"""),43426.64583333333)</f>
        <v>43426.64583</v>
      </c>
      <c r="B383" s="1">
        <f>IFERROR(__xludf.DUMMYFUNCTION("""COMPUTED_VALUE"""),8600.0)</f>
        <v>8600</v>
      </c>
      <c r="C383" s="1">
        <f>IFERROR(__xludf.DUMMYFUNCTION("""COMPUTED_VALUE"""),9375.0)</f>
        <v>9375</v>
      </c>
      <c r="D383" s="1">
        <f>IFERROR(__xludf.DUMMYFUNCTION("""COMPUTED_VALUE"""),8600.0)</f>
        <v>8600</v>
      </c>
      <c r="E383" s="1">
        <f>IFERROR(__xludf.DUMMYFUNCTION("""COMPUTED_VALUE"""),8975.0)</f>
        <v>8975</v>
      </c>
      <c r="F383" s="1">
        <f>IFERROR(__xludf.DUMMYFUNCTION("""COMPUTED_VALUE"""),91640.0)</f>
        <v>91640</v>
      </c>
    </row>
    <row r="384">
      <c r="A384" s="2">
        <f>IFERROR(__xludf.DUMMYFUNCTION("""COMPUTED_VALUE"""),43427.64583333333)</f>
        <v>43427.64583</v>
      </c>
      <c r="B384" s="1">
        <f>IFERROR(__xludf.DUMMYFUNCTION("""COMPUTED_VALUE"""),8925.0)</f>
        <v>8925</v>
      </c>
      <c r="C384" s="1">
        <f>IFERROR(__xludf.DUMMYFUNCTION("""COMPUTED_VALUE"""),9175.0)</f>
        <v>9175</v>
      </c>
      <c r="D384" s="1">
        <f>IFERROR(__xludf.DUMMYFUNCTION("""COMPUTED_VALUE"""),8750.0)</f>
        <v>8750</v>
      </c>
      <c r="E384" s="1">
        <f>IFERROR(__xludf.DUMMYFUNCTION("""COMPUTED_VALUE"""),8925.0)</f>
        <v>8925</v>
      </c>
      <c r="F384" s="1">
        <f>IFERROR(__xludf.DUMMYFUNCTION("""COMPUTED_VALUE"""),26525.0)</f>
        <v>26525</v>
      </c>
    </row>
    <row r="385">
      <c r="A385" s="2">
        <f>IFERROR(__xludf.DUMMYFUNCTION("""COMPUTED_VALUE"""),43430.64583333333)</f>
        <v>43430.64583</v>
      </c>
      <c r="B385" s="1">
        <f>IFERROR(__xludf.DUMMYFUNCTION("""COMPUTED_VALUE"""),8850.0)</f>
        <v>8850</v>
      </c>
      <c r="C385" s="1">
        <f>IFERROR(__xludf.DUMMYFUNCTION("""COMPUTED_VALUE"""),9150.0)</f>
        <v>9150</v>
      </c>
      <c r="D385" s="1">
        <f>IFERROR(__xludf.DUMMYFUNCTION("""COMPUTED_VALUE"""),8800.0)</f>
        <v>8800</v>
      </c>
      <c r="E385" s="1">
        <f>IFERROR(__xludf.DUMMYFUNCTION("""COMPUTED_VALUE"""),8800.0)</f>
        <v>8800</v>
      </c>
      <c r="F385" s="1">
        <f>IFERROR(__xludf.DUMMYFUNCTION("""COMPUTED_VALUE"""),26283.0)</f>
        <v>26283</v>
      </c>
    </row>
    <row r="386">
      <c r="A386" s="2">
        <f>IFERROR(__xludf.DUMMYFUNCTION("""COMPUTED_VALUE"""),43431.64583333333)</f>
        <v>43431.64583</v>
      </c>
      <c r="B386" s="1">
        <f>IFERROR(__xludf.DUMMYFUNCTION("""COMPUTED_VALUE"""),8850.0)</f>
        <v>8850</v>
      </c>
      <c r="C386" s="1">
        <f>IFERROR(__xludf.DUMMYFUNCTION("""COMPUTED_VALUE"""),9250.0)</f>
        <v>9250</v>
      </c>
      <c r="D386" s="1">
        <f>IFERROR(__xludf.DUMMYFUNCTION("""COMPUTED_VALUE"""),8700.0)</f>
        <v>8700</v>
      </c>
      <c r="E386" s="1">
        <f>IFERROR(__xludf.DUMMYFUNCTION("""COMPUTED_VALUE"""),8800.0)</f>
        <v>8800</v>
      </c>
      <c r="F386" s="1">
        <f>IFERROR(__xludf.DUMMYFUNCTION("""COMPUTED_VALUE"""),35884.0)</f>
        <v>35884</v>
      </c>
    </row>
    <row r="387">
      <c r="A387" s="2">
        <f>IFERROR(__xludf.DUMMYFUNCTION("""COMPUTED_VALUE"""),43432.64583333333)</f>
        <v>43432.64583</v>
      </c>
      <c r="B387" s="1">
        <f>IFERROR(__xludf.DUMMYFUNCTION("""COMPUTED_VALUE"""),8775.0)</f>
        <v>8775</v>
      </c>
      <c r="C387" s="1">
        <f>IFERROR(__xludf.DUMMYFUNCTION("""COMPUTED_VALUE"""),9000.0)</f>
        <v>9000</v>
      </c>
      <c r="D387" s="1">
        <f>IFERROR(__xludf.DUMMYFUNCTION("""COMPUTED_VALUE"""),8775.0)</f>
        <v>8775</v>
      </c>
      <c r="E387" s="1">
        <f>IFERROR(__xludf.DUMMYFUNCTION("""COMPUTED_VALUE"""),8950.0)</f>
        <v>8950</v>
      </c>
      <c r="F387" s="1">
        <f>IFERROR(__xludf.DUMMYFUNCTION("""COMPUTED_VALUE"""),23835.0)</f>
        <v>23835</v>
      </c>
    </row>
    <row r="388">
      <c r="A388" s="2">
        <f>IFERROR(__xludf.DUMMYFUNCTION("""COMPUTED_VALUE"""),43433.64583333333)</f>
        <v>43433.64583</v>
      </c>
      <c r="B388" s="1">
        <f>IFERROR(__xludf.DUMMYFUNCTION("""COMPUTED_VALUE"""),9100.0)</f>
        <v>9100</v>
      </c>
      <c r="C388" s="1">
        <f>IFERROR(__xludf.DUMMYFUNCTION("""COMPUTED_VALUE"""),9250.0)</f>
        <v>9250</v>
      </c>
      <c r="D388" s="1">
        <f>IFERROR(__xludf.DUMMYFUNCTION("""COMPUTED_VALUE"""),8725.0)</f>
        <v>8725</v>
      </c>
      <c r="E388" s="1">
        <f>IFERROR(__xludf.DUMMYFUNCTION("""COMPUTED_VALUE"""),8950.0)</f>
        <v>8950</v>
      </c>
      <c r="F388" s="1">
        <f>IFERROR(__xludf.DUMMYFUNCTION("""COMPUTED_VALUE"""),24337.0)</f>
        <v>24337</v>
      </c>
    </row>
    <row r="389">
      <c r="A389" s="2">
        <f>IFERROR(__xludf.DUMMYFUNCTION("""COMPUTED_VALUE"""),43434.64583333333)</f>
        <v>43434.64583</v>
      </c>
      <c r="B389" s="1">
        <f>IFERROR(__xludf.DUMMYFUNCTION("""COMPUTED_VALUE"""),8825.0)</f>
        <v>8825</v>
      </c>
      <c r="C389" s="1">
        <f>IFERROR(__xludf.DUMMYFUNCTION("""COMPUTED_VALUE"""),9050.0)</f>
        <v>9050</v>
      </c>
      <c r="D389" s="1">
        <f>IFERROR(__xludf.DUMMYFUNCTION("""COMPUTED_VALUE"""),8825.0)</f>
        <v>8825</v>
      </c>
      <c r="E389" s="1">
        <f>IFERROR(__xludf.DUMMYFUNCTION("""COMPUTED_VALUE"""),9025.0)</f>
        <v>9025</v>
      </c>
      <c r="F389" s="1">
        <f>IFERROR(__xludf.DUMMYFUNCTION("""COMPUTED_VALUE"""),23251.0)</f>
        <v>23251</v>
      </c>
    </row>
    <row r="390">
      <c r="A390" s="2">
        <f>IFERROR(__xludf.DUMMYFUNCTION("""COMPUTED_VALUE"""),43437.64583333333)</f>
        <v>43437.64583</v>
      </c>
      <c r="B390" s="1">
        <f>IFERROR(__xludf.DUMMYFUNCTION("""COMPUTED_VALUE"""),9000.0)</f>
        <v>9000</v>
      </c>
      <c r="C390" s="1">
        <f>IFERROR(__xludf.DUMMYFUNCTION("""COMPUTED_VALUE"""),9250.0)</f>
        <v>9250</v>
      </c>
      <c r="D390" s="1">
        <f>IFERROR(__xludf.DUMMYFUNCTION("""COMPUTED_VALUE"""),8900.0)</f>
        <v>8900</v>
      </c>
      <c r="E390" s="1">
        <f>IFERROR(__xludf.DUMMYFUNCTION("""COMPUTED_VALUE"""),9100.0)</f>
        <v>9100</v>
      </c>
      <c r="F390" s="1">
        <f>IFERROR(__xludf.DUMMYFUNCTION("""COMPUTED_VALUE"""),20314.0)</f>
        <v>20314</v>
      </c>
    </row>
    <row r="391">
      <c r="A391" s="2">
        <f>IFERROR(__xludf.DUMMYFUNCTION("""COMPUTED_VALUE"""),43438.64583333333)</f>
        <v>43438.64583</v>
      </c>
      <c r="B391" s="1">
        <f>IFERROR(__xludf.DUMMYFUNCTION("""COMPUTED_VALUE"""),9025.0)</f>
        <v>9025</v>
      </c>
      <c r="C391" s="1">
        <f>IFERROR(__xludf.DUMMYFUNCTION("""COMPUTED_VALUE"""),9200.0)</f>
        <v>9200</v>
      </c>
      <c r="D391" s="1">
        <f>IFERROR(__xludf.DUMMYFUNCTION("""COMPUTED_VALUE"""),8850.0)</f>
        <v>8850</v>
      </c>
      <c r="E391" s="1">
        <f>IFERROR(__xludf.DUMMYFUNCTION("""COMPUTED_VALUE"""),8925.0)</f>
        <v>8925</v>
      </c>
      <c r="F391" s="1">
        <f>IFERROR(__xludf.DUMMYFUNCTION("""COMPUTED_VALUE"""),17554.0)</f>
        <v>17554</v>
      </c>
    </row>
    <row r="392">
      <c r="A392" s="2">
        <f>IFERROR(__xludf.DUMMYFUNCTION("""COMPUTED_VALUE"""),43439.64583333333)</f>
        <v>43439.64583</v>
      </c>
      <c r="B392" s="1">
        <f>IFERROR(__xludf.DUMMYFUNCTION("""COMPUTED_VALUE"""),8850.0)</f>
        <v>8850</v>
      </c>
      <c r="C392" s="1">
        <f>IFERROR(__xludf.DUMMYFUNCTION("""COMPUTED_VALUE"""),8975.0)</f>
        <v>8975</v>
      </c>
      <c r="D392" s="1">
        <f>IFERROR(__xludf.DUMMYFUNCTION("""COMPUTED_VALUE"""),8700.0)</f>
        <v>8700</v>
      </c>
      <c r="E392" s="1">
        <f>IFERROR(__xludf.DUMMYFUNCTION("""COMPUTED_VALUE"""),8750.0)</f>
        <v>8750</v>
      </c>
      <c r="F392" s="1">
        <f>IFERROR(__xludf.DUMMYFUNCTION("""COMPUTED_VALUE"""),14514.0)</f>
        <v>14514</v>
      </c>
    </row>
    <row r="393">
      <c r="A393" s="2">
        <f>IFERROR(__xludf.DUMMYFUNCTION("""COMPUTED_VALUE"""),43440.64583333333)</f>
        <v>43440.64583</v>
      </c>
      <c r="B393" s="1">
        <f>IFERROR(__xludf.DUMMYFUNCTION("""COMPUTED_VALUE"""),8750.0)</f>
        <v>8750</v>
      </c>
      <c r="C393" s="1">
        <f>IFERROR(__xludf.DUMMYFUNCTION("""COMPUTED_VALUE"""),8825.0)</f>
        <v>8825</v>
      </c>
      <c r="D393" s="1">
        <f>IFERROR(__xludf.DUMMYFUNCTION("""COMPUTED_VALUE"""),8275.0)</f>
        <v>8275</v>
      </c>
      <c r="E393" s="1">
        <f>IFERROR(__xludf.DUMMYFUNCTION("""COMPUTED_VALUE"""),8300.0)</f>
        <v>8300</v>
      </c>
      <c r="F393" s="1">
        <f>IFERROR(__xludf.DUMMYFUNCTION("""COMPUTED_VALUE"""),28739.0)</f>
        <v>28739</v>
      </c>
    </row>
    <row r="394">
      <c r="A394" s="2">
        <f>IFERROR(__xludf.DUMMYFUNCTION("""COMPUTED_VALUE"""),43441.64583333333)</f>
        <v>43441.64583</v>
      </c>
      <c r="B394" s="1">
        <f>IFERROR(__xludf.DUMMYFUNCTION("""COMPUTED_VALUE"""),8500.0)</f>
        <v>8500</v>
      </c>
      <c r="C394" s="1">
        <f>IFERROR(__xludf.DUMMYFUNCTION("""COMPUTED_VALUE"""),8500.0)</f>
        <v>8500</v>
      </c>
      <c r="D394" s="1">
        <f>IFERROR(__xludf.DUMMYFUNCTION("""COMPUTED_VALUE"""),8175.0)</f>
        <v>8175</v>
      </c>
      <c r="E394" s="1">
        <f>IFERROR(__xludf.DUMMYFUNCTION("""COMPUTED_VALUE"""),8425.0)</f>
        <v>8425</v>
      </c>
      <c r="F394" s="1">
        <f>IFERROR(__xludf.DUMMYFUNCTION("""COMPUTED_VALUE"""),8413.0)</f>
        <v>8413</v>
      </c>
    </row>
    <row r="395">
      <c r="A395" s="2">
        <f>IFERROR(__xludf.DUMMYFUNCTION("""COMPUTED_VALUE"""),43444.64583333333)</f>
        <v>43444.64583</v>
      </c>
      <c r="B395" s="1">
        <f>IFERROR(__xludf.DUMMYFUNCTION("""COMPUTED_VALUE"""),8250.0)</f>
        <v>8250</v>
      </c>
      <c r="C395" s="1">
        <f>IFERROR(__xludf.DUMMYFUNCTION("""COMPUTED_VALUE"""),8500.0)</f>
        <v>8500</v>
      </c>
      <c r="D395" s="1">
        <f>IFERROR(__xludf.DUMMYFUNCTION("""COMPUTED_VALUE"""),8025.0)</f>
        <v>8025</v>
      </c>
      <c r="E395" s="1">
        <f>IFERROR(__xludf.DUMMYFUNCTION("""COMPUTED_VALUE"""),8050.0)</f>
        <v>8050</v>
      </c>
      <c r="F395" s="1">
        <f>IFERROR(__xludf.DUMMYFUNCTION("""COMPUTED_VALUE"""),27634.0)</f>
        <v>27634</v>
      </c>
    </row>
    <row r="396">
      <c r="A396" s="2">
        <f>IFERROR(__xludf.DUMMYFUNCTION("""COMPUTED_VALUE"""),43445.64583333333)</f>
        <v>43445.64583</v>
      </c>
      <c r="B396" s="1">
        <f>IFERROR(__xludf.DUMMYFUNCTION("""COMPUTED_VALUE"""),8050.0)</f>
        <v>8050</v>
      </c>
      <c r="C396" s="1">
        <f>IFERROR(__xludf.DUMMYFUNCTION("""COMPUTED_VALUE"""),8175.0)</f>
        <v>8175</v>
      </c>
      <c r="D396" s="1">
        <f>IFERROR(__xludf.DUMMYFUNCTION("""COMPUTED_VALUE"""),7800.0)</f>
        <v>7800</v>
      </c>
      <c r="E396" s="1">
        <f>IFERROR(__xludf.DUMMYFUNCTION("""COMPUTED_VALUE"""),7800.0)</f>
        <v>7800</v>
      </c>
      <c r="F396" s="1">
        <f>IFERROR(__xludf.DUMMYFUNCTION("""COMPUTED_VALUE"""),14985.0)</f>
        <v>14985</v>
      </c>
    </row>
    <row r="397">
      <c r="A397" s="2">
        <f>IFERROR(__xludf.DUMMYFUNCTION("""COMPUTED_VALUE"""),43446.64583333333)</f>
        <v>43446.64583</v>
      </c>
      <c r="B397" s="1">
        <f>IFERROR(__xludf.DUMMYFUNCTION("""COMPUTED_VALUE"""),7725.0)</f>
        <v>7725</v>
      </c>
      <c r="C397" s="1">
        <f>IFERROR(__xludf.DUMMYFUNCTION("""COMPUTED_VALUE"""),8000.0)</f>
        <v>8000</v>
      </c>
      <c r="D397" s="1">
        <f>IFERROR(__xludf.DUMMYFUNCTION("""COMPUTED_VALUE"""),7700.0)</f>
        <v>7700</v>
      </c>
      <c r="E397" s="1">
        <f>IFERROR(__xludf.DUMMYFUNCTION("""COMPUTED_VALUE"""),7950.0)</f>
        <v>7950</v>
      </c>
      <c r="F397" s="1">
        <f>IFERROR(__xludf.DUMMYFUNCTION("""COMPUTED_VALUE"""),26975.0)</f>
        <v>26975</v>
      </c>
    </row>
    <row r="398">
      <c r="A398" s="2">
        <f>IFERROR(__xludf.DUMMYFUNCTION("""COMPUTED_VALUE"""),43447.64583333333)</f>
        <v>43447.64583</v>
      </c>
      <c r="B398" s="1">
        <f>IFERROR(__xludf.DUMMYFUNCTION("""COMPUTED_VALUE"""),7950.0)</f>
        <v>7950</v>
      </c>
      <c r="C398" s="1">
        <f>IFERROR(__xludf.DUMMYFUNCTION("""COMPUTED_VALUE"""),8200.0)</f>
        <v>8200</v>
      </c>
      <c r="D398" s="1">
        <f>IFERROR(__xludf.DUMMYFUNCTION("""COMPUTED_VALUE"""),7900.0)</f>
        <v>7900</v>
      </c>
      <c r="E398" s="1">
        <f>IFERROR(__xludf.DUMMYFUNCTION("""COMPUTED_VALUE"""),8000.0)</f>
        <v>8000</v>
      </c>
      <c r="F398" s="1">
        <f>IFERROR(__xludf.DUMMYFUNCTION("""COMPUTED_VALUE"""),11936.0)</f>
        <v>11936</v>
      </c>
    </row>
    <row r="399">
      <c r="A399" s="2">
        <f>IFERROR(__xludf.DUMMYFUNCTION("""COMPUTED_VALUE"""),43448.64583333333)</f>
        <v>43448.64583</v>
      </c>
      <c r="B399" s="1">
        <f>IFERROR(__xludf.DUMMYFUNCTION("""COMPUTED_VALUE"""),8200.0)</f>
        <v>8200</v>
      </c>
      <c r="C399" s="1">
        <f>IFERROR(__xludf.DUMMYFUNCTION("""COMPUTED_VALUE"""),8200.0)</f>
        <v>8200</v>
      </c>
      <c r="D399" s="1">
        <f>IFERROR(__xludf.DUMMYFUNCTION("""COMPUTED_VALUE"""),7625.0)</f>
        <v>7625</v>
      </c>
      <c r="E399" s="1">
        <f>IFERROR(__xludf.DUMMYFUNCTION("""COMPUTED_VALUE"""),7675.0)</f>
        <v>7675</v>
      </c>
      <c r="F399" s="1">
        <f>IFERROR(__xludf.DUMMYFUNCTION("""COMPUTED_VALUE"""),40679.0)</f>
        <v>40679</v>
      </c>
    </row>
    <row r="400">
      <c r="A400" s="2">
        <f>IFERROR(__xludf.DUMMYFUNCTION("""COMPUTED_VALUE"""),43451.64583333333)</f>
        <v>43451.64583</v>
      </c>
      <c r="B400" s="1">
        <f>IFERROR(__xludf.DUMMYFUNCTION("""COMPUTED_VALUE"""),7625.0)</f>
        <v>7625</v>
      </c>
      <c r="C400" s="1">
        <f>IFERROR(__xludf.DUMMYFUNCTION("""COMPUTED_VALUE"""),7800.0)</f>
        <v>7800</v>
      </c>
      <c r="D400" s="1">
        <f>IFERROR(__xludf.DUMMYFUNCTION("""COMPUTED_VALUE"""),7575.0)</f>
        <v>7575</v>
      </c>
      <c r="E400" s="1">
        <f>IFERROR(__xludf.DUMMYFUNCTION("""COMPUTED_VALUE"""),7675.0)</f>
        <v>7675</v>
      </c>
      <c r="F400" s="1">
        <f>IFERROR(__xludf.DUMMYFUNCTION("""COMPUTED_VALUE"""),21339.0)</f>
        <v>21339</v>
      </c>
    </row>
    <row r="401">
      <c r="A401" s="2">
        <f>IFERROR(__xludf.DUMMYFUNCTION("""COMPUTED_VALUE"""),43452.64583333333)</f>
        <v>43452.64583</v>
      </c>
      <c r="B401" s="1">
        <f>IFERROR(__xludf.DUMMYFUNCTION("""COMPUTED_VALUE"""),7525.0)</f>
        <v>7525</v>
      </c>
      <c r="C401" s="1">
        <f>IFERROR(__xludf.DUMMYFUNCTION("""COMPUTED_VALUE"""),7675.0)</f>
        <v>7675</v>
      </c>
      <c r="D401" s="1">
        <f>IFERROR(__xludf.DUMMYFUNCTION("""COMPUTED_VALUE"""),7400.0)</f>
        <v>7400</v>
      </c>
      <c r="E401" s="1">
        <f>IFERROR(__xludf.DUMMYFUNCTION("""COMPUTED_VALUE"""),7575.0)</f>
        <v>7575</v>
      </c>
      <c r="F401" s="1">
        <f>IFERROR(__xludf.DUMMYFUNCTION("""COMPUTED_VALUE"""),32642.0)</f>
        <v>32642</v>
      </c>
    </row>
    <row r="402">
      <c r="A402" s="2">
        <f>IFERROR(__xludf.DUMMYFUNCTION("""COMPUTED_VALUE"""),43453.64583333333)</f>
        <v>43453.64583</v>
      </c>
      <c r="B402" s="1">
        <f>IFERROR(__xludf.DUMMYFUNCTION("""COMPUTED_VALUE"""),7650.0)</f>
        <v>7650</v>
      </c>
      <c r="C402" s="1">
        <f>IFERROR(__xludf.DUMMYFUNCTION("""COMPUTED_VALUE"""),8000.0)</f>
        <v>8000</v>
      </c>
      <c r="D402" s="1">
        <f>IFERROR(__xludf.DUMMYFUNCTION("""COMPUTED_VALUE"""),7475.0)</f>
        <v>7475</v>
      </c>
      <c r="E402" s="1">
        <f>IFERROR(__xludf.DUMMYFUNCTION("""COMPUTED_VALUE"""),7475.0)</f>
        <v>7475</v>
      </c>
      <c r="F402" s="1">
        <f>IFERROR(__xludf.DUMMYFUNCTION("""COMPUTED_VALUE"""),58113.0)</f>
        <v>58113</v>
      </c>
    </row>
    <row r="403">
      <c r="A403" s="2">
        <f>IFERROR(__xludf.DUMMYFUNCTION("""COMPUTED_VALUE"""),43454.64583333333)</f>
        <v>43454.64583</v>
      </c>
      <c r="B403" s="1">
        <f>IFERROR(__xludf.DUMMYFUNCTION("""COMPUTED_VALUE"""),7425.0)</f>
        <v>7425</v>
      </c>
      <c r="C403" s="1">
        <f>IFERROR(__xludf.DUMMYFUNCTION("""COMPUTED_VALUE"""),7600.0)</f>
        <v>7600</v>
      </c>
      <c r="D403" s="1">
        <f>IFERROR(__xludf.DUMMYFUNCTION("""COMPUTED_VALUE"""),7375.0)</f>
        <v>7375</v>
      </c>
      <c r="E403" s="1">
        <f>IFERROR(__xludf.DUMMYFUNCTION("""COMPUTED_VALUE"""),7400.0)</f>
        <v>7400</v>
      </c>
      <c r="F403" s="1">
        <f>IFERROR(__xludf.DUMMYFUNCTION("""COMPUTED_VALUE"""),30742.0)</f>
        <v>30742</v>
      </c>
    </row>
    <row r="404">
      <c r="A404" s="2">
        <f>IFERROR(__xludf.DUMMYFUNCTION("""COMPUTED_VALUE"""),43455.64583333333)</f>
        <v>43455.64583</v>
      </c>
      <c r="B404" s="1">
        <f>IFERROR(__xludf.DUMMYFUNCTION("""COMPUTED_VALUE"""),7350.0)</f>
        <v>7350</v>
      </c>
      <c r="C404" s="1">
        <f>IFERROR(__xludf.DUMMYFUNCTION("""COMPUTED_VALUE"""),7650.0)</f>
        <v>7650</v>
      </c>
      <c r="D404" s="1">
        <f>IFERROR(__xludf.DUMMYFUNCTION("""COMPUTED_VALUE"""),7275.0)</f>
        <v>7275</v>
      </c>
      <c r="E404" s="1">
        <f>IFERROR(__xludf.DUMMYFUNCTION("""COMPUTED_VALUE"""),7350.0)</f>
        <v>7350</v>
      </c>
      <c r="F404" s="1">
        <f>IFERROR(__xludf.DUMMYFUNCTION("""COMPUTED_VALUE"""),31786.0)</f>
        <v>31786</v>
      </c>
    </row>
    <row r="405">
      <c r="A405" s="2">
        <f>IFERROR(__xludf.DUMMYFUNCTION("""COMPUTED_VALUE"""),43458.64583333333)</f>
        <v>43458.64583</v>
      </c>
      <c r="B405" s="1">
        <f>IFERROR(__xludf.DUMMYFUNCTION("""COMPUTED_VALUE"""),7275.0)</f>
        <v>7275</v>
      </c>
      <c r="C405" s="1">
        <f>IFERROR(__xludf.DUMMYFUNCTION("""COMPUTED_VALUE"""),7425.0)</f>
        <v>7425</v>
      </c>
      <c r="D405" s="1">
        <f>IFERROR(__xludf.DUMMYFUNCTION("""COMPUTED_VALUE"""),7225.0)</f>
        <v>7225</v>
      </c>
      <c r="E405" s="1">
        <f>IFERROR(__xludf.DUMMYFUNCTION("""COMPUTED_VALUE"""),7325.0)</f>
        <v>7325</v>
      </c>
      <c r="F405" s="1">
        <f>IFERROR(__xludf.DUMMYFUNCTION("""COMPUTED_VALUE"""),28140.0)</f>
        <v>28140</v>
      </c>
    </row>
    <row r="406">
      <c r="A406" s="2">
        <f>IFERROR(__xludf.DUMMYFUNCTION("""COMPUTED_VALUE"""),43460.64583333333)</f>
        <v>43460.64583</v>
      </c>
      <c r="B406" s="1">
        <f>IFERROR(__xludf.DUMMYFUNCTION("""COMPUTED_VALUE"""),7200.0)</f>
        <v>7200</v>
      </c>
      <c r="C406" s="1">
        <f>IFERROR(__xludf.DUMMYFUNCTION("""COMPUTED_VALUE"""),7600.0)</f>
        <v>7600</v>
      </c>
      <c r="D406" s="1">
        <f>IFERROR(__xludf.DUMMYFUNCTION("""COMPUTED_VALUE"""),7125.0)</f>
        <v>7125</v>
      </c>
      <c r="E406" s="1">
        <f>IFERROR(__xludf.DUMMYFUNCTION("""COMPUTED_VALUE"""),7475.0)</f>
        <v>7475</v>
      </c>
      <c r="F406" s="1">
        <f>IFERROR(__xludf.DUMMYFUNCTION("""COMPUTED_VALUE"""),31892.0)</f>
        <v>31892</v>
      </c>
    </row>
    <row r="407">
      <c r="A407" s="2">
        <f>IFERROR(__xludf.DUMMYFUNCTION("""COMPUTED_VALUE"""),43461.64583333333)</f>
        <v>43461.64583</v>
      </c>
      <c r="B407" s="1">
        <f>IFERROR(__xludf.DUMMYFUNCTION("""COMPUTED_VALUE"""),7650.0)</f>
        <v>7650</v>
      </c>
      <c r="C407" s="1">
        <f>IFERROR(__xludf.DUMMYFUNCTION("""COMPUTED_VALUE"""),7725.0)</f>
        <v>7725</v>
      </c>
      <c r="D407" s="1">
        <f>IFERROR(__xludf.DUMMYFUNCTION("""COMPUTED_VALUE"""),7375.0)</f>
        <v>7375</v>
      </c>
      <c r="E407" s="1">
        <f>IFERROR(__xludf.DUMMYFUNCTION("""COMPUTED_VALUE"""),7375.0)</f>
        <v>7375</v>
      </c>
      <c r="F407" s="1">
        <f>IFERROR(__xludf.DUMMYFUNCTION("""COMPUTED_VALUE"""),23999.0)</f>
        <v>23999</v>
      </c>
    </row>
    <row r="408">
      <c r="A408" s="2">
        <f>IFERROR(__xludf.DUMMYFUNCTION("""COMPUTED_VALUE"""),43462.64583333333)</f>
        <v>43462.64583</v>
      </c>
      <c r="B408" s="1">
        <f>IFERROR(__xludf.DUMMYFUNCTION("""COMPUTED_VALUE"""),7500.0)</f>
        <v>7500</v>
      </c>
      <c r="C408" s="1">
        <f>IFERROR(__xludf.DUMMYFUNCTION("""COMPUTED_VALUE"""),8100.0)</f>
        <v>8100</v>
      </c>
      <c r="D408" s="1">
        <f>IFERROR(__xludf.DUMMYFUNCTION("""COMPUTED_VALUE"""),7450.0)</f>
        <v>7450</v>
      </c>
      <c r="E408" s="1">
        <f>IFERROR(__xludf.DUMMYFUNCTION("""COMPUTED_VALUE"""),7975.0)</f>
        <v>7975</v>
      </c>
      <c r="F408" s="1">
        <f>IFERROR(__xludf.DUMMYFUNCTION("""COMPUTED_VALUE"""),68138.0)</f>
        <v>68138</v>
      </c>
    </row>
    <row r="409">
      <c r="A409" s="2">
        <f>IFERROR(__xludf.DUMMYFUNCTION("""COMPUTED_VALUE"""),43467.64583333333)</f>
        <v>43467.64583</v>
      </c>
      <c r="B409" s="1">
        <f>IFERROR(__xludf.DUMMYFUNCTION("""COMPUTED_VALUE"""),8000.0)</f>
        <v>8000</v>
      </c>
      <c r="C409" s="1">
        <f>IFERROR(__xludf.DUMMYFUNCTION("""COMPUTED_VALUE"""),8125.0)</f>
        <v>8125</v>
      </c>
      <c r="D409" s="1">
        <f>IFERROR(__xludf.DUMMYFUNCTION("""COMPUTED_VALUE"""),7675.0)</f>
        <v>7675</v>
      </c>
      <c r="E409" s="1">
        <f>IFERROR(__xludf.DUMMYFUNCTION("""COMPUTED_VALUE"""),7700.0)</f>
        <v>7700</v>
      </c>
      <c r="F409" s="1">
        <f>IFERROR(__xludf.DUMMYFUNCTION("""COMPUTED_VALUE"""),20187.0)</f>
        <v>20187</v>
      </c>
    </row>
    <row r="410">
      <c r="A410" s="2">
        <f>IFERROR(__xludf.DUMMYFUNCTION("""COMPUTED_VALUE"""),43468.64583333333)</f>
        <v>43468.64583</v>
      </c>
      <c r="B410" s="1">
        <f>IFERROR(__xludf.DUMMYFUNCTION("""COMPUTED_VALUE"""),7675.0)</f>
        <v>7675</v>
      </c>
      <c r="C410" s="1">
        <f>IFERROR(__xludf.DUMMYFUNCTION("""COMPUTED_VALUE"""),7825.0)</f>
        <v>7825</v>
      </c>
      <c r="D410" s="1">
        <f>IFERROR(__xludf.DUMMYFUNCTION("""COMPUTED_VALUE"""),7250.0)</f>
        <v>7250</v>
      </c>
      <c r="E410" s="1">
        <f>IFERROR(__xludf.DUMMYFUNCTION("""COMPUTED_VALUE"""),7400.0)</f>
        <v>7400</v>
      </c>
      <c r="F410" s="1">
        <f>IFERROR(__xludf.DUMMYFUNCTION("""COMPUTED_VALUE"""),45972.0)</f>
        <v>45972</v>
      </c>
    </row>
    <row r="411">
      <c r="A411" s="2">
        <f>IFERROR(__xludf.DUMMYFUNCTION("""COMPUTED_VALUE"""),43469.64583333333)</f>
        <v>43469.64583</v>
      </c>
      <c r="B411" s="1">
        <f>IFERROR(__xludf.DUMMYFUNCTION("""COMPUTED_VALUE"""),7275.0)</f>
        <v>7275</v>
      </c>
      <c r="C411" s="1">
        <f>IFERROR(__xludf.DUMMYFUNCTION("""COMPUTED_VALUE"""),7450.0)</f>
        <v>7450</v>
      </c>
      <c r="D411" s="1">
        <f>IFERROR(__xludf.DUMMYFUNCTION("""COMPUTED_VALUE"""),7125.0)</f>
        <v>7125</v>
      </c>
      <c r="E411" s="1">
        <f>IFERROR(__xludf.DUMMYFUNCTION("""COMPUTED_VALUE"""),7375.0)</f>
        <v>7375</v>
      </c>
      <c r="F411" s="1">
        <f>IFERROR(__xludf.DUMMYFUNCTION("""COMPUTED_VALUE"""),33088.0)</f>
        <v>33088</v>
      </c>
    </row>
    <row r="412">
      <c r="A412" s="2">
        <f>IFERROR(__xludf.DUMMYFUNCTION("""COMPUTED_VALUE"""),43472.64583333333)</f>
        <v>43472.64583</v>
      </c>
      <c r="B412" s="1">
        <f>IFERROR(__xludf.DUMMYFUNCTION("""COMPUTED_VALUE"""),7475.0)</f>
        <v>7475</v>
      </c>
      <c r="C412" s="1">
        <f>IFERROR(__xludf.DUMMYFUNCTION("""COMPUTED_VALUE"""),7675.0)</f>
        <v>7675</v>
      </c>
      <c r="D412" s="1">
        <f>IFERROR(__xludf.DUMMYFUNCTION("""COMPUTED_VALUE"""),7475.0)</f>
        <v>7475</v>
      </c>
      <c r="E412" s="1">
        <f>IFERROR(__xludf.DUMMYFUNCTION("""COMPUTED_VALUE"""),7475.0)</f>
        <v>7475</v>
      </c>
      <c r="F412" s="1">
        <f>IFERROR(__xludf.DUMMYFUNCTION("""COMPUTED_VALUE"""),13052.0)</f>
        <v>13052</v>
      </c>
    </row>
    <row r="413">
      <c r="A413" s="2">
        <f>IFERROR(__xludf.DUMMYFUNCTION("""COMPUTED_VALUE"""),43473.64583333333)</f>
        <v>43473.64583</v>
      </c>
      <c r="B413" s="1">
        <f>IFERROR(__xludf.DUMMYFUNCTION("""COMPUTED_VALUE"""),7550.0)</f>
        <v>7550</v>
      </c>
      <c r="C413" s="1">
        <f>IFERROR(__xludf.DUMMYFUNCTION("""COMPUTED_VALUE"""),7625.0)</f>
        <v>7625</v>
      </c>
      <c r="D413" s="1">
        <f>IFERROR(__xludf.DUMMYFUNCTION("""COMPUTED_VALUE"""),7450.0)</f>
        <v>7450</v>
      </c>
      <c r="E413" s="1">
        <f>IFERROR(__xludf.DUMMYFUNCTION("""COMPUTED_VALUE"""),7475.0)</f>
        <v>7475</v>
      </c>
      <c r="F413" s="1">
        <f>IFERROR(__xludf.DUMMYFUNCTION("""COMPUTED_VALUE"""),9971.0)</f>
        <v>9971</v>
      </c>
    </row>
    <row r="414">
      <c r="A414" s="2">
        <f>IFERROR(__xludf.DUMMYFUNCTION("""COMPUTED_VALUE"""),43474.64583333333)</f>
        <v>43474.64583</v>
      </c>
      <c r="B414" s="1">
        <f>IFERROR(__xludf.DUMMYFUNCTION("""COMPUTED_VALUE"""),7450.0)</f>
        <v>7450</v>
      </c>
      <c r="C414" s="1">
        <f>IFERROR(__xludf.DUMMYFUNCTION("""COMPUTED_VALUE"""),7900.0)</f>
        <v>7900</v>
      </c>
      <c r="D414" s="1">
        <f>IFERROR(__xludf.DUMMYFUNCTION("""COMPUTED_VALUE"""),7450.0)</f>
        <v>7450</v>
      </c>
      <c r="E414" s="1">
        <f>IFERROR(__xludf.DUMMYFUNCTION("""COMPUTED_VALUE"""),7775.0)</f>
        <v>7775</v>
      </c>
      <c r="F414" s="1">
        <f>IFERROR(__xludf.DUMMYFUNCTION("""COMPUTED_VALUE"""),53796.0)</f>
        <v>53796</v>
      </c>
    </row>
    <row r="415">
      <c r="A415" s="2">
        <f>IFERROR(__xludf.DUMMYFUNCTION("""COMPUTED_VALUE"""),43475.64583333333)</f>
        <v>43475.64583</v>
      </c>
      <c r="B415" s="1">
        <f>IFERROR(__xludf.DUMMYFUNCTION("""COMPUTED_VALUE"""),7775.0)</f>
        <v>7775</v>
      </c>
      <c r="C415" s="1">
        <f>IFERROR(__xludf.DUMMYFUNCTION("""COMPUTED_VALUE"""),7875.0)</f>
        <v>7875</v>
      </c>
      <c r="D415" s="1">
        <f>IFERROR(__xludf.DUMMYFUNCTION("""COMPUTED_VALUE"""),7650.0)</f>
        <v>7650</v>
      </c>
      <c r="E415" s="1">
        <f>IFERROR(__xludf.DUMMYFUNCTION("""COMPUTED_VALUE"""),7825.0)</f>
        <v>7825</v>
      </c>
      <c r="F415" s="1">
        <f>IFERROR(__xludf.DUMMYFUNCTION("""COMPUTED_VALUE"""),20524.0)</f>
        <v>20524</v>
      </c>
    </row>
    <row r="416">
      <c r="A416" s="2">
        <f>IFERROR(__xludf.DUMMYFUNCTION("""COMPUTED_VALUE"""),43476.64583333333)</f>
        <v>43476.64583</v>
      </c>
      <c r="B416" s="1">
        <f>IFERROR(__xludf.DUMMYFUNCTION("""COMPUTED_VALUE"""),7750.0)</f>
        <v>7750</v>
      </c>
      <c r="C416" s="1">
        <f>IFERROR(__xludf.DUMMYFUNCTION("""COMPUTED_VALUE"""),8250.0)</f>
        <v>8250</v>
      </c>
      <c r="D416" s="1">
        <f>IFERROR(__xludf.DUMMYFUNCTION("""COMPUTED_VALUE"""),7750.0)</f>
        <v>7750</v>
      </c>
      <c r="E416" s="1">
        <f>IFERROR(__xludf.DUMMYFUNCTION("""COMPUTED_VALUE"""),8125.0)</f>
        <v>8125</v>
      </c>
      <c r="F416" s="1">
        <f>IFERROR(__xludf.DUMMYFUNCTION("""COMPUTED_VALUE"""),60340.0)</f>
        <v>60340</v>
      </c>
    </row>
    <row r="417">
      <c r="A417" s="2">
        <f>IFERROR(__xludf.DUMMYFUNCTION("""COMPUTED_VALUE"""),43479.64583333333)</f>
        <v>43479.64583</v>
      </c>
      <c r="B417" s="1">
        <f>IFERROR(__xludf.DUMMYFUNCTION("""COMPUTED_VALUE"""),8200.0)</f>
        <v>8200</v>
      </c>
      <c r="C417" s="1">
        <f>IFERROR(__xludf.DUMMYFUNCTION("""COMPUTED_VALUE"""),8200.0)</f>
        <v>8200</v>
      </c>
      <c r="D417" s="1">
        <f>IFERROR(__xludf.DUMMYFUNCTION("""COMPUTED_VALUE"""),7725.0)</f>
        <v>7725</v>
      </c>
      <c r="E417" s="1">
        <f>IFERROR(__xludf.DUMMYFUNCTION("""COMPUTED_VALUE"""),7800.0)</f>
        <v>7800</v>
      </c>
      <c r="F417" s="1">
        <f>IFERROR(__xludf.DUMMYFUNCTION("""COMPUTED_VALUE"""),38980.0)</f>
        <v>38980</v>
      </c>
    </row>
    <row r="418">
      <c r="A418" s="2">
        <f>IFERROR(__xludf.DUMMYFUNCTION("""COMPUTED_VALUE"""),43480.64583333333)</f>
        <v>43480.64583</v>
      </c>
      <c r="B418" s="1">
        <f>IFERROR(__xludf.DUMMYFUNCTION("""COMPUTED_VALUE"""),7800.0)</f>
        <v>7800</v>
      </c>
      <c r="C418" s="1">
        <f>IFERROR(__xludf.DUMMYFUNCTION("""COMPUTED_VALUE"""),8025.0)</f>
        <v>8025</v>
      </c>
      <c r="D418" s="1">
        <f>IFERROR(__xludf.DUMMYFUNCTION("""COMPUTED_VALUE"""),7800.0)</f>
        <v>7800</v>
      </c>
      <c r="E418" s="1">
        <f>IFERROR(__xludf.DUMMYFUNCTION("""COMPUTED_VALUE"""),7975.0)</f>
        <v>7975</v>
      </c>
      <c r="F418" s="1">
        <f>IFERROR(__xludf.DUMMYFUNCTION("""COMPUTED_VALUE"""),26855.0)</f>
        <v>26855</v>
      </c>
    </row>
    <row r="419">
      <c r="A419" s="2">
        <f>IFERROR(__xludf.DUMMYFUNCTION("""COMPUTED_VALUE"""),43481.64583333333)</f>
        <v>43481.64583</v>
      </c>
      <c r="B419" s="1">
        <f>IFERROR(__xludf.DUMMYFUNCTION("""COMPUTED_VALUE"""),8000.0)</f>
        <v>8000</v>
      </c>
      <c r="C419" s="1">
        <f>IFERROR(__xludf.DUMMYFUNCTION("""COMPUTED_VALUE"""),8275.0)</f>
        <v>8275</v>
      </c>
      <c r="D419" s="1">
        <f>IFERROR(__xludf.DUMMYFUNCTION("""COMPUTED_VALUE"""),7925.0)</f>
        <v>7925</v>
      </c>
      <c r="E419" s="1">
        <f>IFERROR(__xludf.DUMMYFUNCTION("""COMPUTED_VALUE"""),8250.0)</f>
        <v>8250</v>
      </c>
      <c r="F419" s="1">
        <f>IFERROR(__xludf.DUMMYFUNCTION("""COMPUTED_VALUE"""),40827.0)</f>
        <v>40827</v>
      </c>
    </row>
    <row r="420">
      <c r="A420" s="2">
        <f>IFERROR(__xludf.DUMMYFUNCTION("""COMPUTED_VALUE"""),43482.64583333333)</f>
        <v>43482.64583</v>
      </c>
      <c r="B420" s="1">
        <f>IFERROR(__xludf.DUMMYFUNCTION("""COMPUTED_VALUE"""),8350.0)</f>
        <v>8350</v>
      </c>
      <c r="C420" s="1">
        <f>IFERROR(__xludf.DUMMYFUNCTION("""COMPUTED_VALUE"""),8400.0)</f>
        <v>8400</v>
      </c>
      <c r="D420" s="1">
        <f>IFERROR(__xludf.DUMMYFUNCTION("""COMPUTED_VALUE"""),8200.0)</f>
        <v>8200</v>
      </c>
      <c r="E420" s="1">
        <f>IFERROR(__xludf.DUMMYFUNCTION("""COMPUTED_VALUE"""),8250.0)</f>
        <v>8250</v>
      </c>
      <c r="F420" s="1">
        <f>IFERROR(__xludf.DUMMYFUNCTION("""COMPUTED_VALUE"""),22012.0)</f>
        <v>22012</v>
      </c>
    </row>
    <row r="421">
      <c r="A421" s="2">
        <f>IFERROR(__xludf.DUMMYFUNCTION("""COMPUTED_VALUE"""),43483.64583333333)</f>
        <v>43483.64583</v>
      </c>
      <c r="B421" s="1">
        <f>IFERROR(__xludf.DUMMYFUNCTION("""COMPUTED_VALUE"""),8350.0)</f>
        <v>8350</v>
      </c>
      <c r="C421" s="1">
        <f>IFERROR(__xludf.DUMMYFUNCTION("""COMPUTED_VALUE"""),8350.0)</f>
        <v>8350</v>
      </c>
      <c r="D421" s="1">
        <f>IFERROR(__xludf.DUMMYFUNCTION("""COMPUTED_VALUE"""),8075.0)</f>
        <v>8075</v>
      </c>
      <c r="E421" s="1">
        <f>IFERROR(__xludf.DUMMYFUNCTION("""COMPUTED_VALUE"""),8350.0)</f>
        <v>8350</v>
      </c>
      <c r="F421" s="1">
        <f>IFERROR(__xludf.DUMMYFUNCTION("""COMPUTED_VALUE"""),21634.0)</f>
        <v>21634</v>
      </c>
    </row>
    <row r="422">
      <c r="A422" s="2">
        <f>IFERROR(__xludf.DUMMYFUNCTION("""COMPUTED_VALUE"""),43486.64583333333)</f>
        <v>43486.64583</v>
      </c>
      <c r="B422" s="1">
        <f>IFERROR(__xludf.DUMMYFUNCTION("""COMPUTED_VALUE"""),8450.0)</f>
        <v>8450</v>
      </c>
      <c r="C422" s="1">
        <f>IFERROR(__xludf.DUMMYFUNCTION("""COMPUTED_VALUE"""),8450.0)</f>
        <v>8450</v>
      </c>
      <c r="D422" s="1">
        <f>IFERROR(__xludf.DUMMYFUNCTION("""COMPUTED_VALUE"""),8275.0)</f>
        <v>8275</v>
      </c>
      <c r="E422" s="1">
        <f>IFERROR(__xludf.DUMMYFUNCTION("""COMPUTED_VALUE"""),8325.0)</f>
        <v>8325</v>
      </c>
      <c r="F422" s="1">
        <f>IFERROR(__xludf.DUMMYFUNCTION("""COMPUTED_VALUE"""),16459.0)</f>
        <v>16459</v>
      </c>
    </row>
    <row r="423">
      <c r="A423" s="2">
        <f>IFERROR(__xludf.DUMMYFUNCTION("""COMPUTED_VALUE"""),43487.64583333333)</f>
        <v>43487.64583</v>
      </c>
      <c r="B423" s="1">
        <f>IFERROR(__xludf.DUMMYFUNCTION("""COMPUTED_VALUE"""),8375.0)</f>
        <v>8375</v>
      </c>
      <c r="C423" s="1">
        <f>IFERROR(__xludf.DUMMYFUNCTION("""COMPUTED_VALUE"""),8400.0)</f>
        <v>8400</v>
      </c>
      <c r="D423" s="1">
        <f>IFERROR(__xludf.DUMMYFUNCTION("""COMPUTED_VALUE"""),8100.0)</f>
        <v>8100</v>
      </c>
      <c r="E423" s="1">
        <f>IFERROR(__xludf.DUMMYFUNCTION("""COMPUTED_VALUE"""),8200.0)</f>
        <v>8200</v>
      </c>
      <c r="F423" s="1">
        <f>IFERROR(__xludf.DUMMYFUNCTION("""COMPUTED_VALUE"""),19892.0)</f>
        <v>19892</v>
      </c>
    </row>
    <row r="424">
      <c r="A424" s="2">
        <f>IFERROR(__xludf.DUMMYFUNCTION("""COMPUTED_VALUE"""),43488.64583333333)</f>
        <v>43488.64583</v>
      </c>
      <c r="B424" s="1">
        <f>IFERROR(__xludf.DUMMYFUNCTION("""COMPUTED_VALUE"""),8100.0)</f>
        <v>8100</v>
      </c>
      <c r="C424" s="1">
        <f>IFERROR(__xludf.DUMMYFUNCTION("""COMPUTED_VALUE"""),8275.0)</f>
        <v>8275</v>
      </c>
      <c r="D424" s="1">
        <f>IFERROR(__xludf.DUMMYFUNCTION("""COMPUTED_VALUE"""),8100.0)</f>
        <v>8100</v>
      </c>
      <c r="E424" s="1">
        <f>IFERROR(__xludf.DUMMYFUNCTION("""COMPUTED_VALUE"""),8125.0)</f>
        <v>8125</v>
      </c>
      <c r="F424" s="1">
        <f>IFERROR(__xludf.DUMMYFUNCTION("""COMPUTED_VALUE"""),11455.0)</f>
        <v>11455</v>
      </c>
    </row>
    <row r="425">
      <c r="A425" s="2">
        <f>IFERROR(__xludf.DUMMYFUNCTION("""COMPUTED_VALUE"""),43489.64583333333)</f>
        <v>43489.64583</v>
      </c>
      <c r="B425" s="1">
        <f>IFERROR(__xludf.DUMMYFUNCTION("""COMPUTED_VALUE"""),8500.0)</f>
        <v>8500</v>
      </c>
      <c r="C425" s="1">
        <f>IFERROR(__xludf.DUMMYFUNCTION("""COMPUTED_VALUE"""),9050.0)</f>
        <v>9050</v>
      </c>
      <c r="D425" s="1">
        <f>IFERROR(__xludf.DUMMYFUNCTION("""COMPUTED_VALUE"""),8325.0)</f>
        <v>8325</v>
      </c>
      <c r="E425" s="1">
        <f>IFERROR(__xludf.DUMMYFUNCTION("""COMPUTED_VALUE"""),8700.0)</f>
        <v>8700</v>
      </c>
      <c r="F425" s="1">
        <f>IFERROR(__xludf.DUMMYFUNCTION("""COMPUTED_VALUE"""),210181.0)</f>
        <v>210181</v>
      </c>
    </row>
    <row r="426">
      <c r="A426" s="2">
        <f>IFERROR(__xludf.DUMMYFUNCTION("""COMPUTED_VALUE"""),43490.64583333333)</f>
        <v>43490.64583</v>
      </c>
      <c r="B426" s="1">
        <f>IFERROR(__xludf.DUMMYFUNCTION("""COMPUTED_VALUE"""),8750.0)</f>
        <v>8750</v>
      </c>
      <c r="C426" s="1">
        <f>IFERROR(__xludf.DUMMYFUNCTION("""COMPUTED_VALUE"""),9275.0)</f>
        <v>9275</v>
      </c>
      <c r="D426" s="1">
        <f>IFERROR(__xludf.DUMMYFUNCTION("""COMPUTED_VALUE"""),8750.0)</f>
        <v>8750</v>
      </c>
      <c r="E426" s="1">
        <f>IFERROR(__xludf.DUMMYFUNCTION("""COMPUTED_VALUE"""),9050.0)</f>
        <v>9050</v>
      </c>
      <c r="F426" s="1">
        <f>IFERROR(__xludf.DUMMYFUNCTION("""COMPUTED_VALUE"""),110157.0)</f>
        <v>110157</v>
      </c>
    </row>
    <row r="427">
      <c r="A427" s="2">
        <f>IFERROR(__xludf.DUMMYFUNCTION("""COMPUTED_VALUE"""),43493.64583333333)</f>
        <v>43493.64583</v>
      </c>
      <c r="B427" s="1">
        <f>IFERROR(__xludf.DUMMYFUNCTION("""COMPUTED_VALUE"""),9150.0)</f>
        <v>9150</v>
      </c>
      <c r="C427" s="1">
        <f>IFERROR(__xludf.DUMMYFUNCTION("""COMPUTED_VALUE"""),9175.0)</f>
        <v>9175</v>
      </c>
      <c r="D427" s="1">
        <f>IFERROR(__xludf.DUMMYFUNCTION("""COMPUTED_VALUE"""),8900.0)</f>
        <v>8900</v>
      </c>
      <c r="E427" s="1">
        <f>IFERROR(__xludf.DUMMYFUNCTION("""COMPUTED_VALUE"""),8925.0)</f>
        <v>8925</v>
      </c>
      <c r="F427" s="1">
        <f>IFERROR(__xludf.DUMMYFUNCTION("""COMPUTED_VALUE"""),53609.0)</f>
        <v>53609</v>
      </c>
    </row>
    <row r="428">
      <c r="A428" s="2">
        <f>IFERROR(__xludf.DUMMYFUNCTION("""COMPUTED_VALUE"""),43494.64583333333)</f>
        <v>43494.64583</v>
      </c>
      <c r="B428" s="1">
        <f>IFERROR(__xludf.DUMMYFUNCTION("""COMPUTED_VALUE"""),8800.0)</f>
        <v>8800</v>
      </c>
      <c r="C428" s="1">
        <f>IFERROR(__xludf.DUMMYFUNCTION("""COMPUTED_VALUE"""),9200.0)</f>
        <v>9200</v>
      </c>
      <c r="D428" s="1">
        <f>IFERROR(__xludf.DUMMYFUNCTION("""COMPUTED_VALUE"""),8700.0)</f>
        <v>8700</v>
      </c>
      <c r="E428" s="1">
        <f>IFERROR(__xludf.DUMMYFUNCTION("""COMPUTED_VALUE"""),9150.0)</f>
        <v>9150</v>
      </c>
      <c r="F428" s="1">
        <f>IFERROR(__xludf.DUMMYFUNCTION("""COMPUTED_VALUE"""),40656.0)</f>
        <v>40656</v>
      </c>
    </row>
    <row r="429">
      <c r="A429" s="2">
        <f>IFERROR(__xludf.DUMMYFUNCTION("""COMPUTED_VALUE"""),43495.64583333333)</f>
        <v>43495.64583</v>
      </c>
      <c r="B429" s="1">
        <f>IFERROR(__xludf.DUMMYFUNCTION("""COMPUTED_VALUE"""),9250.0)</f>
        <v>9250</v>
      </c>
      <c r="C429" s="1">
        <f>IFERROR(__xludf.DUMMYFUNCTION("""COMPUTED_VALUE"""),10525.0)</f>
        <v>10525</v>
      </c>
      <c r="D429" s="1">
        <f>IFERROR(__xludf.DUMMYFUNCTION("""COMPUTED_VALUE"""),9200.0)</f>
        <v>9200</v>
      </c>
      <c r="E429" s="1">
        <f>IFERROR(__xludf.DUMMYFUNCTION("""COMPUTED_VALUE"""),10000.0)</f>
        <v>10000</v>
      </c>
      <c r="F429" s="1">
        <f>IFERROR(__xludf.DUMMYFUNCTION("""COMPUTED_VALUE"""),395505.0)</f>
        <v>395505</v>
      </c>
    </row>
    <row r="430">
      <c r="A430" s="2">
        <f>IFERROR(__xludf.DUMMYFUNCTION("""COMPUTED_VALUE"""),43496.64583333333)</f>
        <v>43496.64583</v>
      </c>
      <c r="B430" s="1">
        <f>IFERROR(__xludf.DUMMYFUNCTION("""COMPUTED_VALUE"""),10100.0)</f>
        <v>10100</v>
      </c>
      <c r="C430" s="1">
        <f>IFERROR(__xludf.DUMMYFUNCTION("""COMPUTED_VALUE"""),10175.0)</f>
        <v>10175</v>
      </c>
      <c r="D430" s="1">
        <f>IFERROR(__xludf.DUMMYFUNCTION("""COMPUTED_VALUE"""),9775.0)</f>
        <v>9775</v>
      </c>
      <c r="E430" s="1">
        <f>IFERROR(__xludf.DUMMYFUNCTION("""COMPUTED_VALUE"""),9850.0)</f>
        <v>9850</v>
      </c>
      <c r="F430" s="1">
        <f>IFERROR(__xludf.DUMMYFUNCTION("""COMPUTED_VALUE"""),65265.0)</f>
        <v>65265</v>
      </c>
    </row>
    <row r="431">
      <c r="A431" s="2">
        <f>IFERROR(__xludf.DUMMYFUNCTION("""COMPUTED_VALUE"""),43497.64583333333)</f>
        <v>43497.64583</v>
      </c>
      <c r="B431" s="1">
        <f>IFERROR(__xludf.DUMMYFUNCTION("""COMPUTED_VALUE"""),9850.0)</f>
        <v>9850</v>
      </c>
      <c r="C431" s="1">
        <f>IFERROR(__xludf.DUMMYFUNCTION("""COMPUTED_VALUE"""),10350.0)</f>
        <v>10350</v>
      </c>
      <c r="D431" s="1">
        <f>IFERROR(__xludf.DUMMYFUNCTION("""COMPUTED_VALUE"""),9825.0)</f>
        <v>9825</v>
      </c>
      <c r="E431" s="1">
        <f>IFERROR(__xludf.DUMMYFUNCTION("""COMPUTED_VALUE"""),10175.0)</f>
        <v>10175</v>
      </c>
      <c r="F431" s="1">
        <f>IFERROR(__xludf.DUMMYFUNCTION("""COMPUTED_VALUE"""),49745.0)</f>
        <v>49745</v>
      </c>
    </row>
    <row r="432">
      <c r="A432" s="2">
        <f>IFERROR(__xludf.DUMMYFUNCTION("""COMPUTED_VALUE"""),43503.64583333333)</f>
        <v>43503.64583</v>
      </c>
      <c r="B432" s="1">
        <f>IFERROR(__xludf.DUMMYFUNCTION("""COMPUTED_VALUE"""),10250.0)</f>
        <v>10250</v>
      </c>
      <c r="C432" s="1">
        <f>IFERROR(__xludf.DUMMYFUNCTION("""COMPUTED_VALUE"""),10575.0)</f>
        <v>10575</v>
      </c>
      <c r="D432" s="1">
        <f>IFERROR(__xludf.DUMMYFUNCTION("""COMPUTED_VALUE"""),10125.0)</f>
        <v>10125</v>
      </c>
      <c r="E432" s="1">
        <f>IFERROR(__xludf.DUMMYFUNCTION("""COMPUTED_VALUE"""),10525.0)</f>
        <v>10525</v>
      </c>
      <c r="F432" s="1">
        <f>IFERROR(__xludf.DUMMYFUNCTION("""COMPUTED_VALUE"""),61729.0)</f>
        <v>61729</v>
      </c>
    </row>
    <row r="433">
      <c r="A433" s="2">
        <f>IFERROR(__xludf.DUMMYFUNCTION("""COMPUTED_VALUE"""),43504.64583333333)</f>
        <v>43504.64583</v>
      </c>
      <c r="B433" s="1">
        <f>IFERROR(__xludf.DUMMYFUNCTION("""COMPUTED_VALUE"""),10525.0)</f>
        <v>10525</v>
      </c>
      <c r="C433" s="1">
        <f>IFERROR(__xludf.DUMMYFUNCTION("""COMPUTED_VALUE"""),10525.0)</f>
        <v>10525</v>
      </c>
      <c r="D433" s="1">
        <f>IFERROR(__xludf.DUMMYFUNCTION("""COMPUTED_VALUE"""),10075.0)</f>
        <v>10075</v>
      </c>
      <c r="E433" s="1">
        <f>IFERROR(__xludf.DUMMYFUNCTION("""COMPUTED_VALUE"""),10250.0)</f>
        <v>10250</v>
      </c>
      <c r="F433" s="1">
        <f>IFERROR(__xludf.DUMMYFUNCTION("""COMPUTED_VALUE"""),52393.0)</f>
        <v>52393</v>
      </c>
    </row>
    <row r="434">
      <c r="A434" s="2">
        <f>IFERROR(__xludf.DUMMYFUNCTION("""COMPUTED_VALUE"""),43507.64583333333)</f>
        <v>43507.64583</v>
      </c>
      <c r="B434" s="1">
        <f>IFERROR(__xludf.DUMMYFUNCTION("""COMPUTED_VALUE"""),10150.0)</f>
        <v>10150</v>
      </c>
      <c r="C434" s="1">
        <f>IFERROR(__xludf.DUMMYFUNCTION("""COMPUTED_VALUE"""),10350.0)</f>
        <v>10350</v>
      </c>
      <c r="D434" s="1">
        <f>IFERROR(__xludf.DUMMYFUNCTION("""COMPUTED_VALUE"""),9825.0)</f>
        <v>9825</v>
      </c>
      <c r="E434" s="1">
        <f>IFERROR(__xludf.DUMMYFUNCTION("""COMPUTED_VALUE"""),10025.0)</f>
        <v>10025</v>
      </c>
      <c r="F434" s="1">
        <f>IFERROR(__xludf.DUMMYFUNCTION("""COMPUTED_VALUE"""),43342.0)</f>
        <v>43342</v>
      </c>
    </row>
    <row r="435">
      <c r="A435" s="2">
        <f>IFERROR(__xludf.DUMMYFUNCTION("""COMPUTED_VALUE"""),43508.64583333333)</f>
        <v>43508.64583</v>
      </c>
      <c r="B435" s="1">
        <f>IFERROR(__xludf.DUMMYFUNCTION("""COMPUTED_VALUE"""),10025.0)</f>
        <v>10025</v>
      </c>
      <c r="C435" s="1">
        <f>IFERROR(__xludf.DUMMYFUNCTION("""COMPUTED_VALUE"""),10225.0)</f>
        <v>10225</v>
      </c>
      <c r="D435" s="1">
        <f>IFERROR(__xludf.DUMMYFUNCTION("""COMPUTED_VALUE"""),9950.0)</f>
        <v>9950</v>
      </c>
      <c r="E435" s="1">
        <f>IFERROR(__xludf.DUMMYFUNCTION("""COMPUTED_VALUE"""),10000.0)</f>
        <v>10000</v>
      </c>
      <c r="F435" s="1">
        <f>IFERROR(__xludf.DUMMYFUNCTION("""COMPUTED_VALUE"""),33357.0)</f>
        <v>33357</v>
      </c>
    </row>
    <row r="436">
      <c r="A436" s="2">
        <f>IFERROR(__xludf.DUMMYFUNCTION("""COMPUTED_VALUE"""),43509.64583333333)</f>
        <v>43509.64583</v>
      </c>
      <c r="B436" s="1">
        <f>IFERROR(__xludf.DUMMYFUNCTION("""COMPUTED_VALUE"""),10000.0)</f>
        <v>10000</v>
      </c>
      <c r="C436" s="1">
        <f>IFERROR(__xludf.DUMMYFUNCTION("""COMPUTED_VALUE"""),10575.0)</f>
        <v>10575</v>
      </c>
      <c r="D436" s="1">
        <f>IFERROR(__xludf.DUMMYFUNCTION("""COMPUTED_VALUE"""),10000.0)</f>
        <v>10000</v>
      </c>
      <c r="E436" s="1">
        <f>IFERROR(__xludf.DUMMYFUNCTION("""COMPUTED_VALUE"""),10400.0)</f>
        <v>10400</v>
      </c>
      <c r="F436" s="1">
        <f>IFERROR(__xludf.DUMMYFUNCTION("""COMPUTED_VALUE"""),52427.0)</f>
        <v>52427</v>
      </c>
    </row>
    <row r="437">
      <c r="A437" s="2">
        <f>IFERROR(__xludf.DUMMYFUNCTION("""COMPUTED_VALUE"""),43510.64583333333)</f>
        <v>43510.64583</v>
      </c>
      <c r="B437" s="1">
        <f>IFERROR(__xludf.DUMMYFUNCTION("""COMPUTED_VALUE"""),10275.0)</f>
        <v>10275</v>
      </c>
      <c r="C437" s="1">
        <f>IFERROR(__xludf.DUMMYFUNCTION("""COMPUTED_VALUE"""),10450.0)</f>
        <v>10450</v>
      </c>
      <c r="D437" s="1">
        <f>IFERROR(__xludf.DUMMYFUNCTION("""COMPUTED_VALUE"""),10100.0)</f>
        <v>10100</v>
      </c>
      <c r="E437" s="1">
        <f>IFERROR(__xludf.DUMMYFUNCTION("""COMPUTED_VALUE"""),10300.0)</f>
        <v>10300</v>
      </c>
      <c r="F437" s="1">
        <f>IFERROR(__xludf.DUMMYFUNCTION("""COMPUTED_VALUE"""),26203.0)</f>
        <v>26203</v>
      </c>
    </row>
    <row r="438">
      <c r="A438" s="2">
        <f>IFERROR(__xludf.DUMMYFUNCTION("""COMPUTED_VALUE"""),43511.64583333333)</f>
        <v>43511.64583</v>
      </c>
      <c r="B438" s="1">
        <f>IFERROR(__xludf.DUMMYFUNCTION("""COMPUTED_VALUE"""),10300.0)</f>
        <v>10300</v>
      </c>
      <c r="C438" s="1">
        <f>IFERROR(__xludf.DUMMYFUNCTION("""COMPUTED_VALUE"""),10300.0)</f>
        <v>10300</v>
      </c>
      <c r="D438" s="1">
        <f>IFERROR(__xludf.DUMMYFUNCTION("""COMPUTED_VALUE"""),9650.0)</f>
        <v>9650</v>
      </c>
      <c r="E438" s="1">
        <f>IFERROR(__xludf.DUMMYFUNCTION("""COMPUTED_VALUE"""),9950.0)</f>
        <v>9950</v>
      </c>
      <c r="F438" s="1">
        <f>IFERROR(__xludf.DUMMYFUNCTION("""COMPUTED_VALUE"""),66913.0)</f>
        <v>66913</v>
      </c>
    </row>
    <row r="439">
      <c r="A439" s="2">
        <f>IFERROR(__xludf.DUMMYFUNCTION("""COMPUTED_VALUE"""),43514.64583333333)</f>
        <v>43514.64583</v>
      </c>
      <c r="B439" s="1">
        <f>IFERROR(__xludf.DUMMYFUNCTION("""COMPUTED_VALUE"""),10000.0)</f>
        <v>10000</v>
      </c>
      <c r="C439" s="1">
        <f>IFERROR(__xludf.DUMMYFUNCTION("""COMPUTED_VALUE"""),10300.0)</f>
        <v>10300</v>
      </c>
      <c r="D439" s="1">
        <f>IFERROR(__xludf.DUMMYFUNCTION("""COMPUTED_VALUE"""),9925.0)</f>
        <v>9925</v>
      </c>
      <c r="E439" s="1">
        <f>IFERROR(__xludf.DUMMYFUNCTION("""COMPUTED_VALUE"""),10175.0)</f>
        <v>10175</v>
      </c>
      <c r="F439" s="1">
        <f>IFERROR(__xludf.DUMMYFUNCTION("""COMPUTED_VALUE"""),50817.0)</f>
        <v>50817</v>
      </c>
    </row>
    <row r="440">
      <c r="A440" s="2">
        <f>IFERROR(__xludf.DUMMYFUNCTION("""COMPUTED_VALUE"""),43515.64583333333)</f>
        <v>43515.64583</v>
      </c>
      <c r="B440" s="1">
        <f>IFERROR(__xludf.DUMMYFUNCTION("""COMPUTED_VALUE"""),10375.0)</f>
        <v>10375</v>
      </c>
      <c r="C440" s="1">
        <f>IFERROR(__xludf.DUMMYFUNCTION("""COMPUTED_VALUE"""),10375.0)</f>
        <v>10375</v>
      </c>
      <c r="D440" s="1">
        <f>IFERROR(__xludf.DUMMYFUNCTION("""COMPUTED_VALUE"""),10025.0)</f>
        <v>10025</v>
      </c>
      <c r="E440" s="1">
        <f>IFERROR(__xludf.DUMMYFUNCTION("""COMPUTED_VALUE"""),10100.0)</f>
        <v>10100</v>
      </c>
      <c r="F440" s="1">
        <f>IFERROR(__xludf.DUMMYFUNCTION("""COMPUTED_VALUE"""),36153.0)</f>
        <v>36153</v>
      </c>
    </row>
    <row r="441">
      <c r="A441" s="2">
        <f>IFERROR(__xludf.DUMMYFUNCTION("""COMPUTED_VALUE"""),43516.64583333333)</f>
        <v>43516.64583</v>
      </c>
      <c r="B441" s="1">
        <f>IFERROR(__xludf.DUMMYFUNCTION("""COMPUTED_VALUE"""),10150.0)</f>
        <v>10150</v>
      </c>
      <c r="C441" s="1">
        <f>IFERROR(__xludf.DUMMYFUNCTION("""COMPUTED_VALUE"""),10475.0)</f>
        <v>10475</v>
      </c>
      <c r="D441" s="1">
        <f>IFERROR(__xludf.DUMMYFUNCTION("""COMPUTED_VALUE"""),9925.0)</f>
        <v>9925</v>
      </c>
      <c r="E441" s="1">
        <f>IFERROR(__xludf.DUMMYFUNCTION("""COMPUTED_VALUE"""),10225.0)</f>
        <v>10225</v>
      </c>
      <c r="F441" s="1">
        <f>IFERROR(__xludf.DUMMYFUNCTION("""COMPUTED_VALUE"""),70321.0)</f>
        <v>70321</v>
      </c>
    </row>
    <row r="442">
      <c r="A442" s="2">
        <f>IFERROR(__xludf.DUMMYFUNCTION("""COMPUTED_VALUE"""),43517.64583333333)</f>
        <v>43517.64583</v>
      </c>
      <c r="B442" s="1">
        <f>IFERROR(__xludf.DUMMYFUNCTION("""COMPUTED_VALUE"""),10225.0)</f>
        <v>10225</v>
      </c>
      <c r="C442" s="1">
        <f>IFERROR(__xludf.DUMMYFUNCTION("""COMPUTED_VALUE"""),10350.0)</f>
        <v>10350</v>
      </c>
      <c r="D442" s="1">
        <f>IFERROR(__xludf.DUMMYFUNCTION("""COMPUTED_VALUE"""),9925.0)</f>
        <v>9925</v>
      </c>
      <c r="E442" s="1">
        <f>IFERROR(__xludf.DUMMYFUNCTION("""COMPUTED_VALUE"""),10000.0)</f>
        <v>10000</v>
      </c>
      <c r="F442" s="1">
        <f>IFERROR(__xludf.DUMMYFUNCTION("""COMPUTED_VALUE"""),47694.0)</f>
        <v>47694</v>
      </c>
    </row>
    <row r="443">
      <c r="A443" s="2">
        <f>IFERROR(__xludf.DUMMYFUNCTION("""COMPUTED_VALUE"""),43518.64583333333)</f>
        <v>43518.64583</v>
      </c>
      <c r="B443" s="1">
        <f>IFERROR(__xludf.DUMMYFUNCTION("""COMPUTED_VALUE"""),10000.0)</f>
        <v>10000</v>
      </c>
      <c r="C443" s="1">
        <f>IFERROR(__xludf.DUMMYFUNCTION("""COMPUTED_VALUE"""),10075.0)</f>
        <v>10075</v>
      </c>
      <c r="D443" s="1">
        <f>IFERROR(__xludf.DUMMYFUNCTION("""COMPUTED_VALUE"""),9700.0)</f>
        <v>9700</v>
      </c>
      <c r="E443" s="1">
        <f>IFERROR(__xludf.DUMMYFUNCTION("""COMPUTED_VALUE"""),9975.0)</f>
        <v>9975</v>
      </c>
      <c r="F443" s="1">
        <f>IFERROR(__xludf.DUMMYFUNCTION("""COMPUTED_VALUE"""),28535.0)</f>
        <v>28535</v>
      </c>
    </row>
    <row r="444">
      <c r="A444" s="2">
        <f>IFERROR(__xludf.DUMMYFUNCTION("""COMPUTED_VALUE"""),43521.64583333333)</f>
        <v>43521.64583</v>
      </c>
      <c r="B444" s="1">
        <f>IFERROR(__xludf.DUMMYFUNCTION("""COMPUTED_VALUE"""),10000.0)</f>
        <v>10000</v>
      </c>
      <c r="C444" s="1">
        <f>IFERROR(__xludf.DUMMYFUNCTION("""COMPUTED_VALUE"""),10150.0)</f>
        <v>10150</v>
      </c>
      <c r="D444" s="1">
        <f>IFERROR(__xludf.DUMMYFUNCTION("""COMPUTED_VALUE"""),9775.0)</f>
        <v>9775</v>
      </c>
      <c r="E444" s="1">
        <f>IFERROR(__xludf.DUMMYFUNCTION("""COMPUTED_VALUE"""),9875.0)</f>
        <v>9875</v>
      </c>
      <c r="F444" s="1">
        <f>IFERROR(__xludf.DUMMYFUNCTION("""COMPUTED_VALUE"""),56702.0)</f>
        <v>56702</v>
      </c>
    </row>
    <row r="445">
      <c r="A445" s="2">
        <f>IFERROR(__xludf.DUMMYFUNCTION("""COMPUTED_VALUE"""),43522.64583333333)</f>
        <v>43522.64583</v>
      </c>
      <c r="B445" s="1">
        <f>IFERROR(__xludf.DUMMYFUNCTION("""COMPUTED_VALUE"""),9925.0)</f>
        <v>9925</v>
      </c>
      <c r="C445" s="1">
        <f>IFERROR(__xludf.DUMMYFUNCTION("""COMPUTED_VALUE"""),10075.0)</f>
        <v>10075</v>
      </c>
      <c r="D445" s="1">
        <f>IFERROR(__xludf.DUMMYFUNCTION("""COMPUTED_VALUE"""),9375.0)</f>
        <v>9375</v>
      </c>
      <c r="E445" s="1">
        <f>IFERROR(__xludf.DUMMYFUNCTION("""COMPUTED_VALUE"""),9425.0)</f>
        <v>9425</v>
      </c>
      <c r="F445" s="1">
        <f>IFERROR(__xludf.DUMMYFUNCTION("""COMPUTED_VALUE"""),83640.0)</f>
        <v>83640</v>
      </c>
    </row>
    <row r="446">
      <c r="A446" s="2">
        <f>IFERROR(__xludf.DUMMYFUNCTION("""COMPUTED_VALUE"""),43523.64583333333)</f>
        <v>43523.64583</v>
      </c>
      <c r="B446" s="1">
        <f>IFERROR(__xludf.DUMMYFUNCTION("""COMPUTED_VALUE"""),9525.0)</f>
        <v>9525</v>
      </c>
      <c r="C446" s="1">
        <f>IFERROR(__xludf.DUMMYFUNCTION("""COMPUTED_VALUE"""),9550.0)</f>
        <v>9550</v>
      </c>
      <c r="D446" s="1">
        <f>IFERROR(__xludf.DUMMYFUNCTION("""COMPUTED_VALUE"""),9350.0)</f>
        <v>9350</v>
      </c>
      <c r="E446" s="1">
        <f>IFERROR(__xludf.DUMMYFUNCTION("""COMPUTED_VALUE"""),9350.0)</f>
        <v>9350</v>
      </c>
      <c r="F446" s="1">
        <f>IFERROR(__xludf.DUMMYFUNCTION("""COMPUTED_VALUE"""),53246.0)</f>
        <v>53246</v>
      </c>
    </row>
    <row r="447">
      <c r="A447" s="2">
        <f>IFERROR(__xludf.DUMMYFUNCTION("""COMPUTED_VALUE"""),43524.64583333333)</f>
        <v>43524.64583</v>
      </c>
      <c r="B447" s="1">
        <f>IFERROR(__xludf.DUMMYFUNCTION("""COMPUTED_VALUE"""),9350.0)</f>
        <v>9350</v>
      </c>
      <c r="C447" s="1">
        <f>IFERROR(__xludf.DUMMYFUNCTION("""COMPUTED_VALUE"""),9575.0)</f>
        <v>9575</v>
      </c>
      <c r="D447" s="1">
        <f>IFERROR(__xludf.DUMMYFUNCTION("""COMPUTED_VALUE"""),9025.0)</f>
        <v>9025</v>
      </c>
      <c r="E447" s="1">
        <f>IFERROR(__xludf.DUMMYFUNCTION("""COMPUTED_VALUE"""),9050.0)</f>
        <v>9050</v>
      </c>
      <c r="F447" s="1">
        <f>IFERROR(__xludf.DUMMYFUNCTION("""COMPUTED_VALUE"""),53873.0)</f>
        <v>53873</v>
      </c>
    </row>
    <row r="448">
      <c r="A448" s="2">
        <f>IFERROR(__xludf.DUMMYFUNCTION("""COMPUTED_VALUE"""),43528.64583333333)</f>
        <v>43528.64583</v>
      </c>
      <c r="B448" s="1">
        <f>IFERROR(__xludf.DUMMYFUNCTION("""COMPUTED_VALUE"""),9200.0)</f>
        <v>9200</v>
      </c>
      <c r="C448" s="1">
        <f>IFERROR(__xludf.DUMMYFUNCTION("""COMPUTED_VALUE"""),9325.0)</f>
        <v>9325</v>
      </c>
      <c r="D448" s="1">
        <f>IFERROR(__xludf.DUMMYFUNCTION("""COMPUTED_VALUE"""),9125.0)</f>
        <v>9125</v>
      </c>
      <c r="E448" s="1">
        <f>IFERROR(__xludf.DUMMYFUNCTION("""COMPUTED_VALUE"""),9225.0)</f>
        <v>9225</v>
      </c>
      <c r="F448" s="1">
        <f>IFERROR(__xludf.DUMMYFUNCTION("""COMPUTED_VALUE"""),39462.0)</f>
        <v>39462</v>
      </c>
    </row>
    <row r="449">
      <c r="A449" s="2">
        <f>IFERROR(__xludf.DUMMYFUNCTION("""COMPUTED_VALUE"""),43529.64583333333)</f>
        <v>43529.64583</v>
      </c>
      <c r="B449" s="1">
        <f>IFERROR(__xludf.DUMMYFUNCTION("""COMPUTED_VALUE"""),9225.0)</f>
        <v>9225</v>
      </c>
      <c r="C449" s="1">
        <f>IFERROR(__xludf.DUMMYFUNCTION("""COMPUTED_VALUE"""),9400.0)</f>
        <v>9400</v>
      </c>
      <c r="D449" s="1">
        <f>IFERROR(__xludf.DUMMYFUNCTION("""COMPUTED_VALUE"""),8850.0)</f>
        <v>8850</v>
      </c>
      <c r="E449" s="1">
        <f>IFERROR(__xludf.DUMMYFUNCTION("""COMPUTED_VALUE"""),8950.0)</f>
        <v>8950</v>
      </c>
      <c r="F449" s="1">
        <f>IFERROR(__xludf.DUMMYFUNCTION("""COMPUTED_VALUE"""),51454.0)</f>
        <v>51454</v>
      </c>
    </row>
    <row r="450">
      <c r="A450" s="2">
        <f>IFERROR(__xludf.DUMMYFUNCTION("""COMPUTED_VALUE"""),43530.64583333333)</f>
        <v>43530.64583</v>
      </c>
      <c r="B450" s="1">
        <f>IFERROR(__xludf.DUMMYFUNCTION("""COMPUTED_VALUE"""),8950.0)</f>
        <v>8950</v>
      </c>
      <c r="C450" s="1">
        <f>IFERROR(__xludf.DUMMYFUNCTION("""COMPUTED_VALUE"""),9225.0)</f>
        <v>9225</v>
      </c>
      <c r="D450" s="1">
        <f>IFERROR(__xludf.DUMMYFUNCTION("""COMPUTED_VALUE"""),8900.0)</f>
        <v>8900</v>
      </c>
      <c r="E450" s="1">
        <f>IFERROR(__xludf.DUMMYFUNCTION("""COMPUTED_VALUE"""),9000.0)</f>
        <v>9000</v>
      </c>
      <c r="F450" s="1">
        <f>IFERROR(__xludf.DUMMYFUNCTION("""COMPUTED_VALUE"""),28033.0)</f>
        <v>28033</v>
      </c>
    </row>
    <row r="451">
      <c r="A451" s="2">
        <f>IFERROR(__xludf.DUMMYFUNCTION("""COMPUTED_VALUE"""),43531.64583333333)</f>
        <v>43531.64583</v>
      </c>
      <c r="B451" s="1">
        <f>IFERROR(__xludf.DUMMYFUNCTION("""COMPUTED_VALUE"""),9000.0)</f>
        <v>9000</v>
      </c>
      <c r="C451" s="1">
        <f>IFERROR(__xludf.DUMMYFUNCTION("""COMPUTED_VALUE"""),9125.0)</f>
        <v>9125</v>
      </c>
      <c r="D451" s="1">
        <f>IFERROR(__xludf.DUMMYFUNCTION("""COMPUTED_VALUE"""),8875.0)</f>
        <v>8875</v>
      </c>
      <c r="E451" s="1">
        <f>IFERROR(__xludf.DUMMYFUNCTION("""COMPUTED_VALUE"""),9000.0)</f>
        <v>9000</v>
      </c>
      <c r="F451" s="1">
        <f>IFERROR(__xludf.DUMMYFUNCTION("""COMPUTED_VALUE"""),21441.0)</f>
        <v>21441</v>
      </c>
    </row>
    <row r="452">
      <c r="A452" s="2">
        <f>IFERROR(__xludf.DUMMYFUNCTION("""COMPUTED_VALUE"""),43532.64583333333)</f>
        <v>43532.64583</v>
      </c>
      <c r="B452" s="1">
        <f>IFERROR(__xludf.DUMMYFUNCTION("""COMPUTED_VALUE"""),9100.0)</f>
        <v>9100</v>
      </c>
      <c r="C452" s="1">
        <f>IFERROR(__xludf.DUMMYFUNCTION("""COMPUTED_VALUE"""),9100.0)</f>
        <v>9100</v>
      </c>
      <c r="D452" s="1">
        <f>IFERROR(__xludf.DUMMYFUNCTION("""COMPUTED_VALUE"""),8500.0)</f>
        <v>8500</v>
      </c>
      <c r="E452" s="1">
        <f>IFERROR(__xludf.DUMMYFUNCTION("""COMPUTED_VALUE"""),8850.0)</f>
        <v>8850</v>
      </c>
      <c r="F452" s="1">
        <f>IFERROR(__xludf.DUMMYFUNCTION("""COMPUTED_VALUE"""),58258.0)</f>
        <v>58258</v>
      </c>
    </row>
    <row r="453">
      <c r="A453" s="2">
        <f>IFERROR(__xludf.DUMMYFUNCTION("""COMPUTED_VALUE"""),43535.64583333333)</f>
        <v>43535.64583</v>
      </c>
      <c r="B453" s="1">
        <f>IFERROR(__xludf.DUMMYFUNCTION("""COMPUTED_VALUE"""),8950.0)</f>
        <v>8950</v>
      </c>
      <c r="C453" s="1">
        <f>IFERROR(__xludf.DUMMYFUNCTION("""COMPUTED_VALUE"""),8950.0)</f>
        <v>8950</v>
      </c>
      <c r="D453" s="1">
        <f>IFERROR(__xludf.DUMMYFUNCTION("""COMPUTED_VALUE"""),8575.0)</f>
        <v>8575</v>
      </c>
      <c r="E453" s="1">
        <f>IFERROR(__xludf.DUMMYFUNCTION("""COMPUTED_VALUE"""),8750.0)</f>
        <v>8750</v>
      </c>
      <c r="F453" s="1">
        <f>IFERROR(__xludf.DUMMYFUNCTION("""COMPUTED_VALUE"""),30912.0)</f>
        <v>30912</v>
      </c>
    </row>
    <row r="454">
      <c r="A454" s="2">
        <f>IFERROR(__xludf.DUMMYFUNCTION("""COMPUTED_VALUE"""),43536.64583333333)</f>
        <v>43536.64583</v>
      </c>
      <c r="B454" s="1">
        <f>IFERROR(__xludf.DUMMYFUNCTION("""COMPUTED_VALUE"""),8950.0)</f>
        <v>8950</v>
      </c>
      <c r="C454" s="1">
        <f>IFERROR(__xludf.DUMMYFUNCTION("""COMPUTED_VALUE"""),8950.0)</f>
        <v>8950</v>
      </c>
      <c r="D454" s="1">
        <f>IFERROR(__xludf.DUMMYFUNCTION("""COMPUTED_VALUE"""),8700.0)</f>
        <v>8700</v>
      </c>
      <c r="E454" s="1">
        <f>IFERROR(__xludf.DUMMYFUNCTION("""COMPUTED_VALUE"""),8925.0)</f>
        <v>8925</v>
      </c>
      <c r="F454" s="1">
        <f>IFERROR(__xludf.DUMMYFUNCTION("""COMPUTED_VALUE"""),49505.0)</f>
        <v>49505</v>
      </c>
    </row>
    <row r="455">
      <c r="A455" s="2">
        <f>IFERROR(__xludf.DUMMYFUNCTION("""COMPUTED_VALUE"""),43537.64583333333)</f>
        <v>43537.64583</v>
      </c>
      <c r="B455" s="1">
        <f>IFERROR(__xludf.DUMMYFUNCTION("""COMPUTED_VALUE"""),8950.0)</f>
        <v>8950</v>
      </c>
      <c r="C455" s="1">
        <f>IFERROR(__xludf.DUMMYFUNCTION("""COMPUTED_VALUE"""),9025.0)</f>
        <v>9025</v>
      </c>
      <c r="D455" s="1">
        <f>IFERROR(__xludf.DUMMYFUNCTION("""COMPUTED_VALUE"""),8600.0)</f>
        <v>8600</v>
      </c>
      <c r="E455" s="1">
        <f>IFERROR(__xludf.DUMMYFUNCTION("""COMPUTED_VALUE"""),8650.0)</f>
        <v>8650</v>
      </c>
      <c r="F455" s="1">
        <f>IFERROR(__xludf.DUMMYFUNCTION("""COMPUTED_VALUE"""),49445.0)</f>
        <v>49445</v>
      </c>
    </row>
    <row r="456">
      <c r="A456" s="2">
        <f>IFERROR(__xludf.DUMMYFUNCTION("""COMPUTED_VALUE"""),43538.64583333333)</f>
        <v>43538.64583</v>
      </c>
      <c r="B456" s="1">
        <f>IFERROR(__xludf.DUMMYFUNCTION("""COMPUTED_VALUE"""),8750.0)</f>
        <v>8750</v>
      </c>
      <c r="C456" s="1">
        <f>IFERROR(__xludf.DUMMYFUNCTION("""COMPUTED_VALUE"""),9175.0)</f>
        <v>9175</v>
      </c>
      <c r="D456" s="1">
        <f>IFERROR(__xludf.DUMMYFUNCTION("""COMPUTED_VALUE"""),8650.0)</f>
        <v>8650</v>
      </c>
      <c r="E456" s="1">
        <f>IFERROR(__xludf.DUMMYFUNCTION("""COMPUTED_VALUE"""),9000.0)</f>
        <v>9000</v>
      </c>
      <c r="F456" s="1">
        <f>IFERROR(__xludf.DUMMYFUNCTION("""COMPUTED_VALUE"""),105564.0)</f>
        <v>105564</v>
      </c>
    </row>
    <row r="457">
      <c r="A457" s="2">
        <f>IFERROR(__xludf.DUMMYFUNCTION("""COMPUTED_VALUE"""),43539.64583333333)</f>
        <v>43539.64583</v>
      </c>
      <c r="B457" s="1">
        <f>IFERROR(__xludf.DUMMYFUNCTION("""COMPUTED_VALUE"""),8975.0)</f>
        <v>8975</v>
      </c>
      <c r="C457" s="1">
        <f>IFERROR(__xludf.DUMMYFUNCTION("""COMPUTED_VALUE"""),9075.0)</f>
        <v>9075</v>
      </c>
      <c r="D457" s="1">
        <f>IFERROR(__xludf.DUMMYFUNCTION("""COMPUTED_VALUE"""),8625.0)</f>
        <v>8625</v>
      </c>
      <c r="E457" s="1">
        <f>IFERROR(__xludf.DUMMYFUNCTION("""COMPUTED_VALUE"""),8825.0)</f>
        <v>8825</v>
      </c>
      <c r="F457" s="1">
        <f>IFERROR(__xludf.DUMMYFUNCTION("""COMPUTED_VALUE"""),43533.0)</f>
        <v>43533</v>
      </c>
    </row>
    <row r="458">
      <c r="A458" s="2">
        <f>IFERROR(__xludf.DUMMYFUNCTION("""COMPUTED_VALUE"""),43542.64583333333)</f>
        <v>43542.64583</v>
      </c>
      <c r="B458" s="1">
        <f>IFERROR(__xludf.DUMMYFUNCTION("""COMPUTED_VALUE"""),8800.0)</f>
        <v>8800</v>
      </c>
      <c r="C458" s="1">
        <f>IFERROR(__xludf.DUMMYFUNCTION("""COMPUTED_VALUE"""),9050.0)</f>
        <v>9050</v>
      </c>
      <c r="D458" s="1">
        <f>IFERROR(__xludf.DUMMYFUNCTION("""COMPUTED_VALUE"""),8800.0)</f>
        <v>8800</v>
      </c>
      <c r="E458" s="1">
        <f>IFERROR(__xludf.DUMMYFUNCTION("""COMPUTED_VALUE"""),8925.0)</f>
        <v>8925</v>
      </c>
      <c r="F458" s="1">
        <f>IFERROR(__xludf.DUMMYFUNCTION("""COMPUTED_VALUE"""),31858.0)</f>
        <v>31858</v>
      </c>
    </row>
    <row r="459">
      <c r="A459" s="2">
        <f>IFERROR(__xludf.DUMMYFUNCTION("""COMPUTED_VALUE"""),43543.64583333333)</f>
        <v>43543.64583</v>
      </c>
      <c r="B459" s="1">
        <f>IFERROR(__xludf.DUMMYFUNCTION("""COMPUTED_VALUE"""),9000.0)</f>
        <v>9000</v>
      </c>
      <c r="C459" s="1">
        <f>IFERROR(__xludf.DUMMYFUNCTION("""COMPUTED_VALUE"""),9000.0)</f>
        <v>9000</v>
      </c>
      <c r="D459" s="1">
        <f>IFERROR(__xludf.DUMMYFUNCTION("""COMPUTED_VALUE"""),8575.0)</f>
        <v>8575</v>
      </c>
      <c r="E459" s="1">
        <f>IFERROR(__xludf.DUMMYFUNCTION("""COMPUTED_VALUE"""),8600.0)</f>
        <v>8600</v>
      </c>
      <c r="F459" s="1">
        <f>IFERROR(__xludf.DUMMYFUNCTION("""COMPUTED_VALUE"""),39332.0)</f>
        <v>39332</v>
      </c>
    </row>
    <row r="460">
      <c r="A460" s="2">
        <f>IFERROR(__xludf.DUMMYFUNCTION("""COMPUTED_VALUE"""),43544.64583333333)</f>
        <v>43544.64583</v>
      </c>
      <c r="B460" s="1">
        <f>IFERROR(__xludf.DUMMYFUNCTION("""COMPUTED_VALUE"""),8725.0)</f>
        <v>8725</v>
      </c>
      <c r="C460" s="1">
        <f>IFERROR(__xludf.DUMMYFUNCTION("""COMPUTED_VALUE"""),8725.0)</f>
        <v>8725</v>
      </c>
      <c r="D460" s="1">
        <f>IFERROR(__xludf.DUMMYFUNCTION("""COMPUTED_VALUE"""),8250.0)</f>
        <v>8250</v>
      </c>
      <c r="E460" s="1">
        <f>IFERROR(__xludf.DUMMYFUNCTION("""COMPUTED_VALUE"""),8550.0)</f>
        <v>8550</v>
      </c>
      <c r="F460" s="1">
        <f>IFERROR(__xludf.DUMMYFUNCTION("""COMPUTED_VALUE"""),57315.0)</f>
        <v>57315</v>
      </c>
    </row>
    <row r="461">
      <c r="A461" s="2">
        <f>IFERROR(__xludf.DUMMYFUNCTION("""COMPUTED_VALUE"""),43545.64583333333)</f>
        <v>43545.64583</v>
      </c>
      <c r="B461" s="1">
        <f>IFERROR(__xludf.DUMMYFUNCTION("""COMPUTED_VALUE"""),8550.0)</f>
        <v>8550</v>
      </c>
      <c r="C461" s="1">
        <f>IFERROR(__xludf.DUMMYFUNCTION("""COMPUTED_VALUE"""),8825.0)</f>
        <v>8825</v>
      </c>
      <c r="D461" s="1">
        <f>IFERROR(__xludf.DUMMYFUNCTION("""COMPUTED_VALUE"""),8500.0)</f>
        <v>8500</v>
      </c>
      <c r="E461" s="1">
        <f>IFERROR(__xludf.DUMMYFUNCTION("""COMPUTED_VALUE"""),8525.0)</f>
        <v>8525</v>
      </c>
      <c r="F461" s="1">
        <f>IFERROR(__xludf.DUMMYFUNCTION("""COMPUTED_VALUE"""),46202.0)</f>
        <v>46202</v>
      </c>
    </row>
    <row r="462">
      <c r="A462" s="2">
        <f>IFERROR(__xludf.DUMMYFUNCTION("""COMPUTED_VALUE"""),43546.64583333333)</f>
        <v>43546.64583</v>
      </c>
      <c r="B462" s="1">
        <f>IFERROR(__xludf.DUMMYFUNCTION("""COMPUTED_VALUE"""),8625.0)</f>
        <v>8625</v>
      </c>
      <c r="C462" s="1">
        <f>IFERROR(__xludf.DUMMYFUNCTION("""COMPUTED_VALUE"""),8925.0)</f>
        <v>8925</v>
      </c>
      <c r="D462" s="1">
        <f>IFERROR(__xludf.DUMMYFUNCTION("""COMPUTED_VALUE"""),8550.0)</f>
        <v>8550</v>
      </c>
      <c r="E462" s="1">
        <f>IFERROR(__xludf.DUMMYFUNCTION("""COMPUTED_VALUE"""),8600.0)</f>
        <v>8600</v>
      </c>
      <c r="F462" s="1">
        <f>IFERROR(__xludf.DUMMYFUNCTION("""COMPUTED_VALUE"""),69899.0)</f>
        <v>69899</v>
      </c>
    </row>
    <row r="463">
      <c r="A463" s="2">
        <f>IFERROR(__xludf.DUMMYFUNCTION("""COMPUTED_VALUE"""),43549.64583333333)</f>
        <v>43549.64583</v>
      </c>
      <c r="B463" s="1">
        <f>IFERROR(__xludf.DUMMYFUNCTION("""COMPUTED_VALUE"""),8500.0)</f>
        <v>8500</v>
      </c>
      <c r="C463" s="1">
        <f>IFERROR(__xludf.DUMMYFUNCTION("""COMPUTED_VALUE"""),8500.0)</f>
        <v>8500</v>
      </c>
      <c r="D463" s="1">
        <f>IFERROR(__xludf.DUMMYFUNCTION("""COMPUTED_VALUE"""),8025.0)</f>
        <v>8025</v>
      </c>
      <c r="E463" s="1">
        <f>IFERROR(__xludf.DUMMYFUNCTION("""COMPUTED_VALUE"""),8025.0)</f>
        <v>8025</v>
      </c>
      <c r="F463" s="1">
        <f>IFERROR(__xludf.DUMMYFUNCTION("""COMPUTED_VALUE"""),98626.0)</f>
        <v>98626</v>
      </c>
    </row>
    <row r="464">
      <c r="A464" s="2">
        <f>IFERROR(__xludf.DUMMYFUNCTION("""COMPUTED_VALUE"""),43550.64583333333)</f>
        <v>43550.64583</v>
      </c>
      <c r="B464" s="1">
        <f>IFERROR(__xludf.DUMMYFUNCTION("""COMPUTED_VALUE"""),8100.0)</f>
        <v>8100</v>
      </c>
      <c r="C464" s="1">
        <f>IFERROR(__xludf.DUMMYFUNCTION("""COMPUTED_VALUE"""),8350.0)</f>
        <v>8350</v>
      </c>
      <c r="D464" s="1">
        <f>IFERROR(__xludf.DUMMYFUNCTION("""COMPUTED_VALUE"""),8050.0)</f>
        <v>8050</v>
      </c>
      <c r="E464" s="1">
        <f>IFERROR(__xludf.DUMMYFUNCTION("""COMPUTED_VALUE"""),8200.0)</f>
        <v>8200</v>
      </c>
      <c r="F464" s="1">
        <f>IFERROR(__xludf.DUMMYFUNCTION("""COMPUTED_VALUE"""),53008.0)</f>
        <v>53008</v>
      </c>
    </row>
    <row r="465">
      <c r="A465" s="2">
        <f>IFERROR(__xludf.DUMMYFUNCTION("""COMPUTED_VALUE"""),43551.64583333333)</f>
        <v>43551.64583</v>
      </c>
      <c r="B465" s="1">
        <f>IFERROR(__xludf.DUMMYFUNCTION("""COMPUTED_VALUE"""),8150.0)</f>
        <v>8150</v>
      </c>
      <c r="C465" s="1">
        <f>IFERROR(__xludf.DUMMYFUNCTION("""COMPUTED_VALUE"""),8350.0)</f>
        <v>8350</v>
      </c>
      <c r="D465" s="1">
        <f>IFERROR(__xludf.DUMMYFUNCTION("""COMPUTED_VALUE"""),8025.0)</f>
        <v>8025</v>
      </c>
      <c r="E465" s="1">
        <f>IFERROR(__xludf.DUMMYFUNCTION("""COMPUTED_VALUE"""),8200.0)</f>
        <v>8200</v>
      </c>
      <c r="F465" s="1">
        <f>IFERROR(__xludf.DUMMYFUNCTION("""COMPUTED_VALUE"""),34483.0)</f>
        <v>34483</v>
      </c>
    </row>
    <row r="466">
      <c r="A466" s="2">
        <f>IFERROR(__xludf.DUMMYFUNCTION("""COMPUTED_VALUE"""),43552.64583333333)</f>
        <v>43552.64583</v>
      </c>
      <c r="B466" s="1">
        <f>IFERROR(__xludf.DUMMYFUNCTION("""COMPUTED_VALUE"""),8175.0)</f>
        <v>8175</v>
      </c>
      <c r="C466" s="1">
        <f>IFERROR(__xludf.DUMMYFUNCTION("""COMPUTED_VALUE"""),8250.0)</f>
        <v>8250</v>
      </c>
      <c r="D466" s="1">
        <f>IFERROR(__xludf.DUMMYFUNCTION("""COMPUTED_VALUE"""),8025.0)</f>
        <v>8025</v>
      </c>
      <c r="E466" s="1">
        <f>IFERROR(__xludf.DUMMYFUNCTION("""COMPUTED_VALUE"""),8025.0)</f>
        <v>8025</v>
      </c>
      <c r="F466" s="1">
        <f>IFERROR(__xludf.DUMMYFUNCTION("""COMPUTED_VALUE"""),24847.0)</f>
        <v>24847</v>
      </c>
    </row>
    <row r="467">
      <c r="A467" s="2">
        <f>IFERROR(__xludf.DUMMYFUNCTION("""COMPUTED_VALUE"""),43553.64583333333)</f>
        <v>43553.64583</v>
      </c>
      <c r="B467" s="1">
        <f>IFERROR(__xludf.DUMMYFUNCTION("""COMPUTED_VALUE"""),8075.0)</f>
        <v>8075</v>
      </c>
      <c r="C467" s="1">
        <f>IFERROR(__xludf.DUMMYFUNCTION("""COMPUTED_VALUE"""),8475.0)</f>
        <v>8475</v>
      </c>
      <c r="D467" s="1">
        <f>IFERROR(__xludf.DUMMYFUNCTION("""COMPUTED_VALUE"""),7900.0)</f>
        <v>7900</v>
      </c>
      <c r="E467" s="1">
        <f>IFERROR(__xludf.DUMMYFUNCTION("""COMPUTED_VALUE"""),8350.0)</f>
        <v>8350</v>
      </c>
      <c r="F467" s="1">
        <f>IFERROR(__xludf.DUMMYFUNCTION("""COMPUTED_VALUE"""),48698.0)</f>
        <v>48698</v>
      </c>
    </row>
    <row r="468">
      <c r="A468" s="2">
        <f>IFERROR(__xludf.DUMMYFUNCTION("""COMPUTED_VALUE"""),43556.64583333333)</f>
        <v>43556.64583</v>
      </c>
      <c r="B468" s="1">
        <f>IFERROR(__xludf.DUMMYFUNCTION("""COMPUTED_VALUE"""),8325.0)</f>
        <v>8325</v>
      </c>
      <c r="C468" s="1">
        <f>IFERROR(__xludf.DUMMYFUNCTION("""COMPUTED_VALUE"""),8550.0)</f>
        <v>8550</v>
      </c>
      <c r="D468" s="1">
        <f>IFERROR(__xludf.DUMMYFUNCTION("""COMPUTED_VALUE"""),8325.0)</f>
        <v>8325</v>
      </c>
      <c r="E468" s="1">
        <f>IFERROR(__xludf.DUMMYFUNCTION("""COMPUTED_VALUE"""),8450.0)</f>
        <v>8450</v>
      </c>
      <c r="F468" s="1">
        <f>IFERROR(__xludf.DUMMYFUNCTION("""COMPUTED_VALUE"""),24452.0)</f>
        <v>24452</v>
      </c>
    </row>
    <row r="469">
      <c r="A469" s="2">
        <f>IFERROR(__xludf.DUMMYFUNCTION("""COMPUTED_VALUE"""),43557.64583333333)</f>
        <v>43557.64583</v>
      </c>
      <c r="B469" s="1">
        <f>IFERROR(__xludf.DUMMYFUNCTION("""COMPUTED_VALUE"""),8375.0)</f>
        <v>8375</v>
      </c>
      <c r="C469" s="1">
        <f>IFERROR(__xludf.DUMMYFUNCTION("""COMPUTED_VALUE"""),8550.0)</f>
        <v>8550</v>
      </c>
      <c r="D469" s="1">
        <f>IFERROR(__xludf.DUMMYFUNCTION("""COMPUTED_VALUE"""),8350.0)</f>
        <v>8350</v>
      </c>
      <c r="E469" s="1">
        <f>IFERROR(__xludf.DUMMYFUNCTION("""COMPUTED_VALUE"""),8550.0)</f>
        <v>8550</v>
      </c>
      <c r="F469" s="1">
        <f>IFERROR(__xludf.DUMMYFUNCTION("""COMPUTED_VALUE"""),20825.0)</f>
        <v>20825</v>
      </c>
    </row>
    <row r="470">
      <c r="A470" s="2">
        <f>IFERROR(__xludf.DUMMYFUNCTION("""COMPUTED_VALUE"""),43558.64583333333)</f>
        <v>43558.64583</v>
      </c>
      <c r="B470" s="1">
        <f>IFERROR(__xludf.DUMMYFUNCTION("""COMPUTED_VALUE"""),8550.0)</f>
        <v>8550</v>
      </c>
      <c r="C470" s="1">
        <f>IFERROR(__xludf.DUMMYFUNCTION("""COMPUTED_VALUE"""),9150.0)</f>
        <v>9150</v>
      </c>
      <c r="D470" s="1">
        <f>IFERROR(__xludf.DUMMYFUNCTION("""COMPUTED_VALUE"""),8500.0)</f>
        <v>8500</v>
      </c>
      <c r="E470" s="1">
        <f>IFERROR(__xludf.DUMMYFUNCTION("""COMPUTED_VALUE"""),9125.0)</f>
        <v>9125</v>
      </c>
      <c r="F470" s="1">
        <f>IFERROR(__xludf.DUMMYFUNCTION("""COMPUTED_VALUE"""),105816.0)</f>
        <v>105816</v>
      </c>
    </row>
    <row r="471">
      <c r="A471" s="2">
        <f>IFERROR(__xludf.DUMMYFUNCTION("""COMPUTED_VALUE"""),43559.64583333333)</f>
        <v>43559.64583</v>
      </c>
      <c r="B471" s="1">
        <f>IFERROR(__xludf.DUMMYFUNCTION("""COMPUTED_VALUE"""),9075.0)</f>
        <v>9075</v>
      </c>
      <c r="C471" s="1">
        <f>IFERROR(__xludf.DUMMYFUNCTION("""COMPUTED_VALUE"""),9500.0)</f>
        <v>9500</v>
      </c>
      <c r="D471" s="1">
        <f>IFERROR(__xludf.DUMMYFUNCTION("""COMPUTED_VALUE"""),9025.0)</f>
        <v>9025</v>
      </c>
      <c r="E471" s="1">
        <f>IFERROR(__xludf.DUMMYFUNCTION("""COMPUTED_VALUE"""),9350.0)</f>
        <v>9350</v>
      </c>
      <c r="F471" s="1">
        <f>IFERROR(__xludf.DUMMYFUNCTION("""COMPUTED_VALUE"""),132416.0)</f>
        <v>132416</v>
      </c>
    </row>
    <row r="472">
      <c r="A472" s="2">
        <f>IFERROR(__xludf.DUMMYFUNCTION("""COMPUTED_VALUE"""),43560.64583333333)</f>
        <v>43560.64583</v>
      </c>
      <c r="B472" s="1">
        <f>IFERROR(__xludf.DUMMYFUNCTION("""COMPUTED_VALUE"""),9425.0)</f>
        <v>9425</v>
      </c>
      <c r="C472" s="1">
        <f>IFERROR(__xludf.DUMMYFUNCTION("""COMPUTED_VALUE"""),10000.0)</f>
        <v>10000</v>
      </c>
      <c r="D472" s="1">
        <f>IFERROR(__xludf.DUMMYFUNCTION("""COMPUTED_VALUE"""),9375.0)</f>
        <v>9375</v>
      </c>
      <c r="E472" s="1">
        <f>IFERROR(__xludf.DUMMYFUNCTION("""COMPUTED_VALUE"""),9950.0)</f>
        <v>9950</v>
      </c>
      <c r="F472" s="1">
        <f>IFERROR(__xludf.DUMMYFUNCTION("""COMPUTED_VALUE"""),187090.0)</f>
        <v>187090</v>
      </c>
    </row>
    <row r="473">
      <c r="A473" s="2">
        <f>IFERROR(__xludf.DUMMYFUNCTION("""COMPUTED_VALUE"""),43563.64583333333)</f>
        <v>43563.64583</v>
      </c>
      <c r="B473" s="1">
        <f>IFERROR(__xludf.DUMMYFUNCTION("""COMPUTED_VALUE"""),9950.0)</f>
        <v>9950</v>
      </c>
      <c r="C473" s="1">
        <f>IFERROR(__xludf.DUMMYFUNCTION("""COMPUTED_VALUE"""),10250.0)</f>
        <v>10250</v>
      </c>
      <c r="D473" s="1">
        <f>IFERROR(__xludf.DUMMYFUNCTION("""COMPUTED_VALUE"""),9725.0)</f>
        <v>9725</v>
      </c>
      <c r="E473" s="1">
        <f>IFERROR(__xludf.DUMMYFUNCTION("""COMPUTED_VALUE"""),9800.0)</f>
        <v>9800</v>
      </c>
      <c r="F473" s="1">
        <f>IFERROR(__xludf.DUMMYFUNCTION("""COMPUTED_VALUE"""),100259.0)</f>
        <v>100259</v>
      </c>
    </row>
    <row r="474">
      <c r="A474" s="2">
        <f>IFERROR(__xludf.DUMMYFUNCTION("""COMPUTED_VALUE"""),43564.64583333333)</f>
        <v>43564.64583</v>
      </c>
      <c r="B474" s="1">
        <f>IFERROR(__xludf.DUMMYFUNCTION("""COMPUTED_VALUE"""),9750.0)</f>
        <v>9750</v>
      </c>
      <c r="C474" s="1">
        <f>IFERROR(__xludf.DUMMYFUNCTION("""COMPUTED_VALUE"""),9850.0)</f>
        <v>9850</v>
      </c>
      <c r="D474" s="1">
        <f>IFERROR(__xludf.DUMMYFUNCTION("""COMPUTED_VALUE"""),9275.0)</f>
        <v>9275</v>
      </c>
      <c r="E474" s="1">
        <f>IFERROR(__xludf.DUMMYFUNCTION("""COMPUTED_VALUE"""),9775.0)</f>
        <v>9775</v>
      </c>
      <c r="F474" s="1">
        <f>IFERROR(__xludf.DUMMYFUNCTION("""COMPUTED_VALUE"""),86742.0)</f>
        <v>86742</v>
      </c>
    </row>
    <row r="475">
      <c r="A475" s="2">
        <f>IFERROR(__xludf.DUMMYFUNCTION("""COMPUTED_VALUE"""),43565.64583333333)</f>
        <v>43565.64583</v>
      </c>
      <c r="B475" s="1">
        <f>IFERROR(__xludf.DUMMYFUNCTION("""COMPUTED_VALUE"""),9775.0)</f>
        <v>9775</v>
      </c>
      <c r="C475" s="1">
        <f>IFERROR(__xludf.DUMMYFUNCTION("""COMPUTED_VALUE"""),9775.0)</f>
        <v>9775</v>
      </c>
      <c r="D475" s="1">
        <f>IFERROR(__xludf.DUMMYFUNCTION("""COMPUTED_VALUE"""),9400.0)</f>
        <v>9400</v>
      </c>
      <c r="E475" s="1">
        <f>IFERROR(__xludf.DUMMYFUNCTION("""COMPUTED_VALUE"""),9750.0)</f>
        <v>9750</v>
      </c>
      <c r="F475" s="1">
        <f>IFERROR(__xludf.DUMMYFUNCTION("""COMPUTED_VALUE"""),38194.0)</f>
        <v>38194</v>
      </c>
    </row>
    <row r="476">
      <c r="A476" s="2">
        <f>IFERROR(__xludf.DUMMYFUNCTION("""COMPUTED_VALUE"""),43566.64583333333)</f>
        <v>43566.64583</v>
      </c>
      <c r="B476" s="1">
        <f>IFERROR(__xludf.DUMMYFUNCTION("""COMPUTED_VALUE"""),9825.0)</f>
        <v>9825</v>
      </c>
      <c r="C476" s="1">
        <f>IFERROR(__xludf.DUMMYFUNCTION("""COMPUTED_VALUE"""),9875.0)</f>
        <v>9875</v>
      </c>
      <c r="D476" s="1">
        <f>IFERROR(__xludf.DUMMYFUNCTION("""COMPUTED_VALUE"""),9525.0)</f>
        <v>9525</v>
      </c>
      <c r="E476" s="1">
        <f>IFERROR(__xludf.DUMMYFUNCTION("""COMPUTED_VALUE"""),9525.0)</f>
        <v>9525</v>
      </c>
      <c r="F476" s="1">
        <f>IFERROR(__xludf.DUMMYFUNCTION("""COMPUTED_VALUE"""),45505.0)</f>
        <v>45505</v>
      </c>
    </row>
    <row r="477">
      <c r="A477" s="2">
        <f>IFERROR(__xludf.DUMMYFUNCTION("""COMPUTED_VALUE"""),43567.64583333333)</f>
        <v>43567.64583</v>
      </c>
      <c r="B477" s="1">
        <f>IFERROR(__xludf.DUMMYFUNCTION("""COMPUTED_VALUE"""),9550.0)</f>
        <v>9550</v>
      </c>
      <c r="C477" s="1">
        <f>IFERROR(__xludf.DUMMYFUNCTION("""COMPUTED_VALUE"""),10100.0)</f>
        <v>10100</v>
      </c>
      <c r="D477" s="1">
        <f>IFERROR(__xludf.DUMMYFUNCTION("""COMPUTED_VALUE"""),9525.0)</f>
        <v>9525</v>
      </c>
      <c r="E477" s="1">
        <f>IFERROR(__xludf.DUMMYFUNCTION("""COMPUTED_VALUE"""),9825.0)</f>
        <v>9825</v>
      </c>
      <c r="F477" s="1">
        <f>IFERROR(__xludf.DUMMYFUNCTION("""COMPUTED_VALUE"""),66710.0)</f>
        <v>66710</v>
      </c>
    </row>
    <row r="478">
      <c r="A478" s="2">
        <f>IFERROR(__xludf.DUMMYFUNCTION("""COMPUTED_VALUE"""),43570.64583333333)</f>
        <v>43570.64583</v>
      </c>
      <c r="B478" s="1">
        <f>IFERROR(__xludf.DUMMYFUNCTION("""COMPUTED_VALUE"""),9875.0)</f>
        <v>9875</v>
      </c>
      <c r="C478" s="1">
        <f>IFERROR(__xludf.DUMMYFUNCTION("""COMPUTED_VALUE"""),9900.0)</f>
        <v>9900</v>
      </c>
      <c r="D478" s="1">
        <f>IFERROR(__xludf.DUMMYFUNCTION("""COMPUTED_VALUE"""),9525.0)</f>
        <v>9525</v>
      </c>
      <c r="E478" s="1">
        <f>IFERROR(__xludf.DUMMYFUNCTION("""COMPUTED_VALUE"""),9625.0)</f>
        <v>9625</v>
      </c>
      <c r="F478" s="1">
        <f>IFERROR(__xludf.DUMMYFUNCTION("""COMPUTED_VALUE"""),30282.0)</f>
        <v>30282</v>
      </c>
    </row>
    <row r="479">
      <c r="A479" s="2">
        <f>IFERROR(__xludf.DUMMYFUNCTION("""COMPUTED_VALUE"""),43571.64583333333)</f>
        <v>43571.64583</v>
      </c>
      <c r="B479" s="1">
        <f>IFERROR(__xludf.DUMMYFUNCTION("""COMPUTED_VALUE"""),9625.0)</f>
        <v>9625</v>
      </c>
      <c r="C479" s="1">
        <f>IFERROR(__xludf.DUMMYFUNCTION("""COMPUTED_VALUE"""),9650.0)</f>
        <v>9650</v>
      </c>
      <c r="D479" s="1">
        <f>IFERROR(__xludf.DUMMYFUNCTION("""COMPUTED_VALUE"""),9250.0)</f>
        <v>9250</v>
      </c>
      <c r="E479" s="1">
        <f>IFERROR(__xludf.DUMMYFUNCTION("""COMPUTED_VALUE"""),9450.0)</f>
        <v>9450</v>
      </c>
      <c r="F479" s="1">
        <f>IFERROR(__xludf.DUMMYFUNCTION("""COMPUTED_VALUE"""),37294.0)</f>
        <v>37294</v>
      </c>
    </row>
    <row r="480">
      <c r="A480" s="2">
        <f>IFERROR(__xludf.DUMMYFUNCTION("""COMPUTED_VALUE"""),43572.64583333333)</f>
        <v>43572.64583</v>
      </c>
      <c r="B480" s="1">
        <f>IFERROR(__xludf.DUMMYFUNCTION("""COMPUTED_VALUE"""),9550.0)</f>
        <v>9550</v>
      </c>
      <c r="C480" s="1">
        <f>IFERROR(__xludf.DUMMYFUNCTION("""COMPUTED_VALUE"""),9650.0)</f>
        <v>9650</v>
      </c>
      <c r="D480" s="1">
        <f>IFERROR(__xludf.DUMMYFUNCTION("""COMPUTED_VALUE"""),9450.0)</f>
        <v>9450</v>
      </c>
      <c r="E480" s="1">
        <f>IFERROR(__xludf.DUMMYFUNCTION("""COMPUTED_VALUE"""),9525.0)</f>
        <v>9525</v>
      </c>
      <c r="F480" s="1">
        <f>IFERROR(__xludf.DUMMYFUNCTION("""COMPUTED_VALUE"""),16801.0)</f>
        <v>16801</v>
      </c>
    </row>
    <row r="481">
      <c r="A481" s="2">
        <f>IFERROR(__xludf.DUMMYFUNCTION("""COMPUTED_VALUE"""),43573.64583333333)</f>
        <v>43573.64583</v>
      </c>
      <c r="B481" s="1">
        <f>IFERROR(__xludf.DUMMYFUNCTION("""COMPUTED_VALUE"""),9700.0)</f>
        <v>9700</v>
      </c>
      <c r="C481" s="1">
        <f>IFERROR(__xludf.DUMMYFUNCTION("""COMPUTED_VALUE"""),9725.0)</f>
        <v>9725</v>
      </c>
      <c r="D481" s="1">
        <f>IFERROR(__xludf.DUMMYFUNCTION("""COMPUTED_VALUE"""),9275.0)</f>
        <v>9275</v>
      </c>
      <c r="E481" s="1">
        <f>IFERROR(__xludf.DUMMYFUNCTION("""COMPUTED_VALUE"""),9350.0)</f>
        <v>9350</v>
      </c>
      <c r="F481" s="1">
        <f>IFERROR(__xludf.DUMMYFUNCTION("""COMPUTED_VALUE"""),62442.0)</f>
        <v>62442</v>
      </c>
    </row>
    <row r="482">
      <c r="A482" s="2">
        <f>IFERROR(__xludf.DUMMYFUNCTION("""COMPUTED_VALUE"""),43574.64583333333)</f>
        <v>43574.64583</v>
      </c>
      <c r="B482" s="1">
        <f>IFERROR(__xludf.DUMMYFUNCTION("""COMPUTED_VALUE"""),9425.0)</f>
        <v>9425</v>
      </c>
      <c r="C482" s="1">
        <f>IFERROR(__xludf.DUMMYFUNCTION("""COMPUTED_VALUE"""),9525.0)</f>
        <v>9525</v>
      </c>
      <c r="D482" s="1">
        <f>IFERROR(__xludf.DUMMYFUNCTION("""COMPUTED_VALUE"""),9300.0)</f>
        <v>9300</v>
      </c>
      <c r="E482" s="1">
        <f>IFERROR(__xludf.DUMMYFUNCTION("""COMPUTED_VALUE"""),9500.0)</f>
        <v>9500</v>
      </c>
      <c r="F482" s="1">
        <f>IFERROR(__xludf.DUMMYFUNCTION("""COMPUTED_VALUE"""),16665.0)</f>
        <v>16665</v>
      </c>
    </row>
    <row r="483">
      <c r="A483" s="2">
        <f>IFERROR(__xludf.DUMMYFUNCTION("""COMPUTED_VALUE"""),43577.64583333333)</f>
        <v>43577.64583</v>
      </c>
      <c r="B483" s="1">
        <f>IFERROR(__xludf.DUMMYFUNCTION("""COMPUTED_VALUE"""),9500.0)</f>
        <v>9500</v>
      </c>
      <c r="C483" s="1">
        <f>IFERROR(__xludf.DUMMYFUNCTION("""COMPUTED_VALUE"""),9550.0)</f>
        <v>9550</v>
      </c>
      <c r="D483" s="1">
        <f>IFERROR(__xludf.DUMMYFUNCTION("""COMPUTED_VALUE"""),9175.0)</f>
        <v>9175</v>
      </c>
      <c r="E483" s="1">
        <f>IFERROR(__xludf.DUMMYFUNCTION("""COMPUTED_VALUE"""),9225.0)</f>
        <v>9225</v>
      </c>
      <c r="F483" s="1">
        <f>IFERROR(__xludf.DUMMYFUNCTION("""COMPUTED_VALUE"""),31627.0)</f>
        <v>31627</v>
      </c>
    </row>
    <row r="484">
      <c r="A484" s="2">
        <f>IFERROR(__xludf.DUMMYFUNCTION("""COMPUTED_VALUE"""),43578.64583333333)</f>
        <v>43578.64583</v>
      </c>
      <c r="B484" s="1">
        <f>IFERROR(__xludf.DUMMYFUNCTION("""COMPUTED_VALUE"""),9325.0)</f>
        <v>9325</v>
      </c>
      <c r="C484" s="1">
        <f>IFERROR(__xludf.DUMMYFUNCTION("""COMPUTED_VALUE"""),9325.0)</f>
        <v>9325</v>
      </c>
      <c r="D484" s="1">
        <f>IFERROR(__xludf.DUMMYFUNCTION("""COMPUTED_VALUE"""),8900.0)</f>
        <v>8900</v>
      </c>
      <c r="E484" s="1">
        <f>IFERROR(__xludf.DUMMYFUNCTION("""COMPUTED_VALUE"""),9075.0)</f>
        <v>9075</v>
      </c>
      <c r="F484" s="1">
        <f>IFERROR(__xludf.DUMMYFUNCTION("""COMPUTED_VALUE"""),37912.0)</f>
        <v>37912</v>
      </c>
    </row>
    <row r="485">
      <c r="A485" s="2">
        <f>IFERROR(__xludf.DUMMYFUNCTION("""COMPUTED_VALUE"""),43579.64583333333)</f>
        <v>43579.64583</v>
      </c>
      <c r="B485" s="1">
        <f>IFERROR(__xludf.DUMMYFUNCTION("""COMPUTED_VALUE"""),9100.0)</f>
        <v>9100</v>
      </c>
      <c r="C485" s="1">
        <f>IFERROR(__xludf.DUMMYFUNCTION("""COMPUTED_VALUE"""),9150.0)</f>
        <v>9150</v>
      </c>
      <c r="D485" s="1">
        <f>IFERROR(__xludf.DUMMYFUNCTION("""COMPUTED_VALUE"""),8700.0)</f>
        <v>8700</v>
      </c>
      <c r="E485" s="1">
        <f>IFERROR(__xludf.DUMMYFUNCTION("""COMPUTED_VALUE"""),8700.0)</f>
        <v>8700</v>
      </c>
      <c r="F485" s="1">
        <f>IFERROR(__xludf.DUMMYFUNCTION("""COMPUTED_VALUE"""),49813.0)</f>
        <v>49813</v>
      </c>
    </row>
    <row r="486">
      <c r="A486" s="2">
        <f>IFERROR(__xludf.DUMMYFUNCTION("""COMPUTED_VALUE"""),43580.64583333333)</f>
        <v>43580.64583</v>
      </c>
      <c r="B486" s="1">
        <f>IFERROR(__xludf.DUMMYFUNCTION("""COMPUTED_VALUE"""),8750.0)</f>
        <v>8750</v>
      </c>
      <c r="C486" s="1">
        <f>IFERROR(__xludf.DUMMYFUNCTION("""COMPUTED_VALUE"""),8925.0)</f>
        <v>8925</v>
      </c>
      <c r="D486" s="1">
        <f>IFERROR(__xludf.DUMMYFUNCTION("""COMPUTED_VALUE"""),8600.0)</f>
        <v>8600</v>
      </c>
      <c r="E486" s="1">
        <f>IFERROR(__xludf.DUMMYFUNCTION("""COMPUTED_VALUE"""),8850.0)</f>
        <v>8850</v>
      </c>
      <c r="F486" s="1">
        <f>IFERROR(__xludf.DUMMYFUNCTION("""COMPUTED_VALUE"""),40694.0)</f>
        <v>40694</v>
      </c>
    </row>
    <row r="487">
      <c r="A487" s="2">
        <f>IFERROR(__xludf.DUMMYFUNCTION("""COMPUTED_VALUE"""),43581.64583333333)</f>
        <v>43581.64583</v>
      </c>
      <c r="B487" s="1">
        <f>IFERROR(__xludf.DUMMYFUNCTION("""COMPUTED_VALUE"""),8750.0)</f>
        <v>8750</v>
      </c>
      <c r="C487" s="1">
        <f>IFERROR(__xludf.DUMMYFUNCTION("""COMPUTED_VALUE"""),8900.0)</f>
        <v>8900</v>
      </c>
      <c r="D487" s="1">
        <f>IFERROR(__xludf.DUMMYFUNCTION("""COMPUTED_VALUE"""),8375.0)</f>
        <v>8375</v>
      </c>
      <c r="E487" s="1">
        <f>IFERROR(__xludf.DUMMYFUNCTION("""COMPUTED_VALUE"""),8625.0)</f>
        <v>8625</v>
      </c>
      <c r="F487" s="1">
        <f>IFERROR(__xludf.DUMMYFUNCTION("""COMPUTED_VALUE"""),43473.0)</f>
        <v>43473</v>
      </c>
    </row>
    <row r="488">
      <c r="A488" s="2">
        <f>IFERROR(__xludf.DUMMYFUNCTION("""COMPUTED_VALUE"""),43584.64583333333)</f>
        <v>43584.64583</v>
      </c>
      <c r="B488" s="1">
        <f>IFERROR(__xludf.DUMMYFUNCTION("""COMPUTED_VALUE"""),8525.0)</f>
        <v>8525</v>
      </c>
      <c r="C488" s="1">
        <f>IFERROR(__xludf.DUMMYFUNCTION("""COMPUTED_VALUE"""),8875.0)</f>
        <v>8875</v>
      </c>
      <c r="D488" s="1">
        <f>IFERROR(__xludf.DUMMYFUNCTION("""COMPUTED_VALUE"""),8525.0)</f>
        <v>8525</v>
      </c>
      <c r="E488" s="1">
        <f>IFERROR(__xludf.DUMMYFUNCTION("""COMPUTED_VALUE"""),8800.0)</f>
        <v>8800</v>
      </c>
      <c r="F488" s="1">
        <f>IFERROR(__xludf.DUMMYFUNCTION("""COMPUTED_VALUE"""),26358.0)</f>
        <v>26358</v>
      </c>
    </row>
    <row r="489">
      <c r="A489" s="2">
        <f>IFERROR(__xludf.DUMMYFUNCTION("""COMPUTED_VALUE"""),43585.64583333333)</f>
        <v>43585.64583</v>
      </c>
      <c r="B489" s="1">
        <f>IFERROR(__xludf.DUMMYFUNCTION("""COMPUTED_VALUE"""),8875.0)</f>
        <v>8875</v>
      </c>
      <c r="C489" s="1">
        <f>IFERROR(__xludf.DUMMYFUNCTION("""COMPUTED_VALUE"""),8875.0)</f>
        <v>8875</v>
      </c>
      <c r="D489" s="1">
        <f>IFERROR(__xludf.DUMMYFUNCTION("""COMPUTED_VALUE"""),8525.0)</f>
        <v>8525</v>
      </c>
      <c r="E489" s="1">
        <f>IFERROR(__xludf.DUMMYFUNCTION("""COMPUTED_VALUE"""),8675.0)</f>
        <v>8675</v>
      </c>
      <c r="F489" s="1">
        <f>IFERROR(__xludf.DUMMYFUNCTION("""COMPUTED_VALUE"""),32100.0)</f>
        <v>32100</v>
      </c>
    </row>
    <row r="490">
      <c r="A490" s="2">
        <f>IFERROR(__xludf.DUMMYFUNCTION("""COMPUTED_VALUE"""),43587.64583333333)</f>
        <v>43587.64583</v>
      </c>
      <c r="B490" s="1">
        <f>IFERROR(__xludf.DUMMYFUNCTION("""COMPUTED_VALUE"""),8700.0)</f>
        <v>8700</v>
      </c>
      <c r="C490" s="1">
        <f>IFERROR(__xludf.DUMMYFUNCTION("""COMPUTED_VALUE"""),9175.0)</f>
        <v>9175</v>
      </c>
      <c r="D490" s="1">
        <f>IFERROR(__xludf.DUMMYFUNCTION("""COMPUTED_VALUE"""),8675.0)</f>
        <v>8675</v>
      </c>
      <c r="E490" s="1">
        <f>IFERROR(__xludf.DUMMYFUNCTION("""COMPUTED_VALUE"""),9075.0)</f>
        <v>9075</v>
      </c>
      <c r="F490" s="1">
        <f>IFERROR(__xludf.DUMMYFUNCTION("""COMPUTED_VALUE"""),43217.0)</f>
        <v>43217</v>
      </c>
    </row>
    <row r="491">
      <c r="A491" s="2">
        <f>IFERROR(__xludf.DUMMYFUNCTION("""COMPUTED_VALUE"""),43588.64583333333)</f>
        <v>43588.64583</v>
      </c>
      <c r="B491" s="1">
        <f>IFERROR(__xludf.DUMMYFUNCTION("""COMPUTED_VALUE"""),9150.0)</f>
        <v>9150</v>
      </c>
      <c r="C491" s="1">
        <f>IFERROR(__xludf.DUMMYFUNCTION("""COMPUTED_VALUE"""),9400.0)</f>
        <v>9400</v>
      </c>
      <c r="D491" s="1">
        <f>IFERROR(__xludf.DUMMYFUNCTION("""COMPUTED_VALUE"""),9025.0)</f>
        <v>9025</v>
      </c>
      <c r="E491" s="1">
        <f>IFERROR(__xludf.DUMMYFUNCTION("""COMPUTED_VALUE"""),9350.0)</f>
        <v>9350</v>
      </c>
      <c r="F491" s="1">
        <f>IFERROR(__xludf.DUMMYFUNCTION("""COMPUTED_VALUE"""),33111.0)</f>
        <v>33111</v>
      </c>
    </row>
    <row r="492">
      <c r="A492" s="2">
        <f>IFERROR(__xludf.DUMMYFUNCTION("""COMPUTED_VALUE"""),43592.64583333333)</f>
        <v>43592.64583</v>
      </c>
      <c r="B492" s="1">
        <f>IFERROR(__xludf.DUMMYFUNCTION("""COMPUTED_VALUE"""),9150.0)</f>
        <v>9150</v>
      </c>
      <c r="C492" s="1">
        <f>IFERROR(__xludf.DUMMYFUNCTION("""COMPUTED_VALUE"""),9425.0)</f>
        <v>9425</v>
      </c>
      <c r="D492" s="1">
        <f>IFERROR(__xludf.DUMMYFUNCTION("""COMPUTED_VALUE"""),9075.0)</f>
        <v>9075</v>
      </c>
      <c r="E492" s="1">
        <f>IFERROR(__xludf.DUMMYFUNCTION("""COMPUTED_VALUE"""),9400.0)</f>
        <v>9400</v>
      </c>
      <c r="F492" s="1">
        <f>IFERROR(__xludf.DUMMYFUNCTION("""COMPUTED_VALUE"""),49059.0)</f>
        <v>49059</v>
      </c>
    </row>
    <row r="493">
      <c r="A493" s="2">
        <f>IFERROR(__xludf.DUMMYFUNCTION("""COMPUTED_VALUE"""),43593.64583333333)</f>
        <v>43593.64583</v>
      </c>
      <c r="B493" s="1">
        <f>IFERROR(__xludf.DUMMYFUNCTION("""COMPUTED_VALUE"""),9450.0)</f>
        <v>9450</v>
      </c>
      <c r="C493" s="1">
        <f>IFERROR(__xludf.DUMMYFUNCTION("""COMPUTED_VALUE"""),9450.0)</f>
        <v>9450</v>
      </c>
      <c r="D493" s="1">
        <f>IFERROR(__xludf.DUMMYFUNCTION("""COMPUTED_VALUE"""),9075.0)</f>
        <v>9075</v>
      </c>
      <c r="E493" s="1">
        <f>IFERROR(__xludf.DUMMYFUNCTION("""COMPUTED_VALUE"""),9250.0)</f>
        <v>9250</v>
      </c>
      <c r="F493" s="1">
        <f>IFERROR(__xludf.DUMMYFUNCTION("""COMPUTED_VALUE"""),35752.0)</f>
        <v>35752</v>
      </c>
    </row>
    <row r="494">
      <c r="A494" s="2">
        <f>IFERROR(__xludf.DUMMYFUNCTION("""COMPUTED_VALUE"""),43594.64583333333)</f>
        <v>43594.64583</v>
      </c>
      <c r="B494" s="1">
        <f>IFERROR(__xludf.DUMMYFUNCTION("""COMPUTED_VALUE"""),9225.0)</f>
        <v>9225</v>
      </c>
      <c r="C494" s="1">
        <f>IFERROR(__xludf.DUMMYFUNCTION("""COMPUTED_VALUE"""),9250.0)</f>
        <v>9250</v>
      </c>
      <c r="D494" s="1">
        <f>IFERROR(__xludf.DUMMYFUNCTION("""COMPUTED_VALUE"""),8700.0)</f>
        <v>8700</v>
      </c>
      <c r="E494" s="1">
        <f>IFERROR(__xludf.DUMMYFUNCTION("""COMPUTED_VALUE"""),9000.0)</f>
        <v>9000</v>
      </c>
      <c r="F494" s="1">
        <f>IFERROR(__xludf.DUMMYFUNCTION("""COMPUTED_VALUE"""),45235.0)</f>
        <v>45235</v>
      </c>
    </row>
    <row r="495">
      <c r="A495" s="2">
        <f>IFERROR(__xludf.DUMMYFUNCTION("""COMPUTED_VALUE"""),43595.64583333333)</f>
        <v>43595.64583</v>
      </c>
      <c r="B495" s="1">
        <f>IFERROR(__xludf.DUMMYFUNCTION("""COMPUTED_VALUE"""),9075.0)</f>
        <v>9075</v>
      </c>
      <c r="C495" s="1">
        <f>IFERROR(__xludf.DUMMYFUNCTION("""COMPUTED_VALUE"""),9175.0)</f>
        <v>9175</v>
      </c>
      <c r="D495" s="1">
        <f>IFERROR(__xludf.DUMMYFUNCTION("""COMPUTED_VALUE"""),8700.0)</f>
        <v>8700</v>
      </c>
      <c r="E495" s="1">
        <f>IFERROR(__xludf.DUMMYFUNCTION("""COMPUTED_VALUE"""),9025.0)</f>
        <v>9025</v>
      </c>
      <c r="F495" s="1">
        <f>IFERROR(__xludf.DUMMYFUNCTION("""COMPUTED_VALUE"""),33350.0)</f>
        <v>33350</v>
      </c>
    </row>
    <row r="496">
      <c r="A496" s="2">
        <f>IFERROR(__xludf.DUMMYFUNCTION("""COMPUTED_VALUE"""),43598.64583333333)</f>
        <v>43598.64583</v>
      </c>
      <c r="B496" s="1">
        <f>IFERROR(__xludf.DUMMYFUNCTION("""COMPUTED_VALUE"""),9025.0)</f>
        <v>9025</v>
      </c>
      <c r="C496" s="1">
        <f>IFERROR(__xludf.DUMMYFUNCTION("""COMPUTED_VALUE"""),9050.0)</f>
        <v>9050</v>
      </c>
      <c r="D496" s="1">
        <f>IFERROR(__xludf.DUMMYFUNCTION("""COMPUTED_VALUE"""),8475.0)</f>
        <v>8475</v>
      </c>
      <c r="E496" s="1">
        <f>IFERROR(__xludf.DUMMYFUNCTION("""COMPUTED_VALUE"""),8475.0)</f>
        <v>8475</v>
      </c>
      <c r="F496" s="1">
        <f>IFERROR(__xludf.DUMMYFUNCTION("""COMPUTED_VALUE"""),38874.0)</f>
        <v>38874</v>
      </c>
    </row>
    <row r="497">
      <c r="A497" s="2">
        <f>IFERROR(__xludf.DUMMYFUNCTION("""COMPUTED_VALUE"""),43599.64583333333)</f>
        <v>43599.64583</v>
      </c>
      <c r="B497" s="1">
        <f>IFERROR(__xludf.DUMMYFUNCTION("""COMPUTED_VALUE"""),8350.0)</f>
        <v>8350</v>
      </c>
      <c r="C497" s="1">
        <f>IFERROR(__xludf.DUMMYFUNCTION("""COMPUTED_VALUE"""),8750.0)</f>
        <v>8750</v>
      </c>
      <c r="D497" s="1">
        <f>IFERROR(__xludf.DUMMYFUNCTION("""COMPUTED_VALUE"""),8275.0)</f>
        <v>8275</v>
      </c>
      <c r="E497" s="1">
        <f>IFERROR(__xludf.DUMMYFUNCTION("""COMPUTED_VALUE"""),8700.0)</f>
        <v>8700</v>
      </c>
      <c r="F497" s="1">
        <f>IFERROR(__xludf.DUMMYFUNCTION("""COMPUTED_VALUE"""),40245.0)</f>
        <v>40245</v>
      </c>
    </row>
    <row r="498">
      <c r="A498" s="2">
        <f>IFERROR(__xludf.DUMMYFUNCTION("""COMPUTED_VALUE"""),43600.64583333333)</f>
        <v>43600.64583</v>
      </c>
      <c r="B498" s="1">
        <f>IFERROR(__xludf.DUMMYFUNCTION("""COMPUTED_VALUE"""),8775.0)</f>
        <v>8775</v>
      </c>
      <c r="C498" s="1">
        <f>IFERROR(__xludf.DUMMYFUNCTION("""COMPUTED_VALUE"""),8800.0)</f>
        <v>8800</v>
      </c>
      <c r="D498" s="1">
        <f>IFERROR(__xludf.DUMMYFUNCTION("""COMPUTED_VALUE"""),8450.0)</f>
        <v>8450</v>
      </c>
      <c r="E498" s="1">
        <f>IFERROR(__xludf.DUMMYFUNCTION("""COMPUTED_VALUE"""),8550.0)</f>
        <v>8550</v>
      </c>
      <c r="F498" s="1">
        <f>IFERROR(__xludf.DUMMYFUNCTION("""COMPUTED_VALUE"""),65385.0)</f>
        <v>65385</v>
      </c>
    </row>
    <row r="499">
      <c r="A499" s="2">
        <f>IFERROR(__xludf.DUMMYFUNCTION("""COMPUTED_VALUE"""),43601.64583333333)</f>
        <v>43601.64583</v>
      </c>
      <c r="B499" s="1">
        <f>IFERROR(__xludf.DUMMYFUNCTION("""COMPUTED_VALUE"""),8625.0)</f>
        <v>8625</v>
      </c>
      <c r="C499" s="1">
        <f>IFERROR(__xludf.DUMMYFUNCTION("""COMPUTED_VALUE"""),8825.0)</f>
        <v>8825</v>
      </c>
      <c r="D499" s="1">
        <f>IFERROR(__xludf.DUMMYFUNCTION("""COMPUTED_VALUE"""),8400.0)</f>
        <v>8400</v>
      </c>
      <c r="E499" s="1">
        <f>IFERROR(__xludf.DUMMYFUNCTION("""COMPUTED_VALUE"""),8425.0)</f>
        <v>8425</v>
      </c>
      <c r="F499" s="1">
        <f>IFERROR(__xludf.DUMMYFUNCTION("""COMPUTED_VALUE"""),48763.0)</f>
        <v>48763</v>
      </c>
    </row>
    <row r="500">
      <c r="A500" s="2">
        <f>IFERROR(__xludf.DUMMYFUNCTION("""COMPUTED_VALUE"""),43602.64583333333)</f>
        <v>43602.64583</v>
      </c>
      <c r="B500" s="1">
        <f>IFERROR(__xludf.DUMMYFUNCTION("""COMPUTED_VALUE"""),8450.0)</f>
        <v>8450</v>
      </c>
      <c r="C500" s="1">
        <f>IFERROR(__xludf.DUMMYFUNCTION("""COMPUTED_VALUE"""),8675.0)</f>
        <v>8675</v>
      </c>
      <c r="D500" s="1">
        <f>IFERROR(__xludf.DUMMYFUNCTION("""COMPUTED_VALUE"""),8275.0)</f>
        <v>8275</v>
      </c>
      <c r="E500" s="1">
        <f>IFERROR(__xludf.DUMMYFUNCTION("""COMPUTED_VALUE"""),8300.0)</f>
        <v>8300</v>
      </c>
      <c r="F500" s="1">
        <f>IFERROR(__xludf.DUMMYFUNCTION("""COMPUTED_VALUE"""),30075.0)</f>
        <v>30075</v>
      </c>
    </row>
    <row r="501">
      <c r="A501" s="2">
        <f>IFERROR(__xludf.DUMMYFUNCTION("""COMPUTED_VALUE"""),43605.64583333333)</f>
        <v>43605.64583</v>
      </c>
      <c r="B501" s="1">
        <f>IFERROR(__xludf.DUMMYFUNCTION("""COMPUTED_VALUE"""),8375.0)</f>
        <v>8375</v>
      </c>
      <c r="C501" s="1">
        <f>IFERROR(__xludf.DUMMYFUNCTION("""COMPUTED_VALUE"""),8400.0)</f>
        <v>8400</v>
      </c>
      <c r="D501" s="1">
        <f>IFERROR(__xludf.DUMMYFUNCTION("""COMPUTED_VALUE"""),8000.0)</f>
        <v>8000</v>
      </c>
      <c r="E501" s="1">
        <f>IFERROR(__xludf.DUMMYFUNCTION("""COMPUTED_VALUE"""),8025.0)</f>
        <v>8025</v>
      </c>
      <c r="F501" s="1">
        <f>IFERROR(__xludf.DUMMYFUNCTION("""COMPUTED_VALUE"""),37823.0)</f>
        <v>37823</v>
      </c>
    </row>
    <row r="502">
      <c r="A502" s="2">
        <f>IFERROR(__xludf.DUMMYFUNCTION("""COMPUTED_VALUE"""),43606.64583333333)</f>
        <v>43606.64583</v>
      </c>
      <c r="B502" s="1">
        <f>IFERROR(__xludf.DUMMYFUNCTION("""COMPUTED_VALUE"""),8025.0)</f>
        <v>8025</v>
      </c>
      <c r="C502" s="1">
        <f>IFERROR(__xludf.DUMMYFUNCTION("""COMPUTED_VALUE"""),8825.0)</f>
        <v>8825</v>
      </c>
      <c r="D502" s="1">
        <f>IFERROR(__xludf.DUMMYFUNCTION("""COMPUTED_VALUE"""),8025.0)</f>
        <v>8025</v>
      </c>
      <c r="E502" s="1">
        <f>IFERROR(__xludf.DUMMYFUNCTION("""COMPUTED_VALUE"""),8725.0)</f>
        <v>8725</v>
      </c>
      <c r="F502" s="1">
        <f>IFERROR(__xludf.DUMMYFUNCTION("""COMPUTED_VALUE"""),68466.0)</f>
        <v>68466</v>
      </c>
    </row>
    <row r="503">
      <c r="A503" s="2">
        <f>IFERROR(__xludf.DUMMYFUNCTION("""COMPUTED_VALUE"""),43607.64583333333)</f>
        <v>43607.64583</v>
      </c>
      <c r="B503" s="1">
        <f>IFERROR(__xludf.DUMMYFUNCTION("""COMPUTED_VALUE"""),8750.0)</f>
        <v>8750</v>
      </c>
      <c r="C503" s="1">
        <f>IFERROR(__xludf.DUMMYFUNCTION("""COMPUTED_VALUE"""),8850.0)</f>
        <v>8850</v>
      </c>
      <c r="D503" s="1">
        <f>IFERROR(__xludf.DUMMYFUNCTION("""COMPUTED_VALUE"""),8575.0)</f>
        <v>8575</v>
      </c>
      <c r="E503" s="1">
        <f>IFERROR(__xludf.DUMMYFUNCTION("""COMPUTED_VALUE"""),8800.0)</f>
        <v>8800</v>
      </c>
      <c r="F503" s="1">
        <f>IFERROR(__xludf.DUMMYFUNCTION("""COMPUTED_VALUE"""),28206.0)</f>
        <v>28206</v>
      </c>
    </row>
    <row r="504">
      <c r="A504" s="2">
        <f>IFERROR(__xludf.DUMMYFUNCTION("""COMPUTED_VALUE"""),43608.64583333333)</f>
        <v>43608.64583</v>
      </c>
      <c r="B504" s="1">
        <f>IFERROR(__xludf.DUMMYFUNCTION("""COMPUTED_VALUE"""),8925.0)</f>
        <v>8925</v>
      </c>
      <c r="C504" s="1">
        <f>IFERROR(__xludf.DUMMYFUNCTION("""COMPUTED_VALUE"""),8925.0)</f>
        <v>8925</v>
      </c>
      <c r="D504" s="1">
        <f>IFERROR(__xludf.DUMMYFUNCTION("""COMPUTED_VALUE"""),8375.0)</f>
        <v>8375</v>
      </c>
      <c r="E504" s="1">
        <f>IFERROR(__xludf.DUMMYFUNCTION("""COMPUTED_VALUE"""),8525.0)</f>
        <v>8525</v>
      </c>
      <c r="F504" s="1">
        <f>IFERROR(__xludf.DUMMYFUNCTION("""COMPUTED_VALUE"""),21858.0)</f>
        <v>21858</v>
      </c>
    </row>
    <row r="505">
      <c r="A505" s="2">
        <f>IFERROR(__xludf.DUMMYFUNCTION("""COMPUTED_VALUE"""),43609.64583333333)</f>
        <v>43609.64583</v>
      </c>
      <c r="B505" s="1">
        <f>IFERROR(__xludf.DUMMYFUNCTION("""COMPUTED_VALUE"""),8500.0)</f>
        <v>8500</v>
      </c>
      <c r="C505" s="1">
        <f>IFERROR(__xludf.DUMMYFUNCTION("""COMPUTED_VALUE"""),8575.0)</f>
        <v>8575</v>
      </c>
      <c r="D505" s="1">
        <f>IFERROR(__xludf.DUMMYFUNCTION("""COMPUTED_VALUE"""),8125.0)</f>
        <v>8125</v>
      </c>
      <c r="E505" s="1">
        <f>IFERROR(__xludf.DUMMYFUNCTION("""COMPUTED_VALUE"""),8400.0)</f>
        <v>8400</v>
      </c>
      <c r="F505" s="1">
        <f>IFERROR(__xludf.DUMMYFUNCTION("""COMPUTED_VALUE"""),28579.0)</f>
        <v>28579</v>
      </c>
    </row>
    <row r="506">
      <c r="A506" s="2">
        <f>IFERROR(__xludf.DUMMYFUNCTION("""COMPUTED_VALUE"""),43612.64583333333)</f>
        <v>43612.64583</v>
      </c>
      <c r="B506" s="1">
        <f>IFERROR(__xludf.DUMMYFUNCTION("""COMPUTED_VALUE"""),8400.0)</f>
        <v>8400</v>
      </c>
      <c r="C506" s="1">
        <f>IFERROR(__xludf.DUMMYFUNCTION("""COMPUTED_VALUE"""),8500.0)</f>
        <v>8500</v>
      </c>
      <c r="D506" s="1">
        <f>IFERROR(__xludf.DUMMYFUNCTION("""COMPUTED_VALUE"""),8150.0)</f>
        <v>8150</v>
      </c>
      <c r="E506" s="1">
        <f>IFERROR(__xludf.DUMMYFUNCTION("""COMPUTED_VALUE"""),8325.0)</f>
        <v>8325</v>
      </c>
      <c r="F506" s="1">
        <f>IFERROR(__xludf.DUMMYFUNCTION("""COMPUTED_VALUE"""),36403.0)</f>
        <v>36403</v>
      </c>
    </row>
    <row r="507">
      <c r="A507" s="2">
        <f>IFERROR(__xludf.DUMMYFUNCTION("""COMPUTED_VALUE"""),43613.64583333333)</f>
        <v>43613.64583</v>
      </c>
      <c r="B507" s="1">
        <f>IFERROR(__xludf.DUMMYFUNCTION("""COMPUTED_VALUE"""),8375.0)</f>
        <v>8375</v>
      </c>
      <c r="C507" s="1">
        <f>IFERROR(__xludf.DUMMYFUNCTION("""COMPUTED_VALUE"""),8400.0)</f>
        <v>8400</v>
      </c>
      <c r="D507" s="1">
        <f>IFERROR(__xludf.DUMMYFUNCTION("""COMPUTED_VALUE"""),8150.0)</f>
        <v>8150</v>
      </c>
      <c r="E507" s="1">
        <f>IFERROR(__xludf.DUMMYFUNCTION("""COMPUTED_VALUE"""),8400.0)</f>
        <v>8400</v>
      </c>
      <c r="F507" s="1">
        <f>IFERROR(__xludf.DUMMYFUNCTION("""COMPUTED_VALUE"""),27195.0)</f>
        <v>27195</v>
      </c>
    </row>
    <row r="508">
      <c r="A508" s="2">
        <f>IFERROR(__xludf.DUMMYFUNCTION("""COMPUTED_VALUE"""),43614.64583333333)</f>
        <v>43614.64583</v>
      </c>
      <c r="B508" s="1">
        <f>IFERROR(__xludf.DUMMYFUNCTION("""COMPUTED_VALUE"""),8250.0)</f>
        <v>8250</v>
      </c>
      <c r="C508" s="1">
        <f>IFERROR(__xludf.DUMMYFUNCTION("""COMPUTED_VALUE"""),8350.0)</f>
        <v>8350</v>
      </c>
      <c r="D508" s="1">
        <f>IFERROR(__xludf.DUMMYFUNCTION("""COMPUTED_VALUE"""),8075.0)</f>
        <v>8075</v>
      </c>
      <c r="E508" s="1">
        <f>IFERROR(__xludf.DUMMYFUNCTION("""COMPUTED_VALUE"""),8125.0)</f>
        <v>8125</v>
      </c>
      <c r="F508" s="1">
        <f>IFERROR(__xludf.DUMMYFUNCTION("""COMPUTED_VALUE"""),31727.0)</f>
        <v>31727</v>
      </c>
    </row>
    <row r="509">
      <c r="A509" s="2">
        <f>IFERROR(__xludf.DUMMYFUNCTION("""COMPUTED_VALUE"""),43615.64583333333)</f>
        <v>43615.64583</v>
      </c>
      <c r="B509" s="1">
        <f>IFERROR(__xludf.DUMMYFUNCTION("""COMPUTED_VALUE"""),8150.0)</f>
        <v>8150</v>
      </c>
      <c r="C509" s="1">
        <f>IFERROR(__xludf.DUMMYFUNCTION("""COMPUTED_VALUE"""),8325.0)</f>
        <v>8325</v>
      </c>
      <c r="D509" s="1">
        <f>IFERROR(__xludf.DUMMYFUNCTION("""COMPUTED_VALUE"""),8075.0)</f>
        <v>8075</v>
      </c>
      <c r="E509" s="1">
        <f>IFERROR(__xludf.DUMMYFUNCTION("""COMPUTED_VALUE"""),8275.0)</f>
        <v>8275</v>
      </c>
      <c r="F509" s="1">
        <f>IFERROR(__xludf.DUMMYFUNCTION("""COMPUTED_VALUE"""),11914.0)</f>
        <v>11914</v>
      </c>
    </row>
    <row r="510">
      <c r="A510" s="2">
        <f>IFERROR(__xludf.DUMMYFUNCTION("""COMPUTED_VALUE"""),43616.64583333333)</f>
        <v>43616.64583</v>
      </c>
      <c r="B510" s="1">
        <f>IFERROR(__xludf.DUMMYFUNCTION("""COMPUTED_VALUE"""),8225.0)</f>
        <v>8225</v>
      </c>
      <c r="C510" s="1">
        <f>IFERROR(__xludf.DUMMYFUNCTION("""COMPUTED_VALUE"""),8325.0)</f>
        <v>8325</v>
      </c>
      <c r="D510" s="1">
        <f>IFERROR(__xludf.DUMMYFUNCTION("""COMPUTED_VALUE"""),8100.0)</f>
        <v>8100</v>
      </c>
      <c r="E510" s="1">
        <f>IFERROR(__xludf.DUMMYFUNCTION("""COMPUTED_VALUE"""),8225.0)</f>
        <v>8225</v>
      </c>
      <c r="F510" s="1">
        <f>IFERROR(__xludf.DUMMYFUNCTION("""COMPUTED_VALUE"""),14086.0)</f>
        <v>14086</v>
      </c>
    </row>
    <row r="511">
      <c r="A511" s="2">
        <f>IFERROR(__xludf.DUMMYFUNCTION("""COMPUTED_VALUE"""),43619.64583333333)</f>
        <v>43619.64583</v>
      </c>
      <c r="B511" s="1">
        <f>IFERROR(__xludf.DUMMYFUNCTION("""COMPUTED_VALUE"""),8225.0)</f>
        <v>8225</v>
      </c>
      <c r="C511" s="1">
        <f>IFERROR(__xludf.DUMMYFUNCTION("""COMPUTED_VALUE"""),8625.0)</f>
        <v>8625</v>
      </c>
      <c r="D511" s="1">
        <f>IFERROR(__xludf.DUMMYFUNCTION("""COMPUTED_VALUE"""),7925.0)</f>
        <v>7925</v>
      </c>
      <c r="E511" s="1">
        <f>IFERROR(__xludf.DUMMYFUNCTION("""COMPUTED_VALUE"""),8450.0)</f>
        <v>8450</v>
      </c>
      <c r="F511" s="1">
        <f>IFERROR(__xludf.DUMMYFUNCTION("""COMPUTED_VALUE"""),28908.0)</f>
        <v>28908</v>
      </c>
    </row>
    <row r="512">
      <c r="A512" s="2">
        <f>IFERROR(__xludf.DUMMYFUNCTION("""COMPUTED_VALUE"""),43620.64583333333)</f>
        <v>43620.64583</v>
      </c>
      <c r="B512" s="1">
        <f>IFERROR(__xludf.DUMMYFUNCTION("""COMPUTED_VALUE"""),8525.0)</f>
        <v>8525</v>
      </c>
      <c r="C512" s="1">
        <f>IFERROR(__xludf.DUMMYFUNCTION("""COMPUTED_VALUE"""),8650.0)</f>
        <v>8650</v>
      </c>
      <c r="D512" s="1">
        <f>IFERROR(__xludf.DUMMYFUNCTION("""COMPUTED_VALUE"""),8325.0)</f>
        <v>8325</v>
      </c>
      <c r="E512" s="1">
        <f>IFERROR(__xludf.DUMMYFUNCTION("""COMPUTED_VALUE"""),8450.0)</f>
        <v>8450</v>
      </c>
      <c r="F512" s="1">
        <f>IFERROR(__xludf.DUMMYFUNCTION("""COMPUTED_VALUE"""),16250.0)</f>
        <v>16250</v>
      </c>
    </row>
    <row r="513">
      <c r="A513" s="2">
        <f>IFERROR(__xludf.DUMMYFUNCTION("""COMPUTED_VALUE"""),43621.64583333333)</f>
        <v>43621.64583</v>
      </c>
      <c r="B513" s="1">
        <f>IFERROR(__xludf.DUMMYFUNCTION("""COMPUTED_VALUE"""),8600.0)</f>
        <v>8600</v>
      </c>
      <c r="C513" s="1">
        <f>IFERROR(__xludf.DUMMYFUNCTION("""COMPUTED_VALUE"""),9375.0)</f>
        <v>9375</v>
      </c>
      <c r="D513" s="1">
        <f>IFERROR(__xludf.DUMMYFUNCTION("""COMPUTED_VALUE"""),8450.0)</f>
        <v>8450</v>
      </c>
      <c r="E513" s="1">
        <f>IFERROR(__xludf.DUMMYFUNCTION("""COMPUTED_VALUE"""),9275.0)</f>
        <v>9275</v>
      </c>
      <c r="F513" s="1">
        <f>IFERROR(__xludf.DUMMYFUNCTION("""COMPUTED_VALUE"""),121726.0)</f>
        <v>121726</v>
      </c>
    </row>
    <row r="514">
      <c r="A514" s="2">
        <f>IFERROR(__xludf.DUMMYFUNCTION("""COMPUTED_VALUE"""),43623.64583333333)</f>
        <v>43623.64583</v>
      </c>
      <c r="B514" s="1">
        <f>IFERROR(__xludf.DUMMYFUNCTION("""COMPUTED_VALUE"""),9225.0)</f>
        <v>9225</v>
      </c>
      <c r="C514" s="1">
        <f>IFERROR(__xludf.DUMMYFUNCTION("""COMPUTED_VALUE"""),9675.0)</f>
        <v>9675</v>
      </c>
      <c r="D514" s="1">
        <f>IFERROR(__xludf.DUMMYFUNCTION("""COMPUTED_VALUE"""),9200.0)</f>
        <v>9200</v>
      </c>
      <c r="E514" s="1">
        <f>IFERROR(__xludf.DUMMYFUNCTION("""COMPUTED_VALUE"""),9675.0)</f>
        <v>9675</v>
      </c>
      <c r="F514" s="1">
        <f>IFERROR(__xludf.DUMMYFUNCTION("""COMPUTED_VALUE"""),152218.0)</f>
        <v>152218</v>
      </c>
    </row>
    <row r="515">
      <c r="A515" s="2">
        <f>IFERROR(__xludf.DUMMYFUNCTION("""COMPUTED_VALUE"""),43626.64583333333)</f>
        <v>43626.64583</v>
      </c>
      <c r="B515" s="1">
        <f>IFERROR(__xludf.DUMMYFUNCTION("""COMPUTED_VALUE"""),9775.0)</f>
        <v>9775</v>
      </c>
      <c r="C515" s="1">
        <f>IFERROR(__xludf.DUMMYFUNCTION("""COMPUTED_VALUE"""),9900.0)</f>
        <v>9900</v>
      </c>
      <c r="D515" s="1">
        <f>IFERROR(__xludf.DUMMYFUNCTION("""COMPUTED_VALUE"""),9575.0)</f>
        <v>9575</v>
      </c>
      <c r="E515" s="1">
        <f>IFERROR(__xludf.DUMMYFUNCTION("""COMPUTED_VALUE"""),9900.0)</f>
        <v>9900</v>
      </c>
      <c r="F515" s="1">
        <f>IFERROR(__xludf.DUMMYFUNCTION("""COMPUTED_VALUE"""),63596.0)</f>
        <v>63596</v>
      </c>
    </row>
    <row r="516">
      <c r="A516" s="2">
        <f>IFERROR(__xludf.DUMMYFUNCTION("""COMPUTED_VALUE"""),43627.64583333333)</f>
        <v>43627.64583</v>
      </c>
      <c r="B516" s="1">
        <f>IFERROR(__xludf.DUMMYFUNCTION("""COMPUTED_VALUE"""),9900.0)</f>
        <v>9900</v>
      </c>
      <c r="C516" s="1">
        <f>IFERROR(__xludf.DUMMYFUNCTION("""COMPUTED_VALUE"""),10050.0)</f>
        <v>10050</v>
      </c>
      <c r="D516" s="1">
        <f>IFERROR(__xludf.DUMMYFUNCTION("""COMPUTED_VALUE"""),9750.0)</f>
        <v>9750</v>
      </c>
      <c r="E516" s="1">
        <f>IFERROR(__xludf.DUMMYFUNCTION("""COMPUTED_VALUE"""),10000.0)</f>
        <v>10000</v>
      </c>
      <c r="F516" s="1">
        <f>IFERROR(__xludf.DUMMYFUNCTION("""COMPUTED_VALUE"""),70269.0)</f>
        <v>70269</v>
      </c>
    </row>
    <row r="517">
      <c r="A517" s="2">
        <f>IFERROR(__xludf.DUMMYFUNCTION("""COMPUTED_VALUE"""),43628.64583333333)</f>
        <v>43628.64583</v>
      </c>
      <c r="B517" s="1">
        <f>IFERROR(__xludf.DUMMYFUNCTION("""COMPUTED_VALUE"""),9850.0)</f>
        <v>9850</v>
      </c>
      <c r="C517" s="1">
        <f>IFERROR(__xludf.DUMMYFUNCTION("""COMPUTED_VALUE"""),11125.0)</f>
        <v>11125</v>
      </c>
      <c r="D517" s="1">
        <f>IFERROR(__xludf.DUMMYFUNCTION("""COMPUTED_VALUE"""),9850.0)</f>
        <v>9850</v>
      </c>
      <c r="E517" s="1">
        <f>IFERROR(__xludf.DUMMYFUNCTION("""COMPUTED_VALUE"""),11050.0)</f>
        <v>11050</v>
      </c>
      <c r="F517" s="1">
        <f>IFERROR(__xludf.DUMMYFUNCTION("""COMPUTED_VALUE"""),347067.0)</f>
        <v>347067</v>
      </c>
    </row>
    <row r="518">
      <c r="A518" s="2">
        <f>IFERROR(__xludf.DUMMYFUNCTION("""COMPUTED_VALUE"""),43629.64583333333)</f>
        <v>43629.64583</v>
      </c>
      <c r="B518" s="1">
        <f>IFERROR(__xludf.DUMMYFUNCTION("""COMPUTED_VALUE"""),11025.0)</f>
        <v>11025</v>
      </c>
      <c r="C518" s="1">
        <f>IFERROR(__xludf.DUMMYFUNCTION("""COMPUTED_VALUE"""),11325.0)</f>
        <v>11325</v>
      </c>
      <c r="D518" s="1">
        <f>IFERROR(__xludf.DUMMYFUNCTION("""COMPUTED_VALUE"""),10875.0)</f>
        <v>10875</v>
      </c>
      <c r="E518" s="1">
        <f>IFERROR(__xludf.DUMMYFUNCTION("""COMPUTED_VALUE"""),11150.0)</f>
        <v>11150</v>
      </c>
      <c r="F518" s="1">
        <f>IFERROR(__xludf.DUMMYFUNCTION("""COMPUTED_VALUE"""),128074.0)</f>
        <v>128074</v>
      </c>
    </row>
    <row r="519">
      <c r="A519" s="2">
        <f>IFERROR(__xludf.DUMMYFUNCTION("""COMPUTED_VALUE"""),43630.64583333333)</f>
        <v>43630.64583</v>
      </c>
      <c r="B519" s="1">
        <f>IFERROR(__xludf.DUMMYFUNCTION("""COMPUTED_VALUE"""),11075.0)</f>
        <v>11075</v>
      </c>
      <c r="C519" s="1">
        <f>IFERROR(__xludf.DUMMYFUNCTION("""COMPUTED_VALUE"""),11075.0)</f>
        <v>11075</v>
      </c>
      <c r="D519" s="1">
        <f>IFERROR(__xludf.DUMMYFUNCTION("""COMPUTED_VALUE"""),10625.0)</f>
        <v>10625</v>
      </c>
      <c r="E519" s="1">
        <f>IFERROR(__xludf.DUMMYFUNCTION("""COMPUTED_VALUE"""),10900.0)</f>
        <v>10900</v>
      </c>
      <c r="F519" s="1">
        <f>IFERROR(__xludf.DUMMYFUNCTION("""COMPUTED_VALUE"""),139271.0)</f>
        <v>139271</v>
      </c>
    </row>
    <row r="520">
      <c r="A520" s="2">
        <f>IFERROR(__xludf.DUMMYFUNCTION("""COMPUTED_VALUE"""),43633.64583333333)</f>
        <v>43633.64583</v>
      </c>
      <c r="B520" s="1">
        <f>IFERROR(__xludf.DUMMYFUNCTION("""COMPUTED_VALUE"""),10725.0)</f>
        <v>10725</v>
      </c>
      <c r="C520" s="1">
        <f>IFERROR(__xludf.DUMMYFUNCTION("""COMPUTED_VALUE"""),11675.0)</f>
        <v>11675</v>
      </c>
      <c r="D520" s="1">
        <f>IFERROR(__xludf.DUMMYFUNCTION("""COMPUTED_VALUE"""),10375.0)</f>
        <v>10375</v>
      </c>
      <c r="E520" s="1">
        <f>IFERROR(__xludf.DUMMYFUNCTION("""COMPUTED_VALUE"""),11650.0)</f>
        <v>11650</v>
      </c>
      <c r="F520" s="1">
        <f>IFERROR(__xludf.DUMMYFUNCTION("""COMPUTED_VALUE"""),174734.0)</f>
        <v>174734</v>
      </c>
    </row>
    <row r="521">
      <c r="A521" s="2">
        <f>IFERROR(__xludf.DUMMYFUNCTION("""COMPUTED_VALUE"""),43634.64583333333)</f>
        <v>43634.64583</v>
      </c>
      <c r="B521" s="1">
        <f>IFERROR(__xludf.DUMMYFUNCTION("""COMPUTED_VALUE"""),11750.0)</f>
        <v>11750</v>
      </c>
      <c r="C521" s="1">
        <f>IFERROR(__xludf.DUMMYFUNCTION("""COMPUTED_VALUE"""),12000.0)</f>
        <v>12000</v>
      </c>
      <c r="D521" s="1">
        <f>IFERROR(__xludf.DUMMYFUNCTION("""COMPUTED_VALUE"""),11300.0)</f>
        <v>11300</v>
      </c>
      <c r="E521" s="1">
        <f>IFERROR(__xludf.DUMMYFUNCTION("""COMPUTED_VALUE"""),11400.0)</f>
        <v>11400</v>
      </c>
      <c r="F521" s="1">
        <f>IFERROR(__xludf.DUMMYFUNCTION("""COMPUTED_VALUE"""),117867.0)</f>
        <v>117867</v>
      </c>
    </row>
    <row r="522">
      <c r="A522" s="2">
        <f>IFERROR(__xludf.DUMMYFUNCTION("""COMPUTED_VALUE"""),43635.64583333333)</f>
        <v>43635.64583</v>
      </c>
      <c r="B522" s="1">
        <f>IFERROR(__xludf.DUMMYFUNCTION("""COMPUTED_VALUE"""),11575.0)</f>
        <v>11575</v>
      </c>
      <c r="C522" s="1">
        <f>IFERROR(__xludf.DUMMYFUNCTION("""COMPUTED_VALUE"""),12250.0)</f>
        <v>12250</v>
      </c>
      <c r="D522" s="1">
        <f>IFERROR(__xludf.DUMMYFUNCTION("""COMPUTED_VALUE"""),11350.0)</f>
        <v>11350</v>
      </c>
      <c r="E522" s="1">
        <f>IFERROR(__xludf.DUMMYFUNCTION("""COMPUTED_VALUE"""),11975.0)</f>
        <v>11975</v>
      </c>
      <c r="F522" s="1">
        <f>IFERROR(__xludf.DUMMYFUNCTION("""COMPUTED_VALUE"""),114499.0)</f>
        <v>114499</v>
      </c>
    </row>
    <row r="523">
      <c r="A523" s="2">
        <f>IFERROR(__xludf.DUMMYFUNCTION("""COMPUTED_VALUE"""),43636.64583333333)</f>
        <v>43636.64583</v>
      </c>
      <c r="B523" s="1">
        <f>IFERROR(__xludf.DUMMYFUNCTION("""COMPUTED_VALUE"""),11975.0)</f>
        <v>11975</v>
      </c>
      <c r="C523" s="1">
        <f>IFERROR(__xludf.DUMMYFUNCTION("""COMPUTED_VALUE"""),12625.0)</f>
        <v>12625</v>
      </c>
      <c r="D523" s="1">
        <f>IFERROR(__xludf.DUMMYFUNCTION("""COMPUTED_VALUE"""),11950.0)</f>
        <v>11950</v>
      </c>
      <c r="E523" s="1">
        <f>IFERROR(__xludf.DUMMYFUNCTION("""COMPUTED_VALUE"""),12400.0)</f>
        <v>12400</v>
      </c>
      <c r="F523" s="1">
        <f>IFERROR(__xludf.DUMMYFUNCTION("""COMPUTED_VALUE"""),92327.0)</f>
        <v>92327</v>
      </c>
    </row>
    <row r="524">
      <c r="A524" s="2">
        <f>IFERROR(__xludf.DUMMYFUNCTION("""COMPUTED_VALUE"""),43637.64583333333)</f>
        <v>43637.64583</v>
      </c>
      <c r="B524" s="1">
        <f>IFERROR(__xludf.DUMMYFUNCTION("""COMPUTED_VALUE"""),12425.0)</f>
        <v>12425</v>
      </c>
      <c r="C524" s="1">
        <f>IFERROR(__xludf.DUMMYFUNCTION("""COMPUTED_VALUE"""),12550.0)</f>
        <v>12550</v>
      </c>
      <c r="D524" s="1">
        <f>IFERROR(__xludf.DUMMYFUNCTION("""COMPUTED_VALUE"""),12250.0)</f>
        <v>12250</v>
      </c>
      <c r="E524" s="1">
        <f>IFERROR(__xludf.DUMMYFUNCTION("""COMPUTED_VALUE"""),12475.0)</f>
        <v>12475</v>
      </c>
      <c r="F524" s="1">
        <f>IFERROR(__xludf.DUMMYFUNCTION("""COMPUTED_VALUE"""),49873.0)</f>
        <v>49873</v>
      </c>
    </row>
    <row r="525">
      <c r="A525" s="2">
        <f>IFERROR(__xludf.DUMMYFUNCTION("""COMPUTED_VALUE"""),43640.64583333333)</f>
        <v>43640.64583</v>
      </c>
      <c r="B525" s="1">
        <f>IFERROR(__xludf.DUMMYFUNCTION("""COMPUTED_VALUE"""),12475.0)</f>
        <v>12475</v>
      </c>
      <c r="C525" s="1">
        <f>IFERROR(__xludf.DUMMYFUNCTION("""COMPUTED_VALUE"""),12650.0)</f>
        <v>12650</v>
      </c>
      <c r="D525" s="1">
        <f>IFERROR(__xludf.DUMMYFUNCTION("""COMPUTED_VALUE"""),12100.0)</f>
        <v>12100</v>
      </c>
      <c r="E525" s="1">
        <f>IFERROR(__xludf.DUMMYFUNCTION("""COMPUTED_VALUE"""),12425.0)</f>
        <v>12425</v>
      </c>
      <c r="F525" s="1">
        <f>IFERROR(__xludf.DUMMYFUNCTION("""COMPUTED_VALUE"""),62330.0)</f>
        <v>62330</v>
      </c>
    </row>
    <row r="526">
      <c r="A526" s="2">
        <f>IFERROR(__xludf.DUMMYFUNCTION("""COMPUTED_VALUE"""),43641.64583333333)</f>
        <v>43641.64583</v>
      </c>
      <c r="B526" s="1">
        <f>IFERROR(__xludf.DUMMYFUNCTION("""COMPUTED_VALUE"""),12325.0)</f>
        <v>12325</v>
      </c>
      <c r="C526" s="1">
        <f>IFERROR(__xludf.DUMMYFUNCTION("""COMPUTED_VALUE"""),12475.0)</f>
        <v>12475</v>
      </c>
      <c r="D526" s="1">
        <f>IFERROR(__xludf.DUMMYFUNCTION("""COMPUTED_VALUE"""),11775.0)</f>
        <v>11775</v>
      </c>
      <c r="E526" s="1">
        <f>IFERROR(__xludf.DUMMYFUNCTION("""COMPUTED_VALUE"""),12250.0)</f>
        <v>12250</v>
      </c>
      <c r="F526" s="1">
        <f>IFERROR(__xludf.DUMMYFUNCTION("""COMPUTED_VALUE"""),98551.0)</f>
        <v>98551</v>
      </c>
    </row>
    <row r="527">
      <c r="A527" s="2">
        <f>IFERROR(__xludf.DUMMYFUNCTION("""COMPUTED_VALUE"""),43642.64583333333)</f>
        <v>43642.64583</v>
      </c>
      <c r="B527" s="1">
        <f>IFERROR(__xludf.DUMMYFUNCTION("""COMPUTED_VALUE"""),12200.0)</f>
        <v>12200</v>
      </c>
      <c r="C527" s="1">
        <f>IFERROR(__xludf.DUMMYFUNCTION("""COMPUTED_VALUE"""),12550.0)</f>
        <v>12550</v>
      </c>
      <c r="D527" s="1">
        <f>IFERROR(__xludf.DUMMYFUNCTION("""COMPUTED_VALUE"""),12150.0)</f>
        <v>12150</v>
      </c>
      <c r="E527" s="1">
        <f>IFERROR(__xludf.DUMMYFUNCTION("""COMPUTED_VALUE"""),12425.0)</f>
        <v>12425</v>
      </c>
      <c r="F527" s="1">
        <f>IFERROR(__xludf.DUMMYFUNCTION("""COMPUTED_VALUE"""),79798.0)</f>
        <v>79798</v>
      </c>
    </row>
    <row r="528">
      <c r="A528" s="2">
        <f>IFERROR(__xludf.DUMMYFUNCTION("""COMPUTED_VALUE"""),43643.64583333333)</f>
        <v>43643.64583</v>
      </c>
      <c r="B528" s="1">
        <f>IFERROR(__xludf.DUMMYFUNCTION("""COMPUTED_VALUE"""),12350.0)</f>
        <v>12350</v>
      </c>
      <c r="C528" s="1">
        <f>IFERROR(__xludf.DUMMYFUNCTION("""COMPUTED_VALUE"""),13000.0)</f>
        <v>13000</v>
      </c>
      <c r="D528" s="1">
        <f>IFERROR(__xludf.DUMMYFUNCTION("""COMPUTED_VALUE"""),12300.0)</f>
        <v>12300</v>
      </c>
      <c r="E528" s="1">
        <f>IFERROR(__xludf.DUMMYFUNCTION("""COMPUTED_VALUE"""),12575.0)</f>
        <v>12575</v>
      </c>
      <c r="F528" s="1">
        <f>IFERROR(__xludf.DUMMYFUNCTION("""COMPUTED_VALUE"""),118675.0)</f>
        <v>118675</v>
      </c>
    </row>
    <row r="529">
      <c r="A529" s="2">
        <f>IFERROR(__xludf.DUMMYFUNCTION("""COMPUTED_VALUE"""),43644.64583333333)</f>
        <v>43644.64583</v>
      </c>
      <c r="B529" s="1">
        <f>IFERROR(__xludf.DUMMYFUNCTION("""COMPUTED_VALUE"""),12575.0)</f>
        <v>12575</v>
      </c>
      <c r="C529" s="1">
        <f>IFERROR(__xludf.DUMMYFUNCTION("""COMPUTED_VALUE"""),12950.0)</f>
        <v>12950</v>
      </c>
      <c r="D529" s="1">
        <f>IFERROR(__xludf.DUMMYFUNCTION("""COMPUTED_VALUE"""),12150.0)</f>
        <v>12150</v>
      </c>
      <c r="E529" s="1">
        <f>IFERROR(__xludf.DUMMYFUNCTION("""COMPUTED_VALUE"""),12650.0)</f>
        <v>12650</v>
      </c>
      <c r="F529" s="1">
        <f>IFERROR(__xludf.DUMMYFUNCTION("""COMPUTED_VALUE"""),99478.0)</f>
        <v>99478</v>
      </c>
    </row>
    <row r="530">
      <c r="A530" s="2">
        <f>IFERROR(__xludf.DUMMYFUNCTION("""COMPUTED_VALUE"""),43647.64583333333)</f>
        <v>43647.64583</v>
      </c>
      <c r="B530" s="1">
        <f>IFERROR(__xludf.DUMMYFUNCTION("""COMPUTED_VALUE"""),12650.0)</f>
        <v>12650</v>
      </c>
      <c r="C530" s="1">
        <f>IFERROR(__xludf.DUMMYFUNCTION("""COMPUTED_VALUE"""),13300.0)</f>
        <v>13300</v>
      </c>
      <c r="D530" s="1">
        <f>IFERROR(__xludf.DUMMYFUNCTION("""COMPUTED_VALUE"""),12225.0)</f>
        <v>12225</v>
      </c>
      <c r="E530" s="1">
        <f>IFERROR(__xludf.DUMMYFUNCTION("""COMPUTED_VALUE"""),12400.0)</f>
        <v>12400</v>
      </c>
      <c r="F530" s="1">
        <f>IFERROR(__xludf.DUMMYFUNCTION("""COMPUTED_VALUE"""),109101.0)</f>
        <v>109101</v>
      </c>
    </row>
    <row r="531">
      <c r="A531" s="2">
        <f>IFERROR(__xludf.DUMMYFUNCTION("""COMPUTED_VALUE"""),43648.64583333333)</f>
        <v>43648.64583</v>
      </c>
      <c r="B531" s="1">
        <f>IFERROR(__xludf.DUMMYFUNCTION("""COMPUTED_VALUE"""),12400.0)</f>
        <v>12400</v>
      </c>
      <c r="C531" s="1">
        <f>IFERROR(__xludf.DUMMYFUNCTION("""COMPUTED_VALUE"""),12950.0)</f>
        <v>12950</v>
      </c>
      <c r="D531" s="1">
        <f>IFERROR(__xludf.DUMMYFUNCTION("""COMPUTED_VALUE"""),12150.0)</f>
        <v>12150</v>
      </c>
      <c r="E531" s="1">
        <f>IFERROR(__xludf.DUMMYFUNCTION("""COMPUTED_VALUE"""),12150.0)</f>
        <v>12150</v>
      </c>
      <c r="F531" s="1">
        <f>IFERROR(__xludf.DUMMYFUNCTION("""COMPUTED_VALUE"""),82716.0)</f>
        <v>82716</v>
      </c>
    </row>
    <row r="532">
      <c r="A532" s="2">
        <f>IFERROR(__xludf.DUMMYFUNCTION("""COMPUTED_VALUE"""),43649.64583333333)</f>
        <v>43649.64583</v>
      </c>
      <c r="B532" s="1">
        <f>IFERROR(__xludf.DUMMYFUNCTION("""COMPUTED_VALUE"""),12075.0)</f>
        <v>12075</v>
      </c>
      <c r="C532" s="1">
        <f>IFERROR(__xludf.DUMMYFUNCTION("""COMPUTED_VALUE"""),12375.0)</f>
        <v>12375</v>
      </c>
      <c r="D532" s="1">
        <f>IFERROR(__xludf.DUMMYFUNCTION("""COMPUTED_VALUE"""),11900.0)</f>
        <v>11900</v>
      </c>
      <c r="E532" s="1">
        <f>IFERROR(__xludf.DUMMYFUNCTION("""COMPUTED_VALUE"""),12250.0)</f>
        <v>12250</v>
      </c>
      <c r="F532" s="1">
        <f>IFERROR(__xludf.DUMMYFUNCTION("""COMPUTED_VALUE"""),67174.0)</f>
        <v>67174</v>
      </c>
    </row>
    <row r="533">
      <c r="A533" s="2">
        <f>IFERROR(__xludf.DUMMYFUNCTION("""COMPUTED_VALUE"""),43650.64583333333)</f>
        <v>43650.64583</v>
      </c>
      <c r="B533" s="1">
        <f>IFERROR(__xludf.DUMMYFUNCTION("""COMPUTED_VALUE"""),12125.0)</f>
        <v>12125</v>
      </c>
      <c r="C533" s="1">
        <f>IFERROR(__xludf.DUMMYFUNCTION("""COMPUTED_VALUE"""),12975.0)</f>
        <v>12975</v>
      </c>
      <c r="D533" s="1">
        <f>IFERROR(__xludf.DUMMYFUNCTION("""COMPUTED_VALUE"""),11850.0)</f>
        <v>11850</v>
      </c>
      <c r="E533" s="1">
        <f>IFERROR(__xludf.DUMMYFUNCTION("""COMPUTED_VALUE"""),12275.0)</f>
        <v>12275</v>
      </c>
      <c r="F533" s="1">
        <f>IFERROR(__xludf.DUMMYFUNCTION("""COMPUTED_VALUE"""),164300.0)</f>
        <v>164300</v>
      </c>
    </row>
    <row r="534">
      <c r="A534" s="2">
        <f>IFERROR(__xludf.DUMMYFUNCTION("""COMPUTED_VALUE"""),43651.64583333333)</f>
        <v>43651.64583</v>
      </c>
      <c r="B534" s="1">
        <f>IFERROR(__xludf.DUMMYFUNCTION("""COMPUTED_VALUE"""),12225.0)</f>
        <v>12225</v>
      </c>
      <c r="C534" s="1">
        <f>IFERROR(__xludf.DUMMYFUNCTION("""COMPUTED_VALUE"""),12850.0)</f>
        <v>12850</v>
      </c>
      <c r="D534" s="1">
        <f>IFERROR(__xludf.DUMMYFUNCTION("""COMPUTED_VALUE"""),12150.0)</f>
        <v>12150</v>
      </c>
      <c r="E534" s="1">
        <f>IFERROR(__xludf.DUMMYFUNCTION("""COMPUTED_VALUE"""),12675.0)</f>
        <v>12675</v>
      </c>
      <c r="F534" s="1">
        <f>IFERROR(__xludf.DUMMYFUNCTION("""COMPUTED_VALUE"""),65724.0)</f>
        <v>65724</v>
      </c>
    </row>
    <row r="535">
      <c r="A535" s="2">
        <f>IFERROR(__xludf.DUMMYFUNCTION("""COMPUTED_VALUE"""),43654.64583333333)</f>
        <v>43654.64583</v>
      </c>
      <c r="B535" s="1">
        <f>IFERROR(__xludf.DUMMYFUNCTION("""COMPUTED_VALUE"""),12725.0)</f>
        <v>12725</v>
      </c>
      <c r="C535" s="1">
        <f>IFERROR(__xludf.DUMMYFUNCTION("""COMPUTED_VALUE"""),13050.0)</f>
        <v>13050</v>
      </c>
      <c r="D535" s="1">
        <f>IFERROR(__xludf.DUMMYFUNCTION("""COMPUTED_VALUE"""),12175.0)</f>
        <v>12175</v>
      </c>
      <c r="E535" s="1">
        <f>IFERROR(__xludf.DUMMYFUNCTION("""COMPUTED_VALUE"""),12400.0)</f>
        <v>12400</v>
      </c>
      <c r="F535" s="1">
        <f>IFERROR(__xludf.DUMMYFUNCTION("""COMPUTED_VALUE"""),81254.0)</f>
        <v>81254</v>
      </c>
    </row>
    <row r="536">
      <c r="A536" s="2">
        <f>IFERROR(__xludf.DUMMYFUNCTION("""COMPUTED_VALUE"""),43655.64583333333)</f>
        <v>43655.64583</v>
      </c>
      <c r="B536" s="1">
        <f>IFERROR(__xludf.DUMMYFUNCTION("""COMPUTED_VALUE"""),12100.0)</f>
        <v>12100</v>
      </c>
      <c r="C536" s="1">
        <f>IFERROR(__xludf.DUMMYFUNCTION("""COMPUTED_VALUE"""),12650.0)</f>
        <v>12650</v>
      </c>
      <c r="D536" s="1">
        <f>IFERROR(__xludf.DUMMYFUNCTION("""COMPUTED_VALUE"""),12100.0)</f>
        <v>12100</v>
      </c>
      <c r="E536" s="1">
        <f>IFERROR(__xludf.DUMMYFUNCTION("""COMPUTED_VALUE"""),12325.0)</f>
        <v>12325</v>
      </c>
      <c r="F536" s="1">
        <f>IFERROR(__xludf.DUMMYFUNCTION("""COMPUTED_VALUE"""),56657.0)</f>
        <v>56657</v>
      </c>
    </row>
    <row r="537">
      <c r="A537" s="2">
        <f>IFERROR(__xludf.DUMMYFUNCTION("""COMPUTED_VALUE"""),43656.64583333333)</f>
        <v>43656.64583</v>
      </c>
      <c r="B537" s="1">
        <f>IFERROR(__xludf.DUMMYFUNCTION("""COMPUTED_VALUE"""),12625.0)</f>
        <v>12625</v>
      </c>
      <c r="C537" s="1">
        <f>IFERROR(__xludf.DUMMYFUNCTION("""COMPUTED_VALUE"""),12625.0)</f>
        <v>12625</v>
      </c>
      <c r="D537" s="1">
        <f>IFERROR(__xludf.DUMMYFUNCTION("""COMPUTED_VALUE"""),12150.0)</f>
        <v>12150</v>
      </c>
      <c r="E537" s="1">
        <f>IFERROR(__xludf.DUMMYFUNCTION("""COMPUTED_VALUE"""),12475.0)</f>
        <v>12475</v>
      </c>
      <c r="F537" s="1">
        <f>IFERROR(__xludf.DUMMYFUNCTION("""COMPUTED_VALUE"""),40985.0)</f>
        <v>40985</v>
      </c>
    </row>
    <row r="538">
      <c r="A538" s="2">
        <f>IFERROR(__xludf.DUMMYFUNCTION("""COMPUTED_VALUE"""),43657.64583333333)</f>
        <v>43657.64583</v>
      </c>
      <c r="B538" s="1">
        <f>IFERROR(__xludf.DUMMYFUNCTION("""COMPUTED_VALUE"""),12525.0)</f>
        <v>12525</v>
      </c>
      <c r="C538" s="1">
        <f>IFERROR(__xludf.DUMMYFUNCTION("""COMPUTED_VALUE"""),12675.0)</f>
        <v>12675</v>
      </c>
      <c r="D538" s="1">
        <f>IFERROR(__xludf.DUMMYFUNCTION("""COMPUTED_VALUE"""),12225.0)</f>
        <v>12225</v>
      </c>
      <c r="E538" s="1">
        <f>IFERROR(__xludf.DUMMYFUNCTION("""COMPUTED_VALUE"""),12325.0)</f>
        <v>12325</v>
      </c>
      <c r="F538" s="1">
        <f>IFERROR(__xludf.DUMMYFUNCTION("""COMPUTED_VALUE"""),40033.0)</f>
        <v>40033</v>
      </c>
    </row>
    <row r="539">
      <c r="A539" s="2">
        <f>IFERROR(__xludf.DUMMYFUNCTION("""COMPUTED_VALUE"""),43658.64583333333)</f>
        <v>43658.64583</v>
      </c>
      <c r="B539" s="1">
        <f>IFERROR(__xludf.DUMMYFUNCTION("""COMPUTED_VALUE"""),12425.0)</f>
        <v>12425</v>
      </c>
      <c r="C539" s="1">
        <f>IFERROR(__xludf.DUMMYFUNCTION("""COMPUTED_VALUE"""),13050.0)</f>
        <v>13050</v>
      </c>
      <c r="D539" s="1">
        <f>IFERROR(__xludf.DUMMYFUNCTION("""COMPUTED_VALUE"""),12125.0)</f>
        <v>12125</v>
      </c>
      <c r="E539" s="1">
        <f>IFERROR(__xludf.DUMMYFUNCTION("""COMPUTED_VALUE"""),13025.0)</f>
        <v>13025</v>
      </c>
      <c r="F539" s="1">
        <f>IFERROR(__xludf.DUMMYFUNCTION("""COMPUTED_VALUE"""),100849.0)</f>
        <v>100849</v>
      </c>
    </row>
    <row r="540">
      <c r="A540" s="2">
        <f>IFERROR(__xludf.DUMMYFUNCTION("""COMPUTED_VALUE"""),43661.64583333333)</f>
        <v>43661.64583</v>
      </c>
      <c r="B540" s="1">
        <f>IFERROR(__xludf.DUMMYFUNCTION("""COMPUTED_VALUE"""),13050.0)</f>
        <v>13050</v>
      </c>
      <c r="C540" s="1">
        <f>IFERROR(__xludf.DUMMYFUNCTION("""COMPUTED_VALUE"""),14700.0)</f>
        <v>14700</v>
      </c>
      <c r="D540" s="1">
        <f>IFERROR(__xludf.DUMMYFUNCTION("""COMPUTED_VALUE"""),13050.0)</f>
        <v>13050</v>
      </c>
      <c r="E540" s="1">
        <f>IFERROR(__xludf.DUMMYFUNCTION("""COMPUTED_VALUE"""),14700.0)</f>
        <v>14700</v>
      </c>
      <c r="F540" s="1">
        <f>IFERROR(__xludf.DUMMYFUNCTION("""COMPUTED_VALUE"""),322493.0)</f>
        <v>322493</v>
      </c>
    </row>
    <row r="541">
      <c r="A541" s="2">
        <f>IFERROR(__xludf.DUMMYFUNCTION("""COMPUTED_VALUE"""),43662.64583333333)</f>
        <v>43662.64583</v>
      </c>
      <c r="B541" s="1">
        <f>IFERROR(__xludf.DUMMYFUNCTION("""COMPUTED_VALUE"""),14475.0)</f>
        <v>14475</v>
      </c>
      <c r="C541" s="1">
        <f>IFERROR(__xludf.DUMMYFUNCTION("""COMPUTED_VALUE"""),15000.0)</f>
        <v>15000</v>
      </c>
      <c r="D541" s="1">
        <f>IFERROR(__xludf.DUMMYFUNCTION("""COMPUTED_VALUE"""),13650.0)</f>
        <v>13650</v>
      </c>
      <c r="E541" s="1">
        <f>IFERROR(__xludf.DUMMYFUNCTION("""COMPUTED_VALUE"""),14450.0)</f>
        <v>14450</v>
      </c>
      <c r="F541" s="1">
        <f>IFERROR(__xludf.DUMMYFUNCTION("""COMPUTED_VALUE"""),250098.0)</f>
        <v>250098</v>
      </c>
    </row>
    <row r="542">
      <c r="A542" s="2">
        <f>IFERROR(__xludf.DUMMYFUNCTION("""COMPUTED_VALUE"""),43663.64583333333)</f>
        <v>43663.64583</v>
      </c>
      <c r="B542" s="1">
        <f>IFERROR(__xludf.DUMMYFUNCTION("""COMPUTED_VALUE"""),14300.0)</f>
        <v>14300</v>
      </c>
      <c r="C542" s="1">
        <f>IFERROR(__xludf.DUMMYFUNCTION("""COMPUTED_VALUE"""),14800.0)</f>
        <v>14800</v>
      </c>
      <c r="D542" s="1">
        <f>IFERROR(__xludf.DUMMYFUNCTION("""COMPUTED_VALUE"""),14000.0)</f>
        <v>14000</v>
      </c>
      <c r="E542" s="1">
        <f>IFERROR(__xludf.DUMMYFUNCTION("""COMPUTED_VALUE"""),14225.0)</f>
        <v>14225</v>
      </c>
      <c r="F542" s="1">
        <f>IFERROR(__xludf.DUMMYFUNCTION("""COMPUTED_VALUE"""),81053.0)</f>
        <v>81053</v>
      </c>
    </row>
    <row r="543">
      <c r="A543" s="2">
        <f>IFERROR(__xludf.DUMMYFUNCTION("""COMPUTED_VALUE"""),43664.64583333333)</f>
        <v>43664.64583</v>
      </c>
      <c r="B543" s="1">
        <f>IFERROR(__xludf.DUMMYFUNCTION("""COMPUTED_VALUE"""),14200.0)</f>
        <v>14200</v>
      </c>
      <c r="C543" s="1">
        <f>IFERROR(__xludf.DUMMYFUNCTION("""COMPUTED_VALUE"""),14800.0)</f>
        <v>14800</v>
      </c>
      <c r="D543" s="1">
        <f>IFERROR(__xludf.DUMMYFUNCTION("""COMPUTED_VALUE"""),13575.0)</f>
        <v>13575</v>
      </c>
      <c r="E543" s="1">
        <f>IFERROR(__xludf.DUMMYFUNCTION("""COMPUTED_VALUE"""),14100.0)</f>
        <v>14100</v>
      </c>
      <c r="F543" s="1">
        <f>IFERROR(__xludf.DUMMYFUNCTION("""COMPUTED_VALUE"""),105602.0)</f>
        <v>105602</v>
      </c>
    </row>
    <row r="544">
      <c r="A544" s="2">
        <f>IFERROR(__xludf.DUMMYFUNCTION("""COMPUTED_VALUE"""),43665.64583333333)</f>
        <v>43665.64583</v>
      </c>
      <c r="B544" s="1">
        <f>IFERROR(__xludf.DUMMYFUNCTION("""COMPUTED_VALUE"""),14125.0)</f>
        <v>14125</v>
      </c>
      <c r="C544" s="1">
        <f>IFERROR(__xludf.DUMMYFUNCTION("""COMPUTED_VALUE"""),14225.0)</f>
        <v>14225</v>
      </c>
      <c r="D544" s="1">
        <f>IFERROR(__xludf.DUMMYFUNCTION("""COMPUTED_VALUE"""),13475.0)</f>
        <v>13475</v>
      </c>
      <c r="E544" s="1">
        <f>IFERROR(__xludf.DUMMYFUNCTION("""COMPUTED_VALUE"""),13900.0)</f>
        <v>13900</v>
      </c>
      <c r="F544" s="1">
        <f>IFERROR(__xludf.DUMMYFUNCTION("""COMPUTED_VALUE"""),69510.0)</f>
        <v>69510</v>
      </c>
    </row>
    <row r="545">
      <c r="A545" s="2">
        <f>IFERROR(__xludf.DUMMYFUNCTION("""COMPUTED_VALUE"""),43668.64583333333)</f>
        <v>43668.64583</v>
      </c>
      <c r="B545" s="1">
        <f>IFERROR(__xludf.DUMMYFUNCTION("""COMPUTED_VALUE"""),13900.0)</f>
        <v>13900</v>
      </c>
      <c r="C545" s="1">
        <f>IFERROR(__xludf.DUMMYFUNCTION("""COMPUTED_VALUE"""),14075.0)</f>
        <v>14075</v>
      </c>
      <c r="D545" s="1">
        <f>IFERROR(__xludf.DUMMYFUNCTION("""COMPUTED_VALUE"""),13575.0)</f>
        <v>13575</v>
      </c>
      <c r="E545" s="1">
        <f>IFERROR(__xludf.DUMMYFUNCTION("""COMPUTED_VALUE"""),14075.0)</f>
        <v>14075</v>
      </c>
      <c r="F545" s="1">
        <f>IFERROR(__xludf.DUMMYFUNCTION("""COMPUTED_VALUE"""),59607.0)</f>
        <v>59607</v>
      </c>
    </row>
    <row r="546">
      <c r="A546" s="2">
        <f>IFERROR(__xludf.DUMMYFUNCTION("""COMPUTED_VALUE"""),43669.64583333333)</f>
        <v>43669.64583</v>
      </c>
      <c r="B546" s="1">
        <f>IFERROR(__xludf.DUMMYFUNCTION("""COMPUTED_VALUE"""),14075.0)</f>
        <v>14075</v>
      </c>
      <c r="C546" s="1">
        <f>IFERROR(__xludf.DUMMYFUNCTION("""COMPUTED_VALUE"""),14575.0)</f>
        <v>14575</v>
      </c>
      <c r="D546" s="1">
        <f>IFERROR(__xludf.DUMMYFUNCTION("""COMPUTED_VALUE"""),13900.0)</f>
        <v>13900</v>
      </c>
      <c r="E546" s="1">
        <f>IFERROR(__xludf.DUMMYFUNCTION("""COMPUTED_VALUE"""),14275.0)</f>
        <v>14275</v>
      </c>
      <c r="F546" s="1">
        <f>IFERROR(__xludf.DUMMYFUNCTION("""COMPUTED_VALUE"""),44756.0)</f>
        <v>44756</v>
      </c>
    </row>
    <row r="547">
      <c r="A547" s="2">
        <f>IFERROR(__xludf.DUMMYFUNCTION("""COMPUTED_VALUE"""),43670.64583333333)</f>
        <v>43670.64583</v>
      </c>
      <c r="B547" s="1">
        <f>IFERROR(__xludf.DUMMYFUNCTION("""COMPUTED_VALUE"""),14100.0)</f>
        <v>14100</v>
      </c>
      <c r="C547" s="1">
        <f>IFERROR(__xludf.DUMMYFUNCTION("""COMPUTED_VALUE"""),14475.0)</f>
        <v>14475</v>
      </c>
      <c r="D547" s="1">
        <f>IFERROR(__xludf.DUMMYFUNCTION("""COMPUTED_VALUE"""),13575.0)</f>
        <v>13575</v>
      </c>
      <c r="E547" s="1">
        <f>IFERROR(__xludf.DUMMYFUNCTION("""COMPUTED_VALUE"""),13750.0)</f>
        <v>13750</v>
      </c>
      <c r="F547" s="1">
        <f>IFERROR(__xludf.DUMMYFUNCTION("""COMPUTED_VALUE"""),51289.0)</f>
        <v>51289</v>
      </c>
    </row>
    <row r="548">
      <c r="A548" s="2">
        <f>IFERROR(__xludf.DUMMYFUNCTION("""COMPUTED_VALUE"""),43671.64583333333)</f>
        <v>43671.64583</v>
      </c>
      <c r="B548" s="1">
        <f>IFERROR(__xludf.DUMMYFUNCTION("""COMPUTED_VALUE"""),13800.0)</f>
        <v>13800</v>
      </c>
      <c r="C548" s="1">
        <f>IFERROR(__xludf.DUMMYFUNCTION("""COMPUTED_VALUE"""),13975.0)</f>
        <v>13975</v>
      </c>
      <c r="D548" s="1">
        <f>IFERROR(__xludf.DUMMYFUNCTION("""COMPUTED_VALUE"""),13225.0)</f>
        <v>13225</v>
      </c>
      <c r="E548" s="1">
        <f>IFERROR(__xludf.DUMMYFUNCTION("""COMPUTED_VALUE"""),13975.0)</f>
        <v>13975</v>
      </c>
      <c r="F548" s="1">
        <f>IFERROR(__xludf.DUMMYFUNCTION("""COMPUTED_VALUE"""),50250.0)</f>
        <v>50250</v>
      </c>
    </row>
    <row r="549">
      <c r="A549" s="2">
        <f>IFERROR(__xludf.DUMMYFUNCTION("""COMPUTED_VALUE"""),43672.64583333333)</f>
        <v>43672.64583</v>
      </c>
      <c r="B549" s="1">
        <f>IFERROR(__xludf.DUMMYFUNCTION("""COMPUTED_VALUE"""),13975.0)</f>
        <v>13975</v>
      </c>
      <c r="C549" s="1">
        <f>IFERROR(__xludf.DUMMYFUNCTION("""COMPUTED_VALUE"""),14000.0)</f>
        <v>14000</v>
      </c>
      <c r="D549" s="1">
        <f>IFERROR(__xludf.DUMMYFUNCTION("""COMPUTED_VALUE"""),13475.0)</f>
        <v>13475</v>
      </c>
      <c r="E549" s="1">
        <f>IFERROR(__xludf.DUMMYFUNCTION("""COMPUTED_VALUE"""),13800.0)</f>
        <v>13800</v>
      </c>
      <c r="F549" s="1">
        <f>IFERROR(__xludf.DUMMYFUNCTION("""COMPUTED_VALUE"""),32613.0)</f>
        <v>32613</v>
      </c>
    </row>
    <row r="550">
      <c r="A550" s="2">
        <f>IFERROR(__xludf.DUMMYFUNCTION("""COMPUTED_VALUE"""),43675.64583333333)</f>
        <v>43675.64583</v>
      </c>
      <c r="B550" s="1">
        <f>IFERROR(__xludf.DUMMYFUNCTION("""COMPUTED_VALUE"""),13525.0)</f>
        <v>13525</v>
      </c>
      <c r="C550" s="1">
        <f>IFERROR(__xludf.DUMMYFUNCTION("""COMPUTED_VALUE"""),13775.0)</f>
        <v>13775</v>
      </c>
      <c r="D550" s="1">
        <f>IFERROR(__xludf.DUMMYFUNCTION("""COMPUTED_VALUE"""),12500.0)</f>
        <v>12500</v>
      </c>
      <c r="E550" s="1">
        <f>IFERROR(__xludf.DUMMYFUNCTION("""COMPUTED_VALUE"""),13075.0)</f>
        <v>13075</v>
      </c>
      <c r="F550" s="1">
        <f>IFERROR(__xludf.DUMMYFUNCTION("""COMPUTED_VALUE"""),83342.0)</f>
        <v>83342</v>
      </c>
    </row>
    <row r="551">
      <c r="A551" s="2">
        <f>IFERROR(__xludf.DUMMYFUNCTION("""COMPUTED_VALUE"""),43676.64583333333)</f>
        <v>43676.64583</v>
      </c>
      <c r="B551" s="1">
        <f>IFERROR(__xludf.DUMMYFUNCTION("""COMPUTED_VALUE"""),13075.0)</f>
        <v>13075</v>
      </c>
      <c r="C551" s="1">
        <f>IFERROR(__xludf.DUMMYFUNCTION("""COMPUTED_VALUE"""),13725.0)</f>
        <v>13725</v>
      </c>
      <c r="D551" s="1">
        <f>IFERROR(__xludf.DUMMYFUNCTION("""COMPUTED_VALUE"""),12525.0)</f>
        <v>12525</v>
      </c>
      <c r="E551" s="1">
        <f>IFERROR(__xludf.DUMMYFUNCTION("""COMPUTED_VALUE"""),13725.0)</f>
        <v>13725</v>
      </c>
      <c r="F551" s="1">
        <f>IFERROR(__xludf.DUMMYFUNCTION("""COMPUTED_VALUE"""),42661.0)</f>
        <v>42661</v>
      </c>
    </row>
    <row r="552">
      <c r="A552" s="2">
        <f>IFERROR(__xludf.DUMMYFUNCTION("""COMPUTED_VALUE"""),43677.64583333333)</f>
        <v>43677.64583</v>
      </c>
      <c r="B552" s="1">
        <f>IFERROR(__xludf.DUMMYFUNCTION("""COMPUTED_VALUE"""),13825.0)</f>
        <v>13825</v>
      </c>
      <c r="C552" s="1">
        <f>IFERROR(__xludf.DUMMYFUNCTION("""COMPUTED_VALUE"""),14000.0)</f>
        <v>14000</v>
      </c>
      <c r="D552" s="1">
        <f>IFERROR(__xludf.DUMMYFUNCTION("""COMPUTED_VALUE"""),13150.0)</f>
        <v>13150</v>
      </c>
      <c r="E552" s="1">
        <f>IFERROR(__xludf.DUMMYFUNCTION("""COMPUTED_VALUE"""),13625.0)</f>
        <v>13625</v>
      </c>
      <c r="F552" s="1">
        <f>IFERROR(__xludf.DUMMYFUNCTION("""COMPUTED_VALUE"""),32362.0)</f>
        <v>32362</v>
      </c>
    </row>
    <row r="553">
      <c r="A553" s="2">
        <f>IFERROR(__xludf.DUMMYFUNCTION("""COMPUTED_VALUE"""),43678.64583333333)</f>
        <v>43678.64583</v>
      </c>
      <c r="B553" s="1">
        <f>IFERROR(__xludf.DUMMYFUNCTION("""COMPUTED_VALUE"""),13750.0)</f>
        <v>13750</v>
      </c>
      <c r="C553" s="1">
        <f>IFERROR(__xludf.DUMMYFUNCTION("""COMPUTED_VALUE"""),13850.0)</f>
        <v>13850</v>
      </c>
      <c r="D553" s="1">
        <f>IFERROR(__xludf.DUMMYFUNCTION("""COMPUTED_VALUE"""),13275.0)</f>
        <v>13275</v>
      </c>
      <c r="E553" s="1">
        <f>IFERROR(__xludf.DUMMYFUNCTION("""COMPUTED_VALUE"""),13275.0)</f>
        <v>13275</v>
      </c>
      <c r="F553" s="1">
        <f>IFERROR(__xludf.DUMMYFUNCTION("""COMPUTED_VALUE"""),27973.0)</f>
        <v>27973</v>
      </c>
    </row>
    <row r="554">
      <c r="A554" s="2">
        <f>IFERROR(__xludf.DUMMYFUNCTION("""COMPUTED_VALUE"""),43679.64583333333)</f>
        <v>43679.64583</v>
      </c>
      <c r="B554" s="1">
        <f>IFERROR(__xludf.DUMMYFUNCTION("""COMPUTED_VALUE"""),13075.0)</f>
        <v>13075</v>
      </c>
      <c r="C554" s="1">
        <f>IFERROR(__xludf.DUMMYFUNCTION("""COMPUTED_VALUE"""),13625.0)</f>
        <v>13625</v>
      </c>
      <c r="D554" s="1">
        <f>IFERROR(__xludf.DUMMYFUNCTION("""COMPUTED_VALUE"""),12775.0)</f>
        <v>12775</v>
      </c>
      <c r="E554" s="1">
        <f>IFERROR(__xludf.DUMMYFUNCTION("""COMPUTED_VALUE"""),13250.0)</f>
        <v>13250</v>
      </c>
      <c r="F554" s="1">
        <f>IFERROR(__xludf.DUMMYFUNCTION("""COMPUTED_VALUE"""),32014.0)</f>
        <v>32014</v>
      </c>
    </row>
    <row r="555">
      <c r="A555" s="2">
        <f>IFERROR(__xludf.DUMMYFUNCTION("""COMPUTED_VALUE"""),43682.64583333333)</f>
        <v>43682.64583</v>
      </c>
      <c r="B555" s="1">
        <f>IFERROR(__xludf.DUMMYFUNCTION("""COMPUTED_VALUE"""),13175.0)</f>
        <v>13175</v>
      </c>
      <c r="C555" s="1">
        <f>IFERROR(__xludf.DUMMYFUNCTION("""COMPUTED_VALUE"""),14375.0)</f>
        <v>14375</v>
      </c>
      <c r="D555" s="1">
        <f>IFERROR(__xludf.DUMMYFUNCTION("""COMPUTED_VALUE"""),13000.0)</f>
        <v>13000</v>
      </c>
      <c r="E555" s="1">
        <f>IFERROR(__xludf.DUMMYFUNCTION("""COMPUTED_VALUE"""),13000.0)</f>
        <v>13000</v>
      </c>
      <c r="F555" s="1">
        <f>IFERROR(__xludf.DUMMYFUNCTION("""COMPUTED_VALUE"""),103800.0)</f>
        <v>103800</v>
      </c>
    </row>
    <row r="556">
      <c r="A556" s="2">
        <f>IFERROR(__xludf.DUMMYFUNCTION("""COMPUTED_VALUE"""),43683.64583333333)</f>
        <v>43683.64583</v>
      </c>
      <c r="B556" s="1">
        <f>IFERROR(__xludf.DUMMYFUNCTION("""COMPUTED_VALUE"""),13000.0)</f>
        <v>13000</v>
      </c>
      <c r="C556" s="1">
        <f>IFERROR(__xludf.DUMMYFUNCTION("""COMPUTED_VALUE"""),13575.0)</f>
        <v>13575</v>
      </c>
      <c r="D556" s="1">
        <f>IFERROR(__xludf.DUMMYFUNCTION("""COMPUTED_VALUE"""),12500.0)</f>
        <v>12500</v>
      </c>
      <c r="E556" s="1">
        <f>IFERROR(__xludf.DUMMYFUNCTION("""COMPUTED_VALUE"""),12675.0)</f>
        <v>12675</v>
      </c>
      <c r="F556" s="1">
        <f>IFERROR(__xludf.DUMMYFUNCTION("""COMPUTED_VALUE"""),95097.0)</f>
        <v>95097</v>
      </c>
    </row>
    <row r="557">
      <c r="A557" s="2">
        <f>IFERROR(__xludf.DUMMYFUNCTION("""COMPUTED_VALUE"""),43684.64583333333)</f>
        <v>43684.64583</v>
      </c>
      <c r="B557" s="1">
        <f>IFERROR(__xludf.DUMMYFUNCTION("""COMPUTED_VALUE"""),12850.0)</f>
        <v>12850</v>
      </c>
      <c r="C557" s="1">
        <f>IFERROR(__xludf.DUMMYFUNCTION("""COMPUTED_VALUE"""),14800.0)</f>
        <v>14800</v>
      </c>
      <c r="D557" s="1">
        <f>IFERROR(__xludf.DUMMYFUNCTION("""COMPUTED_VALUE"""),12850.0)</f>
        <v>12850</v>
      </c>
      <c r="E557" s="1">
        <f>IFERROR(__xludf.DUMMYFUNCTION("""COMPUTED_VALUE"""),14575.0)</f>
        <v>14575</v>
      </c>
      <c r="F557" s="1">
        <f>IFERROR(__xludf.DUMMYFUNCTION("""COMPUTED_VALUE"""),199815.0)</f>
        <v>199815</v>
      </c>
    </row>
    <row r="558">
      <c r="A558" s="2">
        <f>IFERROR(__xludf.DUMMYFUNCTION("""COMPUTED_VALUE"""),43685.64583333333)</f>
        <v>43685.64583</v>
      </c>
      <c r="B558" s="1">
        <f>IFERROR(__xludf.DUMMYFUNCTION("""COMPUTED_VALUE"""),14500.0)</f>
        <v>14500</v>
      </c>
      <c r="C558" s="1">
        <f>IFERROR(__xludf.DUMMYFUNCTION("""COMPUTED_VALUE"""),15450.0)</f>
        <v>15450</v>
      </c>
      <c r="D558" s="1">
        <f>IFERROR(__xludf.DUMMYFUNCTION("""COMPUTED_VALUE"""),14325.0)</f>
        <v>14325</v>
      </c>
      <c r="E558" s="1">
        <f>IFERROR(__xludf.DUMMYFUNCTION("""COMPUTED_VALUE"""),15425.0)</f>
        <v>15425</v>
      </c>
      <c r="F558" s="1">
        <f>IFERROR(__xludf.DUMMYFUNCTION("""COMPUTED_VALUE"""),147774.0)</f>
        <v>147774</v>
      </c>
    </row>
    <row r="559">
      <c r="A559" s="2">
        <f>IFERROR(__xludf.DUMMYFUNCTION("""COMPUTED_VALUE"""),43686.64583333333)</f>
        <v>43686.64583</v>
      </c>
      <c r="B559" s="1">
        <f>IFERROR(__xludf.DUMMYFUNCTION("""COMPUTED_VALUE"""),15425.0)</f>
        <v>15425</v>
      </c>
      <c r="C559" s="1">
        <f>IFERROR(__xludf.DUMMYFUNCTION("""COMPUTED_VALUE"""),15500.0)</f>
        <v>15500</v>
      </c>
      <c r="D559" s="1">
        <f>IFERROR(__xludf.DUMMYFUNCTION("""COMPUTED_VALUE"""),14825.0)</f>
        <v>14825</v>
      </c>
      <c r="E559" s="1">
        <f>IFERROR(__xludf.DUMMYFUNCTION("""COMPUTED_VALUE"""),15450.0)</f>
        <v>15450</v>
      </c>
      <c r="F559" s="1">
        <f>IFERROR(__xludf.DUMMYFUNCTION("""COMPUTED_VALUE"""),93642.0)</f>
        <v>93642</v>
      </c>
    </row>
    <row r="560">
      <c r="A560" s="2">
        <f>IFERROR(__xludf.DUMMYFUNCTION("""COMPUTED_VALUE"""),43689.64583333333)</f>
        <v>43689.64583</v>
      </c>
      <c r="B560" s="1">
        <f>IFERROR(__xludf.DUMMYFUNCTION("""COMPUTED_VALUE"""),15350.0)</f>
        <v>15350</v>
      </c>
      <c r="C560" s="1">
        <f>IFERROR(__xludf.DUMMYFUNCTION("""COMPUTED_VALUE"""),15750.0)</f>
        <v>15750</v>
      </c>
      <c r="D560" s="1">
        <f>IFERROR(__xludf.DUMMYFUNCTION("""COMPUTED_VALUE"""),14925.0)</f>
        <v>14925</v>
      </c>
      <c r="E560" s="1">
        <f>IFERROR(__xludf.DUMMYFUNCTION("""COMPUTED_VALUE"""),15300.0)</f>
        <v>15300</v>
      </c>
      <c r="F560" s="1">
        <f>IFERROR(__xludf.DUMMYFUNCTION("""COMPUTED_VALUE"""),64715.0)</f>
        <v>64715</v>
      </c>
    </row>
    <row r="561">
      <c r="A561" s="2">
        <f>IFERROR(__xludf.DUMMYFUNCTION("""COMPUTED_VALUE"""),43690.64583333333)</f>
        <v>43690.64583</v>
      </c>
      <c r="B561" s="1">
        <f>IFERROR(__xludf.DUMMYFUNCTION("""COMPUTED_VALUE"""),14850.0)</f>
        <v>14850</v>
      </c>
      <c r="C561" s="1">
        <f>IFERROR(__xludf.DUMMYFUNCTION("""COMPUTED_VALUE"""),15700.0)</f>
        <v>15700</v>
      </c>
      <c r="D561" s="1">
        <f>IFERROR(__xludf.DUMMYFUNCTION("""COMPUTED_VALUE"""),14850.0)</f>
        <v>14850</v>
      </c>
      <c r="E561" s="1">
        <f>IFERROR(__xludf.DUMMYFUNCTION("""COMPUTED_VALUE"""),15125.0)</f>
        <v>15125</v>
      </c>
      <c r="F561" s="1">
        <f>IFERROR(__xludf.DUMMYFUNCTION("""COMPUTED_VALUE"""),69988.0)</f>
        <v>69988</v>
      </c>
    </row>
    <row r="562">
      <c r="A562" s="2">
        <f>IFERROR(__xludf.DUMMYFUNCTION("""COMPUTED_VALUE"""),43691.64583333333)</f>
        <v>43691.64583</v>
      </c>
      <c r="B562" s="1">
        <f>IFERROR(__xludf.DUMMYFUNCTION("""COMPUTED_VALUE"""),15300.0)</f>
        <v>15300</v>
      </c>
      <c r="C562" s="1">
        <f>IFERROR(__xludf.DUMMYFUNCTION("""COMPUTED_VALUE"""),15575.0)</f>
        <v>15575</v>
      </c>
      <c r="D562" s="1">
        <f>IFERROR(__xludf.DUMMYFUNCTION("""COMPUTED_VALUE"""),14850.0)</f>
        <v>14850</v>
      </c>
      <c r="E562" s="1">
        <f>IFERROR(__xludf.DUMMYFUNCTION("""COMPUTED_VALUE"""),15375.0)</f>
        <v>15375</v>
      </c>
      <c r="F562" s="1">
        <f>IFERROR(__xludf.DUMMYFUNCTION("""COMPUTED_VALUE"""),43198.0)</f>
        <v>43198</v>
      </c>
    </row>
    <row r="563">
      <c r="A563" s="2">
        <f>IFERROR(__xludf.DUMMYFUNCTION("""COMPUTED_VALUE"""),43693.64583333333)</f>
        <v>43693.64583</v>
      </c>
      <c r="B563" s="1">
        <f>IFERROR(__xludf.DUMMYFUNCTION("""COMPUTED_VALUE"""),15075.0)</f>
        <v>15075</v>
      </c>
      <c r="C563" s="1">
        <f>IFERROR(__xludf.DUMMYFUNCTION("""COMPUTED_VALUE"""),15525.0)</f>
        <v>15525</v>
      </c>
      <c r="D563" s="1">
        <f>IFERROR(__xludf.DUMMYFUNCTION("""COMPUTED_VALUE"""),15050.0)</f>
        <v>15050</v>
      </c>
      <c r="E563" s="1">
        <f>IFERROR(__xludf.DUMMYFUNCTION("""COMPUTED_VALUE"""),15325.0)</f>
        <v>15325</v>
      </c>
      <c r="F563" s="1">
        <f>IFERROR(__xludf.DUMMYFUNCTION("""COMPUTED_VALUE"""),16248.0)</f>
        <v>16248</v>
      </c>
    </row>
    <row r="564">
      <c r="A564" s="2">
        <f>IFERROR(__xludf.DUMMYFUNCTION("""COMPUTED_VALUE"""),43696.64583333333)</f>
        <v>43696.64583</v>
      </c>
      <c r="B564" s="1">
        <f>IFERROR(__xludf.DUMMYFUNCTION("""COMPUTED_VALUE"""),15325.0)</f>
        <v>15325</v>
      </c>
      <c r="C564" s="1">
        <f>IFERROR(__xludf.DUMMYFUNCTION("""COMPUTED_VALUE"""),15350.0)</f>
        <v>15350</v>
      </c>
      <c r="D564" s="1">
        <f>IFERROR(__xludf.DUMMYFUNCTION("""COMPUTED_VALUE"""),14825.0)</f>
        <v>14825</v>
      </c>
      <c r="E564" s="1">
        <f>IFERROR(__xludf.DUMMYFUNCTION("""COMPUTED_VALUE"""),15225.0)</f>
        <v>15225</v>
      </c>
      <c r="F564" s="1">
        <f>IFERROR(__xludf.DUMMYFUNCTION("""COMPUTED_VALUE"""),26125.0)</f>
        <v>26125</v>
      </c>
    </row>
    <row r="565">
      <c r="A565" s="2">
        <f>IFERROR(__xludf.DUMMYFUNCTION("""COMPUTED_VALUE"""),43697.64583333333)</f>
        <v>43697.64583</v>
      </c>
      <c r="B565" s="1">
        <f>IFERROR(__xludf.DUMMYFUNCTION("""COMPUTED_VALUE"""),15150.0)</f>
        <v>15150</v>
      </c>
      <c r="C565" s="1">
        <f>IFERROR(__xludf.DUMMYFUNCTION("""COMPUTED_VALUE"""),15475.0)</f>
        <v>15475</v>
      </c>
      <c r="D565" s="1">
        <f>IFERROR(__xludf.DUMMYFUNCTION("""COMPUTED_VALUE"""),15075.0)</f>
        <v>15075</v>
      </c>
      <c r="E565" s="1">
        <f>IFERROR(__xludf.DUMMYFUNCTION("""COMPUTED_VALUE"""),15250.0)</f>
        <v>15250</v>
      </c>
      <c r="F565" s="1">
        <f>IFERROR(__xludf.DUMMYFUNCTION("""COMPUTED_VALUE"""),26139.0)</f>
        <v>26139</v>
      </c>
    </row>
    <row r="566">
      <c r="A566" s="2">
        <f>IFERROR(__xludf.DUMMYFUNCTION("""COMPUTED_VALUE"""),43698.64583333333)</f>
        <v>43698.64583</v>
      </c>
      <c r="B566" s="1">
        <f>IFERROR(__xludf.DUMMYFUNCTION("""COMPUTED_VALUE"""),15400.0)</f>
        <v>15400</v>
      </c>
      <c r="C566" s="1">
        <f>IFERROR(__xludf.DUMMYFUNCTION("""COMPUTED_VALUE"""),16650.0)</f>
        <v>16650</v>
      </c>
      <c r="D566" s="1">
        <f>IFERROR(__xludf.DUMMYFUNCTION("""COMPUTED_VALUE"""),15275.0)</f>
        <v>15275</v>
      </c>
      <c r="E566" s="1">
        <f>IFERROR(__xludf.DUMMYFUNCTION("""COMPUTED_VALUE"""),15350.0)</f>
        <v>15350</v>
      </c>
      <c r="F566" s="1">
        <f>IFERROR(__xludf.DUMMYFUNCTION("""COMPUTED_VALUE"""),101899.0)</f>
        <v>101899</v>
      </c>
    </row>
    <row r="567">
      <c r="A567" s="2">
        <f>IFERROR(__xludf.DUMMYFUNCTION("""COMPUTED_VALUE"""),43699.64583333333)</f>
        <v>43699.64583</v>
      </c>
      <c r="B567" s="1">
        <f>IFERROR(__xludf.DUMMYFUNCTION("""COMPUTED_VALUE"""),15600.0)</f>
        <v>15600</v>
      </c>
      <c r="C567" s="1">
        <f>IFERROR(__xludf.DUMMYFUNCTION("""COMPUTED_VALUE"""),16000.0)</f>
        <v>16000</v>
      </c>
      <c r="D567" s="1">
        <f>IFERROR(__xludf.DUMMYFUNCTION("""COMPUTED_VALUE"""),14700.0)</f>
        <v>14700</v>
      </c>
      <c r="E567" s="1">
        <f>IFERROR(__xludf.DUMMYFUNCTION("""COMPUTED_VALUE"""),16000.0)</f>
        <v>16000</v>
      </c>
      <c r="F567" s="1">
        <f>IFERROR(__xludf.DUMMYFUNCTION("""COMPUTED_VALUE"""),89776.0)</f>
        <v>89776</v>
      </c>
    </row>
    <row r="568">
      <c r="A568" s="2">
        <f>IFERROR(__xludf.DUMMYFUNCTION("""COMPUTED_VALUE"""),43700.64583333333)</f>
        <v>43700.64583</v>
      </c>
      <c r="B568" s="1">
        <f>IFERROR(__xludf.DUMMYFUNCTION("""COMPUTED_VALUE"""),16000.0)</f>
        <v>16000</v>
      </c>
      <c r="C568" s="1">
        <f>IFERROR(__xludf.DUMMYFUNCTION("""COMPUTED_VALUE"""),17125.0)</f>
        <v>17125</v>
      </c>
      <c r="D568" s="1">
        <f>IFERROR(__xludf.DUMMYFUNCTION("""COMPUTED_VALUE"""),15800.0)</f>
        <v>15800</v>
      </c>
      <c r="E568" s="1">
        <f>IFERROR(__xludf.DUMMYFUNCTION("""COMPUTED_VALUE"""),16075.0)</f>
        <v>16075</v>
      </c>
      <c r="F568" s="1">
        <f>IFERROR(__xludf.DUMMYFUNCTION("""COMPUTED_VALUE"""),195175.0)</f>
        <v>195175</v>
      </c>
    </row>
    <row r="569">
      <c r="A569" s="2">
        <f>IFERROR(__xludf.DUMMYFUNCTION("""COMPUTED_VALUE"""),43703.64583333333)</f>
        <v>43703.64583</v>
      </c>
      <c r="B569" s="1">
        <f>IFERROR(__xludf.DUMMYFUNCTION("""COMPUTED_VALUE"""),15750.0)</f>
        <v>15750</v>
      </c>
      <c r="C569" s="1">
        <f>IFERROR(__xludf.DUMMYFUNCTION("""COMPUTED_VALUE"""),16400.0)</f>
        <v>16400</v>
      </c>
      <c r="D569" s="1">
        <f>IFERROR(__xludf.DUMMYFUNCTION("""COMPUTED_VALUE"""),15500.0)</f>
        <v>15500</v>
      </c>
      <c r="E569" s="1">
        <f>IFERROR(__xludf.DUMMYFUNCTION("""COMPUTED_VALUE"""),15800.0)</f>
        <v>15800</v>
      </c>
      <c r="F569" s="1">
        <f>IFERROR(__xludf.DUMMYFUNCTION("""COMPUTED_VALUE"""),70241.0)</f>
        <v>70241</v>
      </c>
    </row>
    <row r="570">
      <c r="A570" s="2">
        <f>IFERROR(__xludf.DUMMYFUNCTION("""COMPUTED_VALUE"""),43704.64583333333)</f>
        <v>43704.64583</v>
      </c>
      <c r="B570" s="1">
        <f>IFERROR(__xludf.DUMMYFUNCTION("""COMPUTED_VALUE"""),15900.0)</f>
        <v>15900</v>
      </c>
      <c r="C570" s="1">
        <f>IFERROR(__xludf.DUMMYFUNCTION("""COMPUTED_VALUE"""),16300.0)</f>
        <v>16300</v>
      </c>
      <c r="D570" s="1">
        <f>IFERROR(__xludf.DUMMYFUNCTION("""COMPUTED_VALUE"""),15700.0)</f>
        <v>15700</v>
      </c>
      <c r="E570" s="1">
        <f>IFERROR(__xludf.DUMMYFUNCTION("""COMPUTED_VALUE"""),15975.0)</f>
        <v>15975</v>
      </c>
      <c r="F570" s="1">
        <f>IFERROR(__xludf.DUMMYFUNCTION("""COMPUTED_VALUE"""),25775.0)</f>
        <v>25775</v>
      </c>
    </row>
    <row r="571">
      <c r="A571" s="2">
        <f>IFERROR(__xludf.DUMMYFUNCTION("""COMPUTED_VALUE"""),43705.64583333333)</f>
        <v>43705.64583</v>
      </c>
      <c r="B571" s="1">
        <f>IFERROR(__xludf.DUMMYFUNCTION("""COMPUTED_VALUE"""),15825.0)</f>
        <v>15825</v>
      </c>
      <c r="C571" s="1">
        <f>IFERROR(__xludf.DUMMYFUNCTION("""COMPUTED_VALUE"""),16125.0)</f>
        <v>16125</v>
      </c>
      <c r="D571" s="1">
        <f>IFERROR(__xludf.DUMMYFUNCTION("""COMPUTED_VALUE"""),15175.0)</f>
        <v>15175</v>
      </c>
      <c r="E571" s="1">
        <f>IFERROR(__xludf.DUMMYFUNCTION("""COMPUTED_VALUE"""),15600.0)</f>
        <v>15600</v>
      </c>
      <c r="F571" s="1">
        <f>IFERROR(__xludf.DUMMYFUNCTION("""COMPUTED_VALUE"""),48761.0)</f>
        <v>48761</v>
      </c>
    </row>
    <row r="572">
      <c r="A572" s="2">
        <f>IFERROR(__xludf.DUMMYFUNCTION("""COMPUTED_VALUE"""),43706.64583333333)</f>
        <v>43706.64583</v>
      </c>
      <c r="B572" s="1">
        <f>IFERROR(__xludf.DUMMYFUNCTION("""COMPUTED_VALUE"""),15750.0)</f>
        <v>15750</v>
      </c>
      <c r="C572" s="1">
        <f>IFERROR(__xludf.DUMMYFUNCTION("""COMPUTED_VALUE"""),15750.0)</f>
        <v>15750</v>
      </c>
      <c r="D572" s="1">
        <f>IFERROR(__xludf.DUMMYFUNCTION("""COMPUTED_VALUE"""),15050.0)</f>
        <v>15050</v>
      </c>
      <c r="E572" s="1">
        <f>IFERROR(__xludf.DUMMYFUNCTION("""COMPUTED_VALUE"""),15350.0)</f>
        <v>15350</v>
      </c>
      <c r="F572" s="1">
        <f>IFERROR(__xludf.DUMMYFUNCTION("""COMPUTED_VALUE"""),26034.0)</f>
        <v>26034</v>
      </c>
    </row>
    <row r="573">
      <c r="A573" s="2">
        <f>IFERROR(__xludf.DUMMYFUNCTION("""COMPUTED_VALUE"""),43707.64583333333)</f>
        <v>43707.64583</v>
      </c>
      <c r="B573" s="1">
        <f>IFERROR(__xludf.DUMMYFUNCTION("""COMPUTED_VALUE"""),15600.0)</f>
        <v>15600</v>
      </c>
      <c r="C573" s="1">
        <f>IFERROR(__xludf.DUMMYFUNCTION("""COMPUTED_VALUE"""),15600.0)</f>
        <v>15600</v>
      </c>
      <c r="D573" s="1">
        <f>IFERROR(__xludf.DUMMYFUNCTION("""COMPUTED_VALUE"""),15050.0)</f>
        <v>15050</v>
      </c>
      <c r="E573" s="1">
        <f>IFERROR(__xludf.DUMMYFUNCTION("""COMPUTED_VALUE"""),15450.0)</f>
        <v>15450</v>
      </c>
      <c r="F573" s="1">
        <f>IFERROR(__xludf.DUMMYFUNCTION("""COMPUTED_VALUE"""),26352.0)</f>
        <v>26352</v>
      </c>
    </row>
    <row r="574">
      <c r="A574" s="2">
        <f>IFERROR(__xludf.DUMMYFUNCTION("""COMPUTED_VALUE"""),43710.64583333333)</f>
        <v>43710.64583</v>
      </c>
      <c r="B574" s="1">
        <f>IFERROR(__xludf.DUMMYFUNCTION("""COMPUTED_VALUE"""),15425.0)</f>
        <v>15425</v>
      </c>
      <c r="C574" s="1">
        <f>IFERROR(__xludf.DUMMYFUNCTION("""COMPUTED_VALUE"""),15750.0)</f>
        <v>15750</v>
      </c>
      <c r="D574" s="1">
        <f>IFERROR(__xludf.DUMMYFUNCTION("""COMPUTED_VALUE"""),14975.0)</f>
        <v>14975</v>
      </c>
      <c r="E574" s="1">
        <f>IFERROR(__xludf.DUMMYFUNCTION("""COMPUTED_VALUE"""),15350.0)</f>
        <v>15350</v>
      </c>
      <c r="F574" s="1">
        <f>IFERROR(__xludf.DUMMYFUNCTION("""COMPUTED_VALUE"""),43376.0)</f>
        <v>43376</v>
      </c>
    </row>
    <row r="575">
      <c r="A575" s="2">
        <f>IFERROR(__xludf.DUMMYFUNCTION("""COMPUTED_VALUE"""),43711.64583333333)</f>
        <v>43711.64583</v>
      </c>
      <c r="B575" s="1">
        <f>IFERROR(__xludf.DUMMYFUNCTION("""COMPUTED_VALUE"""),15400.0)</f>
        <v>15400</v>
      </c>
      <c r="C575" s="1">
        <f>IFERROR(__xludf.DUMMYFUNCTION("""COMPUTED_VALUE"""),15650.0)</f>
        <v>15650</v>
      </c>
      <c r="D575" s="1">
        <f>IFERROR(__xludf.DUMMYFUNCTION("""COMPUTED_VALUE"""),15125.0)</f>
        <v>15125</v>
      </c>
      <c r="E575" s="1">
        <f>IFERROR(__xludf.DUMMYFUNCTION("""COMPUTED_VALUE"""),15650.0)</f>
        <v>15650</v>
      </c>
      <c r="F575" s="1">
        <f>IFERROR(__xludf.DUMMYFUNCTION("""COMPUTED_VALUE"""),23006.0)</f>
        <v>23006</v>
      </c>
    </row>
    <row r="576">
      <c r="A576" s="2">
        <f>IFERROR(__xludf.DUMMYFUNCTION("""COMPUTED_VALUE"""),43712.64583333333)</f>
        <v>43712.64583</v>
      </c>
      <c r="B576" s="1">
        <f>IFERROR(__xludf.DUMMYFUNCTION("""COMPUTED_VALUE"""),15675.0)</f>
        <v>15675</v>
      </c>
      <c r="C576" s="1">
        <f>IFERROR(__xludf.DUMMYFUNCTION("""COMPUTED_VALUE"""),16000.0)</f>
        <v>16000</v>
      </c>
      <c r="D576" s="1">
        <f>IFERROR(__xludf.DUMMYFUNCTION("""COMPUTED_VALUE"""),15400.0)</f>
        <v>15400</v>
      </c>
      <c r="E576" s="1">
        <f>IFERROR(__xludf.DUMMYFUNCTION("""COMPUTED_VALUE"""),15900.0)</f>
        <v>15900</v>
      </c>
      <c r="F576" s="1">
        <f>IFERROR(__xludf.DUMMYFUNCTION("""COMPUTED_VALUE"""),35863.0)</f>
        <v>35863</v>
      </c>
    </row>
    <row r="577">
      <c r="A577" s="2">
        <f>IFERROR(__xludf.DUMMYFUNCTION("""COMPUTED_VALUE"""),43713.64583333333)</f>
        <v>43713.64583</v>
      </c>
      <c r="B577" s="1">
        <f>IFERROR(__xludf.DUMMYFUNCTION("""COMPUTED_VALUE"""),15925.0)</f>
        <v>15925</v>
      </c>
      <c r="C577" s="1">
        <f>IFERROR(__xludf.DUMMYFUNCTION("""COMPUTED_VALUE"""),16100.0)</f>
        <v>16100</v>
      </c>
      <c r="D577" s="1">
        <f>IFERROR(__xludf.DUMMYFUNCTION("""COMPUTED_VALUE"""),15175.0)</f>
        <v>15175</v>
      </c>
      <c r="E577" s="1">
        <f>IFERROR(__xludf.DUMMYFUNCTION("""COMPUTED_VALUE"""),15175.0)</f>
        <v>15175</v>
      </c>
      <c r="F577" s="1">
        <f>IFERROR(__xludf.DUMMYFUNCTION("""COMPUTED_VALUE"""),61445.0)</f>
        <v>61445</v>
      </c>
    </row>
    <row r="578">
      <c r="A578" s="2">
        <f>IFERROR(__xludf.DUMMYFUNCTION("""COMPUTED_VALUE"""),43714.64583333333)</f>
        <v>43714.64583</v>
      </c>
      <c r="B578" s="1">
        <f>IFERROR(__xludf.DUMMYFUNCTION("""COMPUTED_VALUE"""),15325.0)</f>
        <v>15325</v>
      </c>
      <c r="C578" s="1">
        <f>IFERROR(__xludf.DUMMYFUNCTION("""COMPUTED_VALUE"""),15400.0)</f>
        <v>15400</v>
      </c>
      <c r="D578" s="1">
        <f>IFERROR(__xludf.DUMMYFUNCTION("""COMPUTED_VALUE"""),14975.0)</f>
        <v>14975</v>
      </c>
      <c r="E578" s="1">
        <f>IFERROR(__xludf.DUMMYFUNCTION("""COMPUTED_VALUE"""),15075.0)</f>
        <v>15075</v>
      </c>
      <c r="F578" s="1">
        <f>IFERROR(__xludf.DUMMYFUNCTION("""COMPUTED_VALUE"""),55266.0)</f>
        <v>55266</v>
      </c>
    </row>
    <row r="579">
      <c r="A579" s="2">
        <f>IFERROR(__xludf.DUMMYFUNCTION("""COMPUTED_VALUE"""),43717.64583333333)</f>
        <v>43717.64583</v>
      </c>
      <c r="B579" s="1">
        <f>IFERROR(__xludf.DUMMYFUNCTION("""COMPUTED_VALUE"""),15050.0)</f>
        <v>15050</v>
      </c>
      <c r="C579" s="1">
        <f>IFERROR(__xludf.DUMMYFUNCTION("""COMPUTED_VALUE"""),15350.0)</f>
        <v>15350</v>
      </c>
      <c r="D579" s="1">
        <f>IFERROR(__xludf.DUMMYFUNCTION("""COMPUTED_VALUE"""),14975.0)</f>
        <v>14975</v>
      </c>
      <c r="E579" s="1">
        <f>IFERROR(__xludf.DUMMYFUNCTION("""COMPUTED_VALUE"""),15075.0)</f>
        <v>15075</v>
      </c>
      <c r="F579" s="1">
        <f>IFERROR(__xludf.DUMMYFUNCTION("""COMPUTED_VALUE"""),47781.0)</f>
        <v>47781</v>
      </c>
    </row>
    <row r="580">
      <c r="A580" s="2">
        <f>IFERROR(__xludf.DUMMYFUNCTION("""COMPUTED_VALUE"""),43718.64583333333)</f>
        <v>43718.64583</v>
      </c>
      <c r="B580" s="1">
        <f>IFERROR(__xludf.DUMMYFUNCTION("""COMPUTED_VALUE"""),15075.0)</f>
        <v>15075</v>
      </c>
      <c r="C580" s="1">
        <f>IFERROR(__xludf.DUMMYFUNCTION("""COMPUTED_VALUE"""),15800.0)</f>
        <v>15800</v>
      </c>
      <c r="D580" s="1">
        <f>IFERROR(__xludf.DUMMYFUNCTION("""COMPUTED_VALUE"""),15075.0)</f>
        <v>15075</v>
      </c>
      <c r="E580" s="1">
        <f>IFERROR(__xludf.DUMMYFUNCTION("""COMPUTED_VALUE"""),15800.0)</f>
        <v>15800</v>
      </c>
      <c r="F580" s="1">
        <f>IFERROR(__xludf.DUMMYFUNCTION("""COMPUTED_VALUE"""),65349.0)</f>
        <v>65349</v>
      </c>
    </row>
    <row r="581">
      <c r="A581" s="2">
        <f>IFERROR(__xludf.DUMMYFUNCTION("""COMPUTED_VALUE"""),43719.64583333333)</f>
        <v>43719.64583</v>
      </c>
      <c r="B581" s="1">
        <f>IFERROR(__xludf.DUMMYFUNCTION("""COMPUTED_VALUE"""),15850.0)</f>
        <v>15850</v>
      </c>
      <c r="C581" s="1">
        <f>IFERROR(__xludf.DUMMYFUNCTION("""COMPUTED_VALUE"""),16975.0)</f>
        <v>16975</v>
      </c>
      <c r="D581" s="1">
        <f>IFERROR(__xludf.DUMMYFUNCTION("""COMPUTED_VALUE"""),15600.0)</f>
        <v>15600</v>
      </c>
      <c r="E581" s="1">
        <f>IFERROR(__xludf.DUMMYFUNCTION("""COMPUTED_VALUE"""),16475.0)</f>
        <v>16475</v>
      </c>
      <c r="F581" s="1">
        <f>IFERROR(__xludf.DUMMYFUNCTION("""COMPUTED_VALUE"""),104899.0)</f>
        <v>104899</v>
      </c>
    </row>
    <row r="582">
      <c r="A582" s="2">
        <f>IFERROR(__xludf.DUMMYFUNCTION("""COMPUTED_VALUE"""),43724.64583333333)</f>
        <v>43724.64583</v>
      </c>
      <c r="B582" s="1">
        <f>IFERROR(__xludf.DUMMYFUNCTION("""COMPUTED_VALUE"""),16350.0)</f>
        <v>16350</v>
      </c>
      <c r="C582" s="1">
        <f>IFERROR(__xludf.DUMMYFUNCTION("""COMPUTED_VALUE"""),16700.0)</f>
        <v>16700</v>
      </c>
      <c r="D582" s="1">
        <f>IFERROR(__xludf.DUMMYFUNCTION("""COMPUTED_VALUE"""),15900.0)</f>
        <v>15900</v>
      </c>
      <c r="E582" s="1">
        <f>IFERROR(__xludf.DUMMYFUNCTION("""COMPUTED_VALUE"""),16600.0)</f>
        <v>16600</v>
      </c>
      <c r="F582" s="1">
        <f>IFERROR(__xludf.DUMMYFUNCTION("""COMPUTED_VALUE"""),46569.0)</f>
        <v>46569</v>
      </c>
    </row>
    <row r="583">
      <c r="A583" s="2">
        <f>IFERROR(__xludf.DUMMYFUNCTION("""COMPUTED_VALUE"""),43725.64583333333)</f>
        <v>43725.64583</v>
      </c>
      <c r="B583" s="1">
        <f>IFERROR(__xludf.DUMMYFUNCTION("""COMPUTED_VALUE"""),16450.0)</f>
        <v>16450</v>
      </c>
      <c r="C583" s="1">
        <f>IFERROR(__xludf.DUMMYFUNCTION("""COMPUTED_VALUE"""),16625.0)</f>
        <v>16625</v>
      </c>
      <c r="D583" s="1">
        <f>IFERROR(__xludf.DUMMYFUNCTION("""COMPUTED_VALUE"""),16275.0)</f>
        <v>16275</v>
      </c>
      <c r="E583" s="1">
        <f>IFERROR(__xludf.DUMMYFUNCTION("""COMPUTED_VALUE"""),16450.0)</f>
        <v>16450</v>
      </c>
      <c r="F583" s="1">
        <f>IFERROR(__xludf.DUMMYFUNCTION("""COMPUTED_VALUE"""),15366.0)</f>
        <v>15366</v>
      </c>
    </row>
    <row r="584">
      <c r="A584" s="2">
        <f>IFERROR(__xludf.DUMMYFUNCTION("""COMPUTED_VALUE"""),43726.64583333333)</f>
        <v>43726.64583</v>
      </c>
      <c r="B584" s="1">
        <f>IFERROR(__xludf.DUMMYFUNCTION("""COMPUTED_VALUE"""),16500.0)</f>
        <v>16500</v>
      </c>
      <c r="C584" s="1">
        <f>IFERROR(__xludf.DUMMYFUNCTION("""COMPUTED_VALUE"""),16675.0)</f>
        <v>16675</v>
      </c>
      <c r="D584" s="1">
        <f>IFERROR(__xludf.DUMMYFUNCTION("""COMPUTED_VALUE"""),16050.0)</f>
        <v>16050</v>
      </c>
      <c r="E584" s="1">
        <f>IFERROR(__xludf.DUMMYFUNCTION("""COMPUTED_VALUE"""),16625.0)</f>
        <v>16625</v>
      </c>
      <c r="F584" s="1">
        <f>IFERROR(__xludf.DUMMYFUNCTION("""COMPUTED_VALUE"""),26348.0)</f>
        <v>26348</v>
      </c>
    </row>
    <row r="585">
      <c r="A585" s="2">
        <f>IFERROR(__xludf.DUMMYFUNCTION("""COMPUTED_VALUE"""),43727.64583333333)</f>
        <v>43727.64583</v>
      </c>
      <c r="B585" s="1">
        <f>IFERROR(__xludf.DUMMYFUNCTION("""COMPUTED_VALUE"""),16625.0)</f>
        <v>16625</v>
      </c>
      <c r="C585" s="1">
        <f>IFERROR(__xludf.DUMMYFUNCTION("""COMPUTED_VALUE"""),16725.0)</f>
        <v>16725</v>
      </c>
      <c r="D585" s="1">
        <f>IFERROR(__xludf.DUMMYFUNCTION("""COMPUTED_VALUE"""),16425.0)</f>
        <v>16425</v>
      </c>
      <c r="E585" s="1">
        <f>IFERROR(__xludf.DUMMYFUNCTION("""COMPUTED_VALUE"""),16650.0)</f>
        <v>16650</v>
      </c>
      <c r="F585" s="1">
        <f>IFERROR(__xludf.DUMMYFUNCTION("""COMPUTED_VALUE"""),15238.0)</f>
        <v>15238</v>
      </c>
    </row>
    <row r="586">
      <c r="A586" s="2">
        <f>IFERROR(__xludf.DUMMYFUNCTION("""COMPUTED_VALUE"""),43728.64583333333)</f>
        <v>43728.64583</v>
      </c>
      <c r="B586" s="1">
        <f>IFERROR(__xludf.DUMMYFUNCTION("""COMPUTED_VALUE"""),16650.0)</f>
        <v>16650</v>
      </c>
      <c r="C586" s="1">
        <f>IFERROR(__xludf.DUMMYFUNCTION("""COMPUTED_VALUE"""),16700.0)</f>
        <v>16700</v>
      </c>
      <c r="D586" s="1">
        <f>IFERROR(__xludf.DUMMYFUNCTION("""COMPUTED_VALUE"""),16300.0)</f>
        <v>16300</v>
      </c>
      <c r="E586" s="1">
        <f>IFERROR(__xludf.DUMMYFUNCTION("""COMPUTED_VALUE"""),16375.0)</f>
        <v>16375</v>
      </c>
      <c r="F586" s="1">
        <f>IFERROR(__xludf.DUMMYFUNCTION("""COMPUTED_VALUE"""),16301.0)</f>
        <v>16301</v>
      </c>
    </row>
    <row r="587">
      <c r="A587" s="2">
        <f>IFERROR(__xludf.DUMMYFUNCTION("""COMPUTED_VALUE"""),43731.64583333333)</f>
        <v>43731.64583</v>
      </c>
      <c r="B587" s="1">
        <f>IFERROR(__xludf.DUMMYFUNCTION("""COMPUTED_VALUE"""),16375.0)</f>
        <v>16375</v>
      </c>
      <c r="C587" s="1">
        <f>IFERROR(__xludf.DUMMYFUNCTION("""COMPUTED_VALUE"""),16475.0)</f>
        <v>16475</v>
      </c>
      <c r="D587" s="1">
        <f>IFERROR(__xludf.DUMMYFUNCTION("""COMPUTED_VALUE"""),15725.0)</f>
        <v>15725</v>
      </c>
      <c r="E587" s="1">
        <f>IFERROR(__xludf.DUMMYFUNCTION("""COMPUTED_VALUE"""),15775.0)</f>
        <v>15775</v>
      </c>
      <c r="F587" s="1">
        <f>IFERROR(__xludf.DUMMYFUNCTION("""COMPUTED_VALUE"""),31147.0)</f>
        <v>31147</v>
      </c>
    </row>
    <row r="588">
      <c r="A588" s="2">
        <f>IFERROR(__xludf.DUMMYFUNCTION("""COMPUTED_VALUE"""),43732.64583333333)</f>
        <v>43732.64583</v>
      </c>
      <c r="B588" s="1">
        <f>IFERROR(__xludf.DUMMYFUNCTION("""COMPUTED_VALUE"""),15875.0)</f>
        <v>15875</v>
      </c>
      <c r="C588" s="1">
        <f>IFERROR(__xludf.DUMMYFUNCTION("""COMPUTED_VALUE"""),16225.0)</f>
        <v>16225</v>
      </c>
      <c r="D588" s="1">
        <f>IFERROR(__xludf.DUMMYFUNCTION("""COMPUTED_VALUE"""),15550.0)</f>
        <v>15550</v>
      </c>
      <c r="E588" s="1">
        <f>IFERROR(__xludf.DUMMYFUNCTION("""COMPUTED_VALUE"""),15700.0)</f>
        <v>15700</v>
      </c>
      <c r="F588" s="1">
        <f>IFERROR(__xludf.DUMMYFUNCTION("""COMPUTED_VALUE"""),30656.0)</f>
        <v>30656</v>
      </c>
    </row>
    <row r="589">
      <c r="A589" s="2">
        <f>IFERROR(__xludf.DUMMYFUNCTION("""COMPUTED_VALUE"""),43733.64583333333)</f>
        <v>43733.64583</v>
      </c>
      <c r="B589" s="1">
        <f>IFERROR(__xludf.DUMMYFUNCTION("""COMPUTED_VALUE"""),15700.0)</f>
        <v>15700</v>
      </c>
      <c r="C589" s="1">
        <f>IFERROR(__xludf.DUMMYFUNCTION("""COMPUTED_VALUE"""),15900.0)</f>
        <v>15900</v>
      </c>
      <c r="D589" s="1">
        <f>IFERROR(__xludf.DUMMYFUNCTION("""COMPUTED_VALUE"""),15150.0)</f>
        <v>15150</v>
      </c>
      <c r="E589" s="1">
        <f>IFERROR(__xludf.DUMMYFUNCTION("""COMPUTED_VALUE"""),15900.0)</f>
        <v>15900</v>
      </c>
      <c r="F589" s="1">
        <f>IFERROR(__xludf.DUMMYFUNCTION("""COMPUTED_VALUE"""),50970.0)</f>
        <v>50970</v>
      </c>
    </row>
    <row r="590">
      <c r="A590" s="2">
        <f>IFERROR(__xludf.DUMMYFUNCTION("""COMPUTED_VALUE"""),43734.64583333333)</f>
        <v>43734.64583</v>
      </c>
      <c r="B590" s="1">
        <f>IFERROR(__xludf.DUMMYFUNCTION("""COMPUTED_VALUE"""),15900.0)</f>
        <v>15900</v>
      </c>
      <c r="C590" s="1">
        <f>IFERROR(__xludf.DUMMYFUNCTION("""COMPUTED_VALUE"""),15900.0)</f>
        <v>15900</v>
      </c>
      <c r="D590" s="1">
        <f>IFERROR(__xludf.DUMMYFUNCTION("""COMPUTED_VALUE"""),14650.0)</f>
        <v>14650</v>
      </c>
      <c r="E590" s="1">
        <f>IFERROR(__xludf.DUMMYFUNCTION("""COMPUTED_VALUE"""),15000.0)</f>
        <v>15000</v>
      </c>
      <c r="F590" s="1">
        <f>IFERROR(__xludf.DUMMYFUNCTION("""COMPUTED_VALUE"""),103646.0)</f>
        <v>103646</v>
      </c>
    </row>
    <row r="591">
      <c r="A591" s="2">
        <f>IFERROR(__xludf.DUMMYFUNCTION("""COMPUTED_VALUE"""),43735.64583333333)</f>
        <v>43735.64583</v>
      </c>
      <c r="B591" s="1">
        <f>IFERROR(__xludf.DUMMYFUNCTION("""COMPUTED_VALUE"""),15050.0)</f>
        <v>15050</v>
      </c>
      <c r="C591" s="1">
        <f>IFERROR(__xludf.DUMMYFUNCTION("""COMPUTED_VALUE"""),15275.0)</f>
        <v>15275</v>
      </c>
      <c r="D591" s="1">
        <f>IFERROR(__xludf.DUMMYFUNCTION("""COMPUTED_VALUE"""),14650.0)</f>
        <v>14650</v>
      </c>
      <c r="E591" s="1">
        <f>IFERROR(__xludf.DUMMYFUNCTION("""COMPUTED_VALUE"""),14675.0)</f>
        <v>14675</v>
      </c>
      <c r="F591" s="1">
        <f>IFERROR(__xludf.DUMMYFUNCTION("""COMPUTED_VALUE"""),47395.0)</f>
        <v>47395</v>
      </c>
    </row>
    <row r="592">
      <c r="A592" s="2">
        <f>IFERROR(__xludf.DUMMYFUNCTION("""COMPUTED_VALUE"""),43738.64583333333)</f>
        <v>43738.64583</v>
      </c>
      <c r="B592" s="1">
        <f>IFERROR(__xludf.DUMMYFUNCTION("""COMPUTED_VALUE"""),14900.0)</f>
        <v>14900</v>
      </c>
      <c r="C592" s="1">
        <f>IFERROR(__xludf.DUMMYFUNCTION("""COMPUTED_VALUE"""),15175.0)</f>
        <v>15175</v>
      </c>
      <c r="D592" s="1">
        <f>IFERROR(__xludf.DUMMYFUNCTION("""COMPUTED_VALUE"""),14300.0)</f>
        <v>14300</v>
      </c>
      <c r="E592" s="1">
        <f>IFERROR(__xludf.DUMMYFUNCTION("""COMPUTED_VALUE"""),15150.0)</f>
        <v>15150</v>
      </c>
      <c r="F592" s="1">
        <f>IFERROR(__xludf.DUMMYFUNCTION("""COMPUTED_VALUE"""),45594.0)</f>
        <v>45594</v>
      </c>
    </row>
    <row r="593">
      <c r="A593" s="2">
        <f>IFERROR(__xludf.DUMMYFUNCTION("""COMPUTED_VALUE"""),43739.64583333333)</f>
        <v>43739.64583</v>
      </c>
      <c r="B593" s="1">
        <f>IFERROR(__xludf.DUMMYFUNCTION("""COMPUTED_VALUE"""),15400.0)</f>
        <v>15400</v>
      </c>
      <c r="C593" s="1">
        <f>IFERROR(__xludf.DUMMYFUNCTION("""COMPUTED_VALUE"""),15400.0)</f>
        <v>15400</v>
      </c>
      <c r="D593" s="1">
        <f>IFERROR(__xludf.DUMMYFUNCTION("""COMPUTED_VALUE"""),14700.0)</f>
        <v>14700</v>
      </c>
      <c r="E593" s="1">
        <f>IFERROR(__xludf.DUMMYFUNCTION("""COMPUTED_VALUE"""),15025.0)</f>
        <v>15025</v>
      </c>
      <c r="F593" s="1">
        <f>IFERROR(__xludf.DUMMYFUNCTION("""COMPUTED_VALUE"""),28986.0)</f>
        <v>28986</v>
      </c>
    </row>
    <row r="594">
      <c r="A594" s="2">
        <f>IFERROR(__xludf.DUMMYFUNCTION("""COMPUTED_VALUE"""),43740.64583333333)</f>
        <v>43740.64583</v>
      </c>
      <c r="B594" s="1">
        <f>IFERROR(__xludf.DUMMYFUNCTION("""COMPUTED_VALUE"""),15025.0)</f>
        <v>15025</v>
      </c>
      <c r="C594" s="1">
        <f>IFERROR(__xludf.DUMMYFUNCTION("""COMPUTED_VALUE"""),15200.0)</f>
        <v>15200</v>
      </c>
      <c r="D594" s="1">
        <f>IFERROR(__xludf.DUMMYFUNCTION("""COMPUTED_VALUE"""),14775.0)</f>
        <v>14775</v>
      </c>
      <c r="E594" s="1">
        <f>IFERROR(__xludf.DUMMYFUNCTION("""COMPUTED_VALUE"""),14850.0)</f>
        <v>14850</v>
      </c>
      <c r="F594" s="1">
        <f>IFERROR(__xludf.DUMMYFUNCTION("""COMPUTED_VALUE"""),14233.0)</f>
        <v>14233</v>
      </c>
    </row>
    <row r="595">
      <c r="A595" s="2">
        <f>IFERROR(__xludf.DUMMYFUNCTION("""COMPUTED_VALUE"""),43742.64583333333)</f>
        <v>43742.64583</v>
      </c>
      <c r="B595" s="1">
        <f>IFERROR(__xludf.DUMMYFUNCTION("""COMPUTED_VALUE"""),14725.0)</f>
        <v>14725</v>
      </c>
      <c r="C595" s="1">
        <f>IFERROR(__xludf.DUMMYFUNCTION("""COMPUTED_VALUE"""),15025.0)</f>
        <v>15025</v>
      </c>
      <c r="D595" s="1">
        <f>IFERROR(__xludf.DUMMYFUNCTION("""COMPUTED_VALUE"""),14600.0)</f>
        <v>14600</v>
      </c>
      <c r="E595" s="1">
        <f>IFERROR(__xludf.DUMMYFUNCTION("""COMPUTED_VALUE"""),14950.0)</f>
        <v>14950</v>
      </c>
      <c r="F595" s="1">
        <f>IFERROR(__xludf.DUMMYFUNCTION("""COMPUTED_VALUE"""),24445.0)</f>
        <v>24445</v>
      </c>
    </row>
    <row r="596">
      <c r="A596" s="2">
        <f>IFERROR(__xludf.DUMMYFUNCTION("""COMPUTED_VALUE"""),43745.64583333333)</f>
        <v>43745.64583</v>
      </c>
      <c r="B596" s="1">
        <f>IFERROR(__xludf.DUMMYFUNCTION("""COMPUTED_VALUE"""),14875.0)</f>
        <v>14875</v>
      </c>
      <c r="C596" s="1">
        <f>IFERROR(__xludf.DUMMYFUNCTION("""COMPUTED_VALUE"""),15100.0)</f>
        <v>15100</v>
      </c>
      <c r="D596" s="1">
        <f>IFERROR(__xludf.DUMMYFUNCTION("""COMPUTED_VALUE"""),14400.0)</f>
        <v>14400</v>
      </c>
      <c r="E596" s="1">
        <f>IFERROR(__xludf.DUMMYFUNCTION("""COMPUTED_VALUE"""),14550.0)</f>
        <v>14550</v>
      </c>
      <c r="F596" s="1">
        <f>IFERROR(__xludf.DUMMYFUNCTION("""COMPUTED_VALUE"""),45860.0)</f>
        <v>45860</v>
      </c>
    </row>
    <row r="597">
      <c r="A597" s="2">
        <f>IFERROR(__xludf.DUMMYFUNCTION("""COMPUTED_VALUE"""),43746.64583333333)</f>
        <v>43746.64583</v>
      </c>
      <c r="B597" s="1">
        <f>IFERROR(__xludf.DUMMYFUNCTION("""COMPUTED_VALUE"""),14550.0)</f>
        <v>14550</v>
      </c>
      <c r="C597" s="1">
        <f>IFERROR(__xludf.DUMMYFUNCTION("""COMPUTED_VALUE"""),15125.0)</f>
        <v>15125</v>
      </c>
      <c r="D597" s="1">
        <f>IFERROR(__xludf.DUMMYFUNCTION("""COMPUTED_VALUE"""),14400.0)</f>
        <v>14400</v>
      </c>
      <c r="E597" s="1">
        <f>IFERROR(__xludf.DUMMYFUNCTION("""COMPUTED_VALUE"""),15100.0)</f>
        <v>15100</v>
      </c>
      <c r="F597" s="1">
        <f>IFERROR(__xludf.DUMMYFUNCTION("""COMPUTED_VALUE"""),42235.0)</f>
        <v>42235</v>
      </c>
    </row>
    <row r="598">
      <c r="A598" s="2">
        <f>IFERROR(__xludf.DUMMYFUNCTION("""COMPUTED_VALUE"""),43748.64583333333)</f>
        <v>43748.64583</v>
      </c>
      <c r="B598" s="1">
        <f>IFERROR(__xludf.DUMMYFUNCTION("""COMPUTED_VALUE"""),15100.0)</f>
        <v>15100</v>
      </c>
      <c r="C598" s="1">
        <f>IFERROR(__xludf.DUMMYFUNCTION("""COMPUTED_VALUE"""),15600.0)</f>
        <v>15600</v>
      </c>
      <c r="D598" s="1">
        <f>IFERROR(__xludf.DUMMYFUNCTION("""COMPUTED_VALUE"""),14825.0)</f>
        <v>14825</v>
      </c>
      <c r="E598" s="1">
        <f>IFERROR(__xludf.DUMMYFUNCTION("""COMPUTED_VALUE"""),15425.0)</f>
        <v>15425</v>
      </c>
      <c r="F598" s="1">
        <f>IFERROR(__xludf.DUMMYFUNCTION("""COMPUTED_VALUE"""),61468.0)</f>
        <v>61468</v>
      </c>
    </row>
    <row r="599">
      <c r="A599" s="2">
        <f>IFERROR(__xludf.DUMMYFUNCTION("""COMPUTED_VALUE"""),43749.64583333333)</f>
        <v>43749.64583</v>
      </c>
      <c r="B599" s="1">
        <f>IFERROR(__xludf.DUMMYFUNCTION("""COMPUTED_VALUE"""),15775.0)</f>
        <v>15775</v>
      </c>
      <c r="C599" s="1">
        <f>IFERROR(__xludf.DUMMYFUNCTION("""COMPUTED_VALUE"""),15775.0)</f>
        <v>15775</v>
      </c>
      <c r="D599" s="1">
        <f>IFERROR(__xludf.DUMMYFUNCTION("""COMPUTED_VALUE"""),14800.0)</f>
        <v>14800</v>
      </c>
      <c r="E599" s="1">
        <f>IFERROR(__xludf.DUMMYFUNCTION("""COMPUTED_VALUE"""),15000.0)</f>
        <v>15000</v>
      </c>
      <c r="F599" s="1">
        <f>IFERROR(__xludf.DUMMYFUNCTION("""COMPUTED_VALUE"""),26639.0)</f>
        <v>26639</v>
      </c>
    </row>
    <row r="600">
      <c r="A600" s="2">
        <f>IFERROR(__xludf.DUMMYFUNCTION("""COMPUTED_VALUE"""),43752.64583333333)</f>
        <v>43752.64583</v>
      </c>
      <c r="B600" s="1">
        <f>IFERROR(__xludf.DUMMYFUNCTION("""COMPUTED_VALUE"""),15175.0)</f>
        <v>15175</v>
      </c>
      <c r="C600" s="1">
        <f>IFERROR(__xludf.DUMMYFUNCTION("""COMPUTED_VALUE"""),15175.0)</f>
        <v>15175</v>
      </c>
      <c r="D600" s="1">
        <f>IFERROR(__xludf.DUMMYFUNCTION("""COMPUTED_VALUE"""),14025.0)</f>
        <v>14025</v>
      </c>
      <c r="E600" s="1">
        <f>IFERROR(__xludf.DUMMYFUNCTION("""COMPUTED_VALUE"""),14075.0)</f>
        <v>14075</v>
      </c>
      <c r="F600" s="1">
        <f>IFERROR(__xludf.DUMMYFUNCTION("""COMPUTED_VALUE"""),89150.0)</f>
        <v>89150</v>
      </c>
    </row>
    <row r="601">
      <c r="A601" s="2">
        <f>IFERROR(__xludf.DUMMYFUNCTION("""COMPUTED_VALUE"""),43753.64583333333)</f>
        <v>43753.64583</v>
      </c>
      <c r="B601" s="1">
        <f>IFERROR(__xludf.DUMMYFUNCTION("""COMPUTED_VALUE"""),14200.0)</f>
        <v>14200</v>
      </c>
      <c r="C601" s="1">
        <f>IFERROR(__xludf.DUMMYFUNCTION("""COMPUTED_VALUE"""),14350.0)</f>
        <v>14350</v>
      </c>
      <c r="D601" s="1">
        <f>IFERROR(__xludf.DUMMYFUNCTION("""COMPUTED_VALUE"""),13925.0)</f>
        <v>13925</v>
      </c>
      <c r="E601" s="1">
        <f>IFERROR(__xludf.DUMMYFUNCTION("""COMPUTED_VALUE"""),14225.0)</f>
        <v>14225</v>
      </c>
      <c r="F601" s="1">
        <f>IFERROR(__xludf.DUMMYFUNCTION("""COMPUTED_VALUE"""),91638.0)</f>
        <v>91638</v>
      </c>
    </row>
    <row r="602">
      <c r="A602" s="2">
        <f>IFERROR(__xludf.DUMMYFUNCTION("""COMPUTED_VALUE"""),43754.64583333333)</f>
        <v>43754.64583</v>
      </c>
      <c r="B602" s="1">
        <f>IFERROR(__xludf.DUMMYFUNCTION("""COMPUTED_VALUE"""),14400.0)</f>
        <v>14400</v>
      </c>
      <c r="C602" s="1">
        <f>IFERROR(__xludf.DUMMYFUNCTION("""COMPUTED_VALUE"""),15100.0)</f>
        <v>15100</v>
      </c>
      <c r="D602" s="1">
        <f>IFERROR(__xludf.DUMMYFUNCTION("""COMPUTED_VALUE"""),14250.0)</f>
        <v>14250</v>
      </c>
      <c r="E602" s="1">
        <f>IFERROR(__xludf.DUMMYFUNCTION("""COMPUTED_VALUE"""),15100.0)</f>
        <v>15100</v>
      </c>
      <c r="F602" s="1">
        <f>IFERROR(__xludf.DUMMYFUNCTION("""COMPUTED_VALUE"""),87582.0)</f>
        <v>87582</v>
      </c>
    </row>
    <row r="603">
      <c r="A603" s="2">
        <f>IFERROR(__xludf.DUMMYFUNCTION("""COMPUTED_VALUE"""),43755.64583333333)</f>
        <v>43755.64583</v>
      </c>
      <c r="B603" s="1">
        <f>IFERROR(__xludf.DUMMYFUNCTION("""COMPUTED_VALUE"""),15050.0)</f>
        <v>15050</v>
      </c>
      <c r="C603" s="1">
        <f>IFERROR(__xludf.DUMMYFUNCTION("""COMPUTED_VALUE"""),17575.0)</f>
        <v>17575</v>
      </c>
      <c r="D603" s="1">
        <f>IFERROR(__xludf.DUMMYFUNCTION("""COMPUTED_VALUE"""),15050.0)</f>
        <v>15050</v>
      </c>
      <c r="E603" s="1">
        <f>IFERROR(__xludf.DUMMYFUNCTION("""COMPUTED_VALUE"""),17200.0)</f>
        <v>17200</v>
      </c>
      <c r="F603" s="1">
        <f>IFERROR(__xludf.DUMMYFUNCTION("""COMPUTED_VALUE"""),354279.0)</f>
        <v>354279</v>
      </c>
    </row>
    <row r="604">
      <c r="A604" s="2">
        <f>IFERROR(__xludf.DUMMYFUNCTION("""COMPUTED_VALUE"""),43756.64583333333)</f>
        <v>43756.64583</v>
      </c>
      <c r="B604" s="1">
        <f>IFERROR(__xludf.DUMMYFUNCTION("""COMPUTED_VALUE"""),17350.0)</f>
        <v>17350</v>
      </c>
      <c r="C604" s="1">
        <f>IFERROR(__xludf.DUMMYFUNCTION("""COMPUTED_VALUE"""),17950.0)</f>
        <v>17950</v>
      </c>
      <c r="D604" s="1">
        <f>IFERROR(__xludf.DUMMYFUNCTION("""COMPUTED_VALUE"""),17125.0)</f>
        <v>17125</v>
      </c>
      <c r="E604" s="1">
        <f>IFERROR(__xludf.DUMMYFUNCTION("""COMPUTED_VALUE"""),17700.0)</f>
        <v>17700</v>
      </c>
      <c r="F604" s="1">
        <f>IFERROR(__xludf.DUMMYFUNCTION("""COMPUTED_VALUE"""),149722.0)</f>
        <v>149722</v>
      </c>
    </row>
    <row r="605">
      <c r="A605" s="2">
        <f>IFERROR(__xludf.DUMMYFUNCTION("""COMPUTED_VALUE"""),43759.64583333333)</f>
        <v>43759.64583</v>
      </c>
      <c r="B605" s="1">
        <f>IFERROR(__xludf.DUMMYFUNCTION("""COMPUTED_VALUE"""),17675.0)</f>
        <v>17675</v>
      </c>
      <c r="C605" s="1">
        <f>IFERROR(__xludf.DUMMYFUNCTION("""COMPUTED_VALUE"""),18000.0)</f>
        <v>18000</v>
      </c>
      <c r="D605" s="1">
        <f>IFERROR(__xludf.DUMMYFUNCTION("""COMPUTED_VALUE"""),17350.0)</f>
        <v>17350</v>
      </c>
      <c r="E605" s="1">
        <f>IFERROR(__xludf.DUMMYFUNCTION("""COMPUTED_VALUE"""),17875.0)</f>
        <v>17875</v>
      </c>
      <c r="F605" s="1">
        <f>IFERROR(__xludf.DUMMYFUNCTION("""COMPUTED_VALUE"""),80566.0)</f>
        <v>80566</v>
      </c>
    </row>
    <row r="606">
      <c r="A606" s="2">
        <f>IFERROR(__xludf.DUMMYFUNCTION("""COMPUTED_VALUE"""),43760.64583333333)</f>
        <v>43760.64583</v>
      </c>
      <c r="B606" s="1">
        <f>IFERROR(__xludf.DUMMYFUNCTION("""COMPUTED_VALUE"""),17750.0)</f>
        <v>17750</v>
      </c>
      <c r="C606" s="1">
        <f>IFERROR(__xludf.DUMMYFUNCTION("""COMPUTED_VALUE"""),19050.0)</f>
        <v>19050</v>
      </c>
      <c r="D606" s="1">
        <f>IFERROR(__xludf.DUMMYFUNCTION("""COMPUTED_VALUE"""),17750.0)</f>
        <v>17750</v>
      </c>
      <c r="E606" s="1">
        <f>IFERROR(__xludf.DUMMYFUNCTION("""COMPUTED_VALUE"""),18250.0)</f>
        <v>18250</v>
      </c>
      <c r="F606" s="1">
        <f>IFERROR(__xludf.DUMMYFUNCTION("""COMPUTED_VALUE"""),138854.0)</f>
        <v>138854</v>
      </c>
    </row>
    <row r="607">
      <c r="A607" s="2">
        <f>IFERROR(__xludf.DUMMYFUNCTION("""COMPUTED_VALUE"""),43761.64583333333)</f>
        <v>43761.64583</v>
      </c>
      <c r="B607" s="1">
        <f>IFERROR(__xludf.DUMMYFUNCTION("""COMPUTED_VALUE"""),18250.0)</f>
        <v>18250</v>
      </c>
      <c r="C607" s="1">
        <f>IFERROR(__xludf.DUMMYFUNCTION("""COMPUTED_VALUE"""),18250.0)</f>
        <v>18250</v>
      </c>
      <c r="D607" s="1">
        <f>IFERROR(__xludf.DUMMYFUNCTION("""COMPUTED_VALUE"""),17375.0)</f>
        <v>17375</v>
      </c>
      <c r="E607" s="1">
        <f>IFERROR(__xludf.DUMMYFUNCTION("""COMPUTED_VALUE"""),17650.0)</f>
        <v>17650</v>
      </c>
      <c r="F607" s="1">
        <f>IFERROR(__xludf.DUMMYFUNCTION("""COMPUTED_VALUE"""),59769.0)</f>
        <v>59769</v>
      </c>
    </row>
    <row r="608">
      <c r="A608" s="2">
        <f>IFERROR(__xludf.DUMMYFUNCTION("""COMPUTED_VALUE"""),43762.64583333333)</f>
        <v>43762.64583</v>
      </c>
      <c r="B608" s="1">
        <f>IFERROR(__xludf.DUMMYFUNCTION("""COMPUTED_VALUE"""),17650.0)</f>
        <v>17650</v>
      </c>
      <c r="C608" s="1">
        <f>IFERROR(__xludf.DUMMYFUNCTION("""COMPUTED_VALUE"""),18450.0)</f>
        <v>18450</v>
      </c>
      <c r="D608" s="1">
        <f>IFERROR(__xludf.DUMMYFUNCTION("""COMPUTED_VALUE"""),17450.0)</f>
        <v>17450</v>
      </c>
      <c r="E608" s="1">
        <f>IFERROR(__xludf.DUMMYFUNCTION("""COMPUTED_VALUE"""),18200.0)</f>
        <v>18200</v>
      </c>
      <c r="F608" s="1">
        <f>IFERROR(__xludf.DUMMYFUNCTION("""COMPUTED_VALUE"""),83356.0)</f>
        <v>83356</v>
      </c>
    </row>
    <row r="609">
      <c r="A609" s="2">
        <f>IFERROR(__xludf.DUMMYFUNCTION("""COMPUTED_VALUE"""),43763.64583333333)</f>
        <v>43763.64583</v>
      </c>
      <c r="B609" s="1">
        <f>IFERROR(__xludf.DUMMYFUNCTION("""COMPUTED_VALUE"""),18400.0)</f>
        <v>18400</v>
      </c>
      <c r="C609" s="1">
        <f>IFERROR(__xludf.DUMMYFUNCTION("""COMPUTED_VALUE"""),18425.0)</f>
        <v>18425</v>
      </c>
      <c r="D609" s="1">
        <f>IFERROR(__xludf.DUMMYFUNCTION("""COMPUTED_VALUE"""),17600.0)</f>
        <v>17600</v>
      </c>
      <c r="E609" s="1">
        <f>IFERROR(__xludf.DUMMYFUNCTION("""COMPUTED_VALUE"""),18050.0)</f>
        <v>18050</v>
      </c>
      <c r="F609" s="1">
        <f>IFERROR(__xludf.DUMMYFUNCTION("""COMPUTED_VALUE"""),44870.0)</f>
        <v>44870</v>
      </c>
    </row>
    <row r="610">
      <c r="A610" s="2">
        <f>IFERROR(__xludf.DUMMYFUNCTION("""COMPUTED_VALUE"""),43766.64583333333)</f>
        <v>43766.64583</v>
      </c>
      <c r="B610" s="1">
        <f>IFERROR(__xludf.DUMMYFUNCTION("""COMPUTED_VALUE"""),18350.0)</f>
        <v>18350</v>
      </c>
      <c r="C610" s="1">
        <f>IFERROR(__xludf.DUMMYFUNCTION("""COMPUTED_VALUE"""),18600.0)</f>
        <v>18600</v>
      </c>
      <c r="D610" s="1">
        <f>IFERROR(__xludf.DUMMYFUNCTION("""COMPUTED_VALUE"""),17600.0)</f>
        <v>17600</v>
      </c>
      <c r="E610" s="1">
        <f>IFERROR(__xludf.DUMMYFUNCTION("""COMPUTED_VALUE"""),17725.0)</f>
        <v>17725</v>
      </c>
      <c r="F610" s="1">
        <f>IFERROR(__xludf.DUMMYFUNCTION("""COMPUTED_VALUE"""),44386.0)</f>
        <v>44386</v>
      </c>
    </row>
    <row r="611">
      <c r="A611" s="2">
        <f>IFERROR(__xludf.DUMMYFUNCTION("""COMPUTED_VALUE"""),43767.64583333333)</f>
        <v>43767.64583</v>
      </c>
      <c r="B611" s="1">
        <f>IFERROR(__xludf.DUMMYFUNCTION("""COMPUTED_VALUE"""),17750.0)</f>
        <v>17750</v>
      </c>
      <c r="C611" s="1">
        <f>IFERROR(__xludf.DUMMYFUNCTION("""COMPUTED_VALUE"""),18600.0)</f>
        <v>18600</v>
      </c>
      <c r="D611" s="1">
        <f>IFERROR(__xludf.DUMMYFUNCTION("""COMPUTED_VALUE"""),17750.0)</f>
        <v>17750</v>
      </c>
      <c r="E611" s="1">
        <f>IFERROR(__xludf.DUMMYFUNCTION("""COMPUTED_VALUE"""),18400.0)</f>
        <v>18400</v>
      </c>
      <c r="F611" s="1">
        <f>IFERROR(__xludf.DUMMYFUNCTION("""COMPUTED_VALUE"""),68945.0)</f>
        <v>68945</v>
      </c>
    </row>
    <row r="612">
      <c r="A612" s="2">
        <f>IFERROR(__xludf.DUMMYFUNCTION("""COMPUTED_VALUE"""),43768.64583333333)</f>
        <v>43768.64583</v>
      </c>
      <c r="B612" s="1">
        <f>IFERROR(__xludf.DUMMYFUNCTION("""COMPUTED_VALUE"""),18400.0)</f>
        <v>18400</v>
      </c>
      <c r="C612" s="1">
        <f>IFERROR(__xludf.DUMMYFUNCTION("""COMPUTED_VALUE"""),18600.0)</f>
        <v>18600</v>
      </c>
      <c r="D612" s="1">
        <f>IFERROR(__xludf.DUMMYFUNCTION("""COMPUTED_VALUE"""),17625.0)</f>
        <v>17625</v>
      </c>
      <c r="E612" s="1">
        <f>IFERROR(__xludf.DUMMYFUNCTION("""COMPUTED_VALUE"""),18375.0)</f>
        <v>18375</v>
      </c>
      <c r="F612" s="1">
        <f>IFERROR(__xludf.DUMMYFUNCTION("""COMPUTED_VALUE"""),61882.0)</f>
        <v>61882</v>
      </c>
    </row>
    <row r="613">
      <c r="A613" s="2">
        <f>IFERROR(__xludf.DUMMYFUNCTION("""COMPUTED_VALUE"""),43769.64583333333)</f>
        <v>43769.64583</v>
      </c>
      <c r="B613" s="1">
        <f>IFERROR(__xludf.DUMMYFUNCTION("""COMPUTED_VALUE"""),18400.0)</f>
        <v>18400</v>
      </c>
      <c r="C613" s="1">
        <f>IFERROR(__xludf.DUMMYFUNCTION("""COMPUTED_VALUE"""),19025.0)</f>
        <v>19025</v>
      </c>
      <c r="D613" s="1">
        <f>IFERROR(__xludf.DUMMYFUNCTION("""COMPUTED_VALUE"""),17975.0)</f>
        <v>17975</v>
      </c>
      <c r="E613" s="1">
        <f>IFERROR(__xludf.DUMMYFUNCTION("""COMPUTED_VALUE"""),18200.0)</f>
        <v>18200</v>
      </c>
      <c r="F613" s="1">
        <f>IFERROR(__xludf.DUMMYFUNCTION("""COMPUTED_VALUE"""),59828.0)</f>
        <v>59828</v>
      </c>
    </row>
    <row r="614">
      <c r="A614" s="2">
        <f>IFERROR(__xludf.DUMMYFUNCTION("""COMPUTED_VALUE"""),43770.64583333333)</f>
        <v>43770.64583</v>
      </c>
      <c r="B614" s="1">
        <f>IFERROR(__xludf.DUMMYFUNCTION("""COMPUTED_VALUE"""),18250.0)</f>
        <v>18250</v>
      </c>
      <c r="C614" s="1">
        <f>IFERROR(__xludf.DUMMYFUNCTION("""COMPUTED_VALUE"""),18425.0)</f>
        <v>18425</v>
      </c>
      <c r="D614" s="1">
        <f>IFERROR(__xludf.DUMMYFUNCTION("""COMPUTED_VALUE"""),17825.0)</f>
        <v>17825</v>
      </c>
      <c r="E614" s="1">
        <f>IFERROR(__xludf.DUMMYFUNCTION("""COMPUTED_VALUE"""),18150.0)</f>
        <v>18150</v>
      </c>
      <c r="F614" s="1">
        <f>IFERROR(__xludf.DUMMYFUNCTION("""COMPUTED_VALUE"""),22058.0)</f>
        <v>22058</v>
      </c>
    </row>
    <row r="615">
      <c r="A615" s="2">
        <f>IFERROR(__xludf.DUMMYFUNCTION("""COMPUTED_VALUE"""),43773.64583333333)</f>
        <v>43773.64583</v>
      </c>
      <c r="B615" s="1">
        <f>IFERROR(__xludf.DUMMYFUNCTION("""COMPUTED_VALUE"""),18150.0)</f>
        <v>18150</v>
      </c>
      <c r="C615" s="1">
        <f>IFERROR(__xludf.DUMMYFUNCTION("""COMPUTED_VALUE"""),18150.0)</f>
        <v>18150</v>
      </c>
      <c r="D615" s="1">
        <f>IFERROR(__xludf.DUMMYFUNCTION("""COMPUTED_VALUE"""),17100.0)</f>
        <v>17100</v>
      </c>
      <c r="E615" s="1">
        <f>IFERROR(__xludf.DUMMYFUNCTION("""COMPUTED_VALUE"""),17475.0)</f>
        <v>17475</v>
      </c>
      <c r="F615" s="1">
        <f>IFERROR(__xludf.DUMMYFUNCTION("""COMPUTED_VALUE"""),65657.0)</f>
        <v>65657</v>
      </c>
    </row>
    <row r="616">
      <c r="A616" s="2">
        <f>IFERROR(__xludf.DUMMYFUNCTION("""COMPUTED_VALUE"""),43774.64583333333)</f>
        <v>43774.64583</v>
      </c>
      <c r="B616" s="1">
        <f>IFERROR(__xludf.DUMMYFUNCTION("""COMPUTED_VALUE"""),17500.0)</f>
        <v>17500</v>
      </c>
      <c r="C616" s="1">
        <f>IFERROR(__xludf.DUMMYFUNCTION("""COMPUTED_VALUE"""),17500.0)</f>
        <v>17500</v>
      </c>
      <c r="D616" s="1">
        <f>IFERROR(__xludf.DUMMYFUNCTION("""COMPUTED_VALUE"""),16575.0)</f>
        <v>16575</v>
      </c>
      <c r="E616" s="1">
        <f>IFERROR(__xludf.DUMMYFUNCTION("""COMPUTED_VALUE"""),16775.0)</f>
        <v>16775</v>
      </c>
      <c r="F616" s="1">
        <f>IFERROR(__xludf.DUMMYFUNCTION("""COMPUTED_VALUE"""),54816.0)</f>
        <v>54816</v>
      </c>
    </row>
    <row r="617">
      <c r="A617" s="2">
        <f>IFERROR(__xludf.DUMMYFUNCTION("""COMPUTED_VALUE"""),43775.64583333333)</f>
        <v>43775.64583</v>
      </c>
      <c r="B617" s="1">
        <f>IFERROR(__xludf.DUMMYFUNCTION("""COMPUTED_VALUE"""),16925.0)</f>
        <v>16925</v>
      </c>
      <c r="C617" s="1">
        <f>IFERROR(__xludf.DUMMYFUNCTION("""COMPUTED_VALUE"""),17100.0)</f>
        <v>17100</v>
      </c>
      <c r="D617" s="1">
        <f>IFERROR(__xludf.DUMMYFUNCTION("""COMPUTED_VALUE"""),16525.0)</f>
        <v>16525</v>
      </c>
      <c r="E617" s="1">
        <f>IFERROR(__xludf.DUMMYFUNCTION("""COMPUTED_VALUE"""),16825.0)</f>
        <v>16825</v>
      </c>
      <c r="F617" s="1">
        <f>IFERROR(__xludf.DUMMYFUNCTION("""COMPUTED_VALUE"""),44168.0)</f>
        <v>44168</v>
      </c>
    </row>
    <row r="618">
      <c r="A618" s="2">
        <f>IFERROR(__xludf.DUMMYFUNCTION("""COMPUTED_VALUE"""),43776.64583333333)</f>
        <v>43776.64583</v>
      </c>
      <c r="B618" s="1">
        <f>IFERROR(__xludf.DUMMYFUNCTION("""COMPUTED_VALUE"""),16950.0)</f>
        <v>16950</v>
      </c>
      <c r="C618" s="1">
        <f>IFERROR(__xludf.DUMMYFUNCTION("""COMPUTED_VALUE"""),16950.0)</f>
        <v>16950</v>
      </c>
      <c r="D618" s="1">
        <f>IFERROR(__xludf.DUMMYFUNCTION("""COMPUTED_VALUE"""),16250.0)</f>
        <v>16250</v>
      </c>
      <c r="E618" s="1">
        <f>IFERROR(__xludf.DUMMYFUNCTION("""COMPUTED_VALUE"""),16450.0)</f>
        <v>16450</v>
      </c>
      <c r="F618" s="1">
        <f>IFERROR(__xludf.DUMMYFUNCTION("""COMPUTED_VALUE"""),39980.0)</f>
        <v>39980</v>
      </c>
    </row>
    <row r="619">
      <c r="A619" s="2">
        <f>IFERROR(__xludf.DUMMYFUNCTION("""COMPUTED_VALUE"""),43777.64583333333)</f>
        <v>43777.64583</v>
      </c>
      <c r="B619" s="1">
        <f>IFERROR(__xludf.DUMMYFUNCTION("""COMPUTED_VALUE"""),16600.0)</f>
        <v>16600</v>
      </c>
      <c r="C619" s="1">
        <f>IFERROR(__xludf.DUMMYFUNCTION("""COMPUTED_VALUE"""),17075.0)</f>
        <v>17075</v>
      </c>
      <c r="D619" s="1">
        <f>IFERROR(__xludf.DUMMYFUNCTION("""COMPUTED_VALUE"""),16100.0)</f>
        <v>16100</v>
      </c>
      <c r="E619" s="1">
        <f>IFERROR(__xludf.DUMMYFUNCTION("""COMPUTED_VALUE"""),16625.0)</f>
        <v>16625</v>
      </c>
      <c r="F619" s="1">
        <f>IFERROR(__xludf.DUMMYFUNCTION("""COMPUTED_VALUE"""),36161.0)</f>
        <v>36161</v>
      </c>
    </row>
    <row r="620">
      <c r="A620" s="2">
        <f>IFERROR(__xludf.DUMMYFUNCTION("""COMPUTED_VALUE"""),43780.64583333333)</f>
        <v>43780.64583</v>
      </c>
      <c r="B620" s="1">
        <f>IFERROR(__xludf.DUMMYFUNCTION("""COMPUTED_VALUE"""),16475.0)</f>
        <v>16475</v>
      </c>
      <c r="C620" s="1">
        <f>IFERROR(__xludf.DUMMYFUNCTION("""COMPUTED_VALUE"""),16625.0)</f>
        <v>16625</v>
      </c>
      <c r="D620" s="1">
        <f>IFERROR(__xludf.DUMMYFUNCTION("""COMPUTED_VALUE"""),15600.0)</f>
        <v>15600</v>
      </c>
      <c r="E620" s="1">
        <f>IFERROR(__xludf.DUMMYFUNCTION("""COMPUTED_VALUE"""),15650.0)</f>
        <v>15650</v>
      </c>
      <c r="F620" s="1">
        <f>IFERROR(__xludf.DUMMYFUNCTION("""COMPUTED_VALUE"""),98586.0)</f>
        <v>98586</v>
      </c>
    </row>
    <row r="621">
      <c r="A621" s="2">
        <f>IFERROR(__xludf.DUMMYFUNCTION("""COMPUTED_VALUE"""),43781.64583333333)</f>
        <v>43781.64583</v>
      </c>
      <c r="B621" s="1">
        <f>IFERROR(__xludf.DUMMYFUNCTION("""COMPUTED_VALUE"""),15875.0)</f>
        <v>15875</v>
      </c>
      <c r="C621" s="1">
        <f>IFERROR(__xludf.DUMMYFUNCTION("""COMPUTED_VALUE"""),16225.0)</f>
        <v>16225</v>
      </c>
      <c r="D621" s="1">
        <f>IFERROR(__xludf.DUMMYFUNCTION("""COMPUTED_VALUE"""),15625.0)</f>
        <v>15625</v>
      </c>
      <c r="E621" s="1">
        <f>IFERROR(__xludf.DUMMYFUNCTION("""COMPUTED_VALUE"""),15750.0)</f>
        <v>15750</v>
      </c>
      <c r="F621" s="1">
        <f>IFERROR(__xludf.DUMMYFUNCTION("""COMPUTED_VALUE"""),66268.0)</f>
        <v>66268</v>
      </c>
    </row>
    <row r="622">
      <c r="A622" s="2">
        <f>IFERROR(__xludf.DUMMYFUNCTION("""COMPUTED_VALUE"""),43782.64583333333)</f>
        <v>43782.64583</v>
      </c>
      <c r="B622" s="1">
        <f>IFERROR(__xludf.DUMMYFUNCTION("""COMPUTED_VALUE"""),15675.0)</f>
        <v>15675</v>
      </c>
      <c r="C622" s="1">
        <f>IFERROR(__xludf.DUMMYFUNCTION("""COMPUTED_VALUE"""),16175.0)</f>
        <v>16175</v>
      </c>
      <c r="D622" s="1">
        <f>IFERROR(__xludf.DUMMYFUNCTION("""COMPUTED_VALUE"""),15600.0)</f>
        <v>15600</v>
      </c>
      <c r="E622" s="1">
        <f>IFERROR(__xludf.DUMMYFUNCTION("""COMPUTED_VALUE"""),15600.0)</f>
        <v>15600</v>
      </c>
      <c r="F622" s="1">
        <f>IFERROR(__xludf.DUMMYFUNCTION("""COMPUTED_VALUE"""),32829.0)</f>
        <v>32829</v>
      </c>
    </row>
    <row r="623">
      <c r="A623" s="2">
        <f>IFERROR(__xludf.DUMMYFUNCTION("""COMPUTED_VALUE"""),43783.6875)</f>
        <v>43783.6875</v>
      </c>
      <c r="B623" s="1">
        <f>IFERROR(__xludf.DUMMYFUNCTION("""COMPUTED_VALUE"""),15650.0)</f>
        <v>15650</v>
      </c>
      <c r="C623" s="1">
        <f>IFERROR(__xludf.DUMMYFUNCTION("""COMPUTED_VALUE"""),15925.0)</f>
        <v>15925</v>
      </c>
      <c r="D623" s="1">
        <f>IFERROR(__xludf.DUMMYFUNCTION("""COMPUTED_VALUE"""),15000.0)</f>
        <v>15000</v>
      </c>
      <c r="E623" s="1">
        <f>IFERROR(__xludf.DUMMYFUNCTION("""COMPUTED_VALUE"""),15025.0)</f>
        <v>15025</v>
      </c>
      <c r="F623" s="1">
        <f>IFERROR(__xludf.DUMMYFUNCTION("""COMPUTED_VALUE"""),50006.0)</f>
        <v>50006</v>
      </c>
    </row>
    <row r="624">
      <c r="A624" s="2">
        <f>IFERROR(__xludf.DUMMYFUNCTION("""COMPUTED_VALUE"""),43784.64583333333)</f>
        <v>43784.64583</v>
      </c>
      <c r="B624" s="1">
        <f>IFERROR(__xludf.DUMMYFUNCTION("""COMPUTED_VALUE"""),15250.0)</f>
        <v>15250</v>
      </c>
      <c r="C624" s="1">
        <f>IFERROR(__xludf.DUMMYFUNCTION("""COMPUTED_VALUE"""),15250.0)</f>
        <v>15250</v>
      </c>
      <c r="D624" s="1">
        <f>IFERROR(__xludf.DUMMYFUNCTION("""COMPUTED_VALUE"""),14550.0)</f>
        <v>14550</v>
      </c>
      <c r="E624" s="1">
        <f>IFERROR(__xludf.DUMMYFUNCTION("""COMPUTED_VALUE"""),14800.0)</f>
        <v>14800</v>
      </c>
      <c r="F624" s="1">
        <f>IFERROR(__xludf.DUMMYFUNCTION("""COMPUTED_VALUE"""),73265.0)</f>
        <v>73265</v>
      </c>
    </row>
    <row r="625">
      <c r="A625" s="2">
        <f>IFERROR(__xludf.DUMMYFUNCTION("""COMPUTED_VALUE"""),43787.64583333333)</f>
        <v>43787.64583</v>
      </c>
      <c r="B625" s="1">
        <f>IFERROR(__xludf.DUMMYFUNCTION("""COMPUTED_VALUE"""),14925.0)</f>
        <v>14925</v>
      </c>
      <c r="C625" s="1">
        <f>IFERROR(__xludf.DUMMYFUNCTION("""COMPUTED_VALUE"""),14975.0)</f>
        <v>14975</v>
      </c>
      <c r="D625" s="1">
        <f>IFERROR(__xludf.DUMMYFUNCTION("""COMPUTED_VALUE"""),14100.0)</f>
        <v>14100</v>
      </c>
      <c r="E625" s="1">
        <f>IFERROR(__xludf.DUMMYFUNCTION("""COMPUTED_VALUE"""),14775.0)</f>
        <v>14775</v>
      </c>
      <c r="F625" s="1">
        <f>IFERROR(__xludf.DUMMYFUNCTION("""COMPUTED_VALUE"""),128572.0)</f>
        <v>128572</v>
      </c>
    </row>
    <row r="626">
      <c r="A626" s="2">
        <f>IFERROR(__xludf.DUMMYFUNCTION("""COMPUTED_VALUE"""),43788.64583333333)</f>
        <v>43788.64583</v>
      </c>
      <c r="B626" s="1">
        <f>IFERROR(__xludf.DUMMYFUNCTION("""COMPUTED_VALUE"""),14800.0)</f>
        <v>14800</v>
      </c>
      <c r="C626" s="1">
        <f>IFERROR(__xludf.DUMMYFUNCTION("""COMPUTED_VALUE"""),14900.0)</f>
        <v>14900</v>
      </c>
      <c r="D626" s="1">
        <f>IFERROR(__xludf.DUMMYFUNCTION("""COMPUTED_VALUE"""),14325.0)</f>
        <v>14325</v>
      </c>
      <c r="E626" s="1">
        <f>IFERROR(__xludf.DUMMYFUNCTION("""COMPUTED_VALUE"""),14650.0)</f>
        <v>14650</v>
      </c>
      <c r="F626" s="1">
        <f>IFERROR(__xludf.DUMMYFUNCTION("""COMPUTED_VALUE"""),52776.0)</f>
        <v>52776</v>
      </c>
    </row>
    <row r="627">
      <c r="A627" s="2">
        <f>IFERROR(__xludf.DUMMYFUNCTION("""COMPUTED_VALUE"""),43789.64583333333)</f>
        <v>43789.64583</v>
      </c>
      <c r="B627" s="1">
        <f>IFERROR(__xludf.DUMMYFUNCTION("""COMPUTED_VALUE"""),14725.0)</f>
        <v>14725</v>
      </c>
      <c r="C627" s="1">
        <f>IFERROR(__xludf.DUMMYFUNCTION("""COMPUTED_VALUE"""),14950.0)</f>
        <v>14950</v>
      </c>
      <c r="D627" s="1">
        <f>IFERROR(__xludf.DUMMYFUNCTION("""COMPUTED_VALUE"""),14175.0)</f>
        <v>14175</v>
      </c>
      <c r="E627" s="1">
        <f>IFERROR(__xludf.DUMMYFUNCTION("""COMPUTED_VALUE"""),14175.0)</f>
        <v>14175</v>
      </c>
      <c r="F627" s="1">
        <f>IFERROR(__xludf.DUMMYFUNCTION("""COMPUTED_VALUE"""),54661.0)</f>
        <v>54661</v>
      </c>
    </row>
    <row r="628">
      <c r="A628" s="2">
        <f>IFERROR(__xludf.DUMMYFUNCTION("""COMPUTED_VALUE"""),43790.64583333333)</f>
        <v>43790.64583</v>
      </c>
      <c r="B628" s="1">
        <f>IFERROR(__xludf.DUMMYFUNCTION("""COMPUTED_VALUE"""),14175.0)</f>
        <v>14175</v>
      </c>
      <c r="C628" s="1">
        <f>IFERROR(__xludf.DUMMYFUNCTION("""COMPUTED_VALUE"""),14350.0)</f>
        <v>14350</v>
      </c>
      <c r="D628" s="1">
        <f>IFERROR(__xludf.DUMMYFUNCTION("""COMPUTED_VALUE"""),13250.0)</f>
        <v>13250</v>
      </c>
      <c r="E628" s="1">
        <f>IFERROR(__xludf.DUMMYFUNCTION("""COMPUTED_VALUE"""),13700.0)</f>
        <v>13700</v>
      </c>
      <c r="F628" s="1">
        <f>IFERROR(__xludf.DUMMYFUNCTION("""COMPUTED_VALUE"""),110465.0)</f>
        <v>110465</v>
      </c>
    </row>
    <row r="629">
      <c r="A629" s="2">
        <f>IFERROR(__xludf.DUMMYFUNCTION("""COMPUTED_VALUE"""),43791.64583333333)</f>
        <v>43791.64583</v>
      </c>
      <c r="B629" s="1">
        <f>IFERROR(__xludf.DUMMYFUNCTION("""COMPUTED_VALUE"""),13800.0)</f>
        <v>13800</v>
      </c>
      <c r="C629" s="1">
        <f>IFERROR(__xludf.DUMMYFUNCTION("""COMPUTED_VALUE"""),13800.0)</f>
        <v>13800</v>
      </c>
      <c r="D629" s="1">
        <f>IFERROR(__xludf.DUMMYFUNCTION("""COMPUTED_VALUE"""),12925.0)</f>
        <v>12925</v>
      </c>
      <c r="E629" s="1">
        <f>IFERROR(__xludf.DUMMYFUNCTION("""COMPUTED_VALUE"""),13400.0)</f>
        <v>13400</v>
      </c>
      <c r="F629" s="1">
        <f>IFERROR(__xludf.DUMMYFUNCTION("""COMPUTED_VALUE"""),151453.0)</f>
        <v>151453</v>
      </c>
    </row>
    <row r="630">
      <c r="A630" s="2">
        <f>IFERROR(__xludf.DUMMYFUNCTION("""COMPUTED_VALUE"""),43794.64583333333)</f>
        <v>43794.64583</v>
      </c>
      <c r="B630" s="1">
        <f>IFERROR(__xludf.DUMMYFUNCTION("""COMPUTED_VALUE"""),13575.0)</f>
        <v>13575</v>
      </c>
      <c r="C630" s="1">
        <f>IFERROR(__xludf.DUMMYFUNCTION("""COMPUTED_VALUE"""),14300.0)</f>
        <v>14300</v>
      </c>
      <c r="D630" s="1">
        <f>IFERROR(__xludf.DUMMYFUNCTION("""COMPUTED_VALUE"""),13375.0)</f>
        <v>13375</v>
      </c>
      <c r="E630" s="1">
        <f>IFERROR(__xludf.DUMMYFUNCTION("""COMPUTED_VALUE"""),14175.0)</f>
        <v>14175</v>
      </c>
      <c r="F630" s="1">
        <f>IFERROR(__xludf.DUMMYFUNCTION("""COMPUTED_VALUE"""),68551.0)</f>
        <v>68551</v>
      </c>
    </row>
    <row r="631">
      <c r="A631" s="2">
        <f>IFERROR(__xludf.DUMMYFUNCTION("""COMPUTED_VALUE"""),43795.64583333333)</f>
        <v>43795.64583</v>
      </c>
      <c r="B631" s="1">
        <f>IFERROR(__xludf.DUMMYFUNCTION("""COMPUTED_VALUE"""),14425.0)</f>
        <v>14425</v>
      </c>
      <c r="C631" s="1">
        <f>IFERROR(__xludf.DUMMYFUNCTION("""COMPUTED_VALUE"""),14550.0)</f>
        <v>14550</v>
      </c>
      <c r="D631" s="1">
        <f>IFERROR(__xludf.DUMMYFUNCTION("""COMPUTED_VALUE"""),14000.0)</f>
        <v>14000</v>
      </c>
      <c r="E631" s="1">
        <f>IFERROR(__xludf.DUMMYFUNCTION("""COMPUTED_VALUE"""),14350.0)</f>
        <v>14350</v>
      </c>
      <c r="F631" s="1">
        <f>IFERROR(__xludf.DUMMYFUNCTION("""COMPUTED_VALUE"""),74354.0)</f>
        <v>74354</v>
      </c>
    </row>
    <row r="632">
      <c r="A632" s="2">
        <f>IFERROR(__xludf.DUMMYFUNCTION("""COMPUTED_VALUE"""),43796.64583333333)</f>
        <v>43796.64583</v>
      </c>
      <c r="B632" s="1">
        <f>IFERROR(__xludf.DUMMYFUNCTION("""COMPUTED_VALUE"""),14425.0)</f>
        <v>14425</v>
      </c>
      <c r="C632" s="1">
        <f>IFERROR(__xludf.DUMMYFUNCTION("""COMPUTED_VALUE"""),14575.0)</f>
        <v>14575</v>
      </c>
      <c r="D632" s="1">
        <f>IFERROR(__xludf.DUMMYFUNCTION("""COMPUTED_VALUE"""),14075.0)</f>
        <v>14075</v>
      </c>
      <c r="E632" s="1">
        <f>IFERROR(__xludf.DUMMYFUNCTION("""COMPUTED_VALUE"""),14150.0)</f>
        <v>14150</v>
      </c>
      <c r="F632" s="1">
        <f>IFERROR(__xludf.DUMMYFUNCTION("""COMPUTED_VALUE"""),27436.0)</f>
        <v>27436</v>
      </c>
    </row>
    <row r="633">
      <c r="A633" s="2">
        <f>IFERROR(__xludf.DUMMYFUNCTION("""COMPUTED_VALUE"""),43797.64583333333)</f>
        <v>43797.64583</v>
      </c>
      <c r="B633" s="1">
        <f>IFERROR(__xludf.DUMMYFUNCTION("""COMPUTED_VALUE"""),14050.0)</f>
        <v>14050</v>
      </c>
      <c r="C633" s="1">
        <f>IFERROR(__xludf.DUMMYFUNCTION("""COMPUTED_VALUE"""),14600.0)</f>
        <v>14600</v>
      </c>
      <c r="D633" s="1">
        <f>IFERROR(__xludf.DUMMYFUNCTION("""COMPUTED_VALUE"""),13950.0)</f>
        <v>13950</v>
      </c>
      <c r="E633" s="1">
        <f>IFERROR(__xludf.DUMMYFUNCTION("""COMPUTED_VALUE"""),14325.0)</f>
        <v>14325</v>
      </c>
      <c r="F633" s="1">
        <f>IFERROR(__xludf.DUMMYFUNCTION("""COMPUTED_VALUE"""),67180.0)</f>
        <v>67180</v>
      </c>
    </row>
    <row r="634">
      <c r="A634" s="2">
        <f>IFERROR(__xludf.DUMMYFUNCTION("""COMPUTED_VALUE"""),43798.64583333333)</f>
        <v>43798.64583</v>
      </c>
      <c r="B634" s="1">
        <f>IFERROR(__xludf.DUMMYFUNCTION("""COMPUTED_VALUE"""),14325.0)</f>
        <v>14325</v>
      </c>
      <c r="C634" s="1">
        <f>IFERROR(__xludf.DUMMYFUNCTION("""COMPUTED_VALUE"""),14400.0)</f>
        <v>14400</v>
      </c>
      <c r="D634" s="1">
        <f>IFERROR(__xludf.DUMMYFUNCTION("""COMPUTED_VALUE"""),13600.0)</f>
        <v>13600</v>
      </c>
      <c r="E634" s="1">
        <f>IFERROR(__xludf.DUMMYFUNCTION("""COMPUTED_VALUE"""),13925.0)</f>
        <v>13925</v>
      </c>
      <c r="F634" s="1">
        <f>IFERROR(__xludf.DUMMYFUNCTION("""COMPUTED_VALUE"""),55662.0)</f>
        <v>55662</v>
      </c>
    </row>
    <row r="635">
      <c r="A635" s="2">
        <f>IFERROR(__xludf.DUMMYFUNCTION("""COMPUTED_VALUE"""),43801.64583333333)</f>
        <v>43801.64583</v>
      </c>
      <c r="B635" s="1">
        <f>IFERROR(__xludf.DUMMYFUNCTION("""COMPUTED_VALUE"""),14025.0)</f>
        <v>14025</v>
      </c>
      <c r="C635" s="1">
        <f>IFERROR(__xludf.DUMMYFUNCTION("""COMPUTED_VALUE"""),14175.0)</f>
        <v>14175</v>
      </c>
      <c r="D635" s="1">
        <f>IFERROR(__xludf.DUMMYFUNCTION("""COMPUTED_VALUE"""),13750.0)</f>
        <v>13750</v>
      </c>
      <c r="E635" s="1">
        <f>IFERROR(__xludf.DUMMYFUNCTION("""COMPUTED_VALUE"""),13975.0)</f>
        <v>13975</v>
      </c>
      <c r="F635" s="1">
        <f>IFERROR(__xludf.DUMMYFUNCTION("""COMPUTED_VALUE"""),25835.0)</f>
        <v>25835</v>
      </c>
    </row>
    <row r="636">
      <c r="A636" s="2">
        <f>IFERROR(__xludf.DUMMYFUNCTION("""COMPUTED_VALUE"""),43802.64583333333)</f>
        <v>43802.64583</v>
      </c>
      <c r="B636" s="1">
        <f>IFERROR(__xludf.DUMMYFUNCTION("""COMPUTED_VALUE"""),13750.0)</f>
        <v>13750</v>
      </c>
      <c r="C636" s="1">
        <f>IFERROR(__xludf.DUMMYFUNCTION("""COMPUTED_VALUE"""),14050.0)</f>
        <v>14050</v>
      </c>
      <c r="D636" s="1">
        <f>IFERROR(__xludf.DUMMYFUNCTION("""COMPUTED_VALUE"""),13650.0)</f>
        <v>13650</v>
      </c>
      <c r="E636" s="1">
        <f>IFERROR(__xludf.DUMMYFUNCTION("""COMPUTED_VALUE"""),13975.0)</f>
        <v>13975</v>
      </c>
      <c r="F636" s="1">
        <f>IFERROR(__xludf.DUMMYFUNCTION("""COMPUTED_VALUE"""),37135.0)</f>
        <v>37135</v>
      </c>
    </row>
    <row r="637">
      <c r="A637" s="2">
        <f>IFERROR(__xludf.DUMMYFUNCTION("""COMPUTED_VALUE"""),43803.64583333333)</f>
        <v>43803.64583</v>
      </c>
      <c r="B637" s="1">
        <f>IFERROR(__xludf.DUMMYFUNCTION("""COMPUTED_VALUE"""),13800.0)</f>
        <v>13800</v>
      </c>
      <c r="C637" s="1">
        <f>IFERROR(__xludf.DUMMYFUNCTION("""COMPUTED_VALUE"""),14200.0)</f>
        <v>14200</v>
      </c>
      <c r="D637" s="1">
        <f>IFERROR(__xludf.DUMMYFUNCTION("""COMPUTED_VALUE"""),13775.0)</f>
        <v>13775</v>
      </c>
      <c r="E637" s="1">
        <f>IFERROR(__xludf.DUMMYFUNCTION("""COMPUTED_VALUE"""),13975.0)</f>
        <v>13975</v>
      </c>
      <c r="F637" s="1">
        <f>IFERROR(__xludf.DUMMYFUNCTION("""COMPUTED_VALUE"""),23743.0)</f>
        <v>23743</v>
      </c>
    </row>
    <row r="638">
      <c r="A638" s="2">
        <f>IFERROR(__xludf.DUMMYFUNCTION("""COMPUTED_VALUE"""),43804.64583333333)</f>
        <v>43804.64583</v>
      </c>
      <c r="B638" s="1">
        <f>IFERROR(__xludf.DUMMYFUNCTION("""COMPUTED_VALUE"""),14100.0)</f>
        <v>14100</v>
      </c>
      <c r="C638" s="1">
        <f>IFERROR(__xludf.DUMMYFUNCTION("""COMPUTED_VALUE"""),14200.0)</f>
        <v>14200</v>
      </c>
      <c r="D638" s="1">
        <f>IFERROR(__xludf.DUMMYFUNCTION("""COMPUTED_VALUE"""),13675.0)</f>
        <v>13675</v>
      </c>
      <c r="E638" s="1">
        <f>IFERROR(__xludf.DUMMYFUNCTION("""COMPUTED_VALUE"""),13750.0)</f>
        <v>13750</v>
      </c>
      <c r="F638" s="1">
        <f>IFERROR(__xludf.DUMMYFUNCTION("""COMPUTED_VALUE"""),33218.0)</f>
        <v>33218</v>
      </c>
    </row>
    <row r="639">
      <c r="A639" s="2">
        <f>IFERROR(__xludf.DUMMYFUNCTION("""COMPUTED_VALUE"""),43805.64583333333)</f>
        <v>43805.64583</v>
      </c>
      <c r="B639" s="1">
        <f>IFERROR(__xludf.DUMMYFUNCTION("""COMPUTED_VALUE"""),13725.0)</f>
        <v>13725</v>
      </c>
      <c r="C639" s="1">
        <f>IFERROR(__xludf.DUMMYFUNCTION("""COMPUTED_VALUE"""),14200.0)</f>
        <v>14200</v>
      </c>
      <c r="D639" s="1">
        <f>IFERROR(__xludf.DUMMYFUNCTION("""COMPUTED_VALUE"""),13450.0)</f>
        <v>13450</v>
      </c>
      <c r="E639" s="1">
        <f>IFERROR(__xludf.DUMMYFUNCTION("""COMPUTED_VALUE"""),13625.0)</f>
        <v>13625</v>
      </c>
      <c r="F639" s="1">
        <f>IFERROR(__xludf.DUMMYFUNCTION("""COMPUTED_VALUE"""),62191.0)</f>
        <v>62191</v>
      </c>
    </row>
    <row r="640">
      <c r="A640" s="2">
        <f>IFERROR(__xludf.DUMMYFUNCTION("""COMPUTED_VALUE"""),43808.64583333333)</f>
        <v>43808.64583</v>
      </c>
      <c r="B640" s="1">
        <f>IFERROR(__xludf.DUMMYFUNCTION("""COMPUTED_VALUE"""),13725.0)</f>
        <v>13725</v>
      </c>
      <c r="C640" s="1">
        <f>IFERROR(__xludf.DUMMYFUNCTION("""COMPUTED_VALUE"""),13975.0)</f>
        <v>13975</v>
      </c>
      <c r="D640" s="1">
        <f>IFERROR(__xludf.DUMMYFUNCTION("""COMPUTED_VALUE"""),13225.0)</f>
        <v>13225</v>
      </c>
      <c r="E640" s="1">
        <f>IFERROR(__xludf.DUMMYFUNCTION("""COMPUTED_VALUE"""),13850.0)</f>
        <v>13850</v>
      </c>
      <c r="F640" s="1">
        <f>IFERROR(__xludf.DUMMYFUNCTION("""COMPUTED_VALUE"""),37929.0)</f>
        <v>37929</v>
      </c>
    </row>
    <row r="641">
      <c r="A641" s="2">
        <f>IFERROR(__xludf.DUMMYFUNCTION("""COMPUTED_VALUE"""),43809.64583333333)</f>
        <v>43809.64583</v>
      </c>
      <c r="B641" s="1">
        <f>IFERROR(__xludf.DUMMYFUNCTION("""COMPUTED_VALUE"""),13725.0)</f>
        <v>13725</v>
      </c>
      <c r="C641" s="1">
        <f>IFERROR(__xludf.DUMMYFUNCTION("""COMPUTED_VALUE"""),13875.0)</f>
        <v>13875</v>
      </c>
      <c r="D641" s="1">
        <f>IFERROR(__xludf.DUMMYFUNCTION("""COMPUTED_VALUE"""),13250.0)</f>
        <v>13250</v>
      </c>
      <c r="E641" s="1">
        <f>IFERROR(__xludf.DUMMYFUNCTION("""COMPUTED_VALUE"""),13350.0)</f>
        <v>13350</v>
      </c>
      <c r="F641" s="1">
        <f>IFERROR(__xludf.DUMMYFUNCTION("""COMPUTED_VALUE"""),43797.0)</f>
        <v>43797</v>
      </c>
    </row>
    <row r="642">
      <c r="A642" s="2">
        <f>IFERROR(__xludf.DUMMYFUNCTION("""COMPUTED_VALUE"""),43810.64583333333)</f>
        <v>43810.64583</v>
      </c>
      <c r="B642" s="1">
        <f>IFERROR(__xludf.DUMMYFUNCTION("""COMPUTED_VALUE"""),13375.0)</f>
        <v>13375</v>
      </c>
      <c r="C642" s="1">
        <f>IFERROR(__xludf.DUMMYFUNCTION("""COMPUTED_VALUE"""),13600.0)</f>
        <v>13600</v>
      </c>
      <c r="D642" s="1">
        <f>IFERROR(__xludf.DUMMYFUNCTION("""COMPUTED_VALUE"""),13150.0)</f>
        <v>13150</v>
      </c>
      <c r="E642" s="1">
        <f>IFERROR(__xludf.DUMMYFUNCTION("""COMPUTED_VALUE"""),13475.0)</f>
        <v>13475</v>
      </c>
      <c r="F642" s="1">
        <f>IFERROR(__xludf.DUMMYFUNCTION("""COMPUTED_VALUE"""),32119.0)</f>
        <v>32119</v>
      </c>
    </row>
    <row r="643">
      <c r="A643" s="2">
        <f>IFERROR(__xludf.DUMMYFUNCTION("""COMPUTED_VALUE"""),43811.64583333333)</f>
        <v>43811.64583</v>
      </c>
      <c r="B643" s="1">
        <f>IFERROR(__xludf.DUMMYFUNCTION("""COMPUTED_VALUE"""),13425.0)</f>
        <v>13425</v>
      </c>
      <c r="C643" s="1">
        <f>IFERROR(__xludf.DUMMYFUNCTION("""COMPUTED_VALUE"""),14500.0)</f>
        <v>14500</v>
      </c>
      <c r="D643" s="1">
        <f>IFERROR(__xludf.DUMMYFUNCTION("""COMPUTED_VALUE"""),13425.0)</f>
        <v>13425</v>
      </c>
      <c r="E643" s="1">
        <f>IFERROR(__xludf.DUMMYFUNCTION("""COMPUTED_VALUE"""),14450.0)</f>
        <v>14450</v>
      </c>
      <c r="F643" s="1">
        <f>IFERROR(__xludf.DUMMYFUNCTION("""COMPUTED_VALUE"""),82541.0)</f>
        <v>82541</v>
      </c>
    </row>
    <row r="644">
      <c r="A644" s="2">
        <f>IFERROR(__xludf.DUMMYFUNCTION("""COMPUTED_VALUE"""),43812.64583333333)</f>
        <v>43812.64583</v>
      </c>
      <c r="B644" s="1">
        <f>IFERROR(__xludf.DUMMYFUNCTION("""COMPUTED_VALUE"""),14550.0)</f>
        <v>14550</v>
      </c>
      <c r="C644" s="1">
        <f>IFERROR(__xludf.DUMMYFUNCTION("""COMPUTED_VALUE"""),15375.0)</f>
        <v>15375</v>
      </c>
      <c r="D644" s="1">
        <f>IFERROR(__xludf.DUMMYFUNCTION("""COMPUTED_VALUE"""),14475.0)</f>
        <v>14475</v>
      </c>
      <c r="E644" s="1">
        <f>IFERROR(__xludf.DUMMYFUNCTION("""COMPUTED_VALUE"""),15150.0)</f>
        <v>15150</v>
      </c>
      <c r="F644" s="1">
        <f>IFERROR(__xludf.DUMMYFUNCTION("""COMPUTED_VALUE"""),119686.0)</f>
        <v>119686</v>
      </c>
    </row>
    <row r="645">
      <c r="A645" s="2">
        <f>IFERROR(__xludf.DUMMYFUNCTION("""COMPUTED_VALUE"""),43815.64583333333)</f>
        <v>43815.64583</v>
      </c>
      <c r="B645" s="1">
        <f>IFERROR(__xludf.DUMMYFUNCTION("""COMPUTED_VALUE"""),14975.0)</f>
        <v>14975</v>
      </c>
      <c r="C645" s="1">
        <f>IFERROR(__xludf.DUMMYFUNCTION("""COMPUTED_VALUE"""),15300.0)</f>
        <v>15300</v>
      </c>
      <c r="D645" s="1">
        <f>IFERROR(__xludf.DUMMYFUNCTION("""COMPUTED_VALUE"""),14800.0)</f>
        <v>14800</v>
      </c>
      <c r="E645" s="1">
        <f>IFERROR(__xludf.DUMMYFUNCTION("""COMPUTED_VALUE"""),15075.0)</f>
        <v>15075</v>
      </c>
      <c r="F645" s="1">
        <f>IFERROR(__xludf.DUMMYFUNCTION("""COMPUTED_VALUE"""),33739.0)</f>
        <v>33739</v>
      </c>
    </row>
    <row r="646">
      <c r="A646" s="2">
        <f>IFERROR(__xludf.DUMMYFUNCTION("""COMPUTED_VALUE"""),43816.64583333333)</f>
        <v>43816.64583</v>
      </c>
      <c r="B646" s="1">
        <f>IFERROR(__xludf.DUMMYFUNCTION("""COMPUTED_VALUE"""),15325.0)</f>
        <v>15325</v>
      </c>
      <c r="C646" s="1">
        <f>IFERROR(__xludf.DUMMYFUNCTION("""COMPUTED_VALUE"""),15500.0)</f>
        <v>15500</v>
      </c>
      <c r="D646" s="1">
        <f>IFERROR(__xludf.DUMMYFUNCTION("""COMPUTED_VALUE"""),15000.0)</f>
        <v>15000</v>
      </c>
      <c r="E646" s="1">
        <f>IFERROR(__xludf.DUMMYFUNCTION("""COMPUTED_VALUE"""),15000.0)</f>
        <v>15000</v>
      </c>
      <c r="F646" s="1">
        <f>IFERROR(__xludf.DUMMYFUNCTION("""COMPUTED_VALUE"""),49585.0)</f>
        <v>49585</v>
      </c>
    </row>
    <row r="647">
      <c r="A647" s="2">
        <f>IFERROR(__xludf.DUMMYFUNCTION("""COMPUTED_VALUE"""),43817.64583333333)</f>
        <v>43817.64583</v>
      </c>
      <c r="B647" s="1">
        <f>IFERROR(__xludf.DUMMYFUNCTION("""COMPUTED_VALUE"""),15175.0)</f>
        <v>15175</v>
      </c>
      <c r="C647" s="1">
        <f>IFERROR(__xludf.DUMMYFUNCTION("""COMPUTED_VALUE"""),15475.0)</f>
        <v>15475</v>
      </c>
      <c r="D647" s="1">
        <f>IFERROR(__xludf.DUMMYFUNCTION("""COMPUTED_VALUE"""),15025.0)</f>
        <v>15025</v>
      </c>
      <c r="E647" s="1">
        <f>IFERROR(__xludf.DUMMYFUNCTION("""COMPUTED_VALUE"""),15325.0)</f>
        <v>15325</v>
      </c>
      <c r="F647" s="1">
        <f>IFERROR(__xludf.DUMMYFUNCTION("""COMPUTED_VALUE"""),49535.0)</f>
        <v>49535</v>
      </c>
    </row>
    <row r="648">
      <c r="A648" s="2">
        <f>IFERROR(__xludf.DUMMYFUNCTION("""COMPUTED_VALUE"""),43818.64583333333)</f>
        <v>43818.64583</v>
      </c>
      <c r="B648" s="1">
        <f>IFERROR(__xludf.DUMMYFUNCTION("""COMPUTED_VALUE"""),15225.0)</f>
        <v>15225</v>
      </c>
      <c r="C648" s="1">
        <f>IFERROR(__xludf.DUMMYFUNCTION("""COMPUTED_VALUE"""),15300.0)</f>
        <v>15300</v>
      </c>
      <c r="D648" s="1">
        <f>IFERROR(__xludf.DUMMYFUNCTION("""COMPUTED_VALUE"""),14225.0)</f>
        <v>14225</v>
      </c>
      <c r="E648" s="1">
        <f>IFERROR(__xludf.DUMMYFUNCTION("""COMPUTED_VALUE"""),14550.0)</f>
        <v>14550</v>
      </c>
      <c r="F648" s="1">
        <f>IFERROR(__xludf.DUMMYFUNCTION("""COMPUTED_VALUE"""),100764.0)</f>
        <v>100764</v>
      </c>
    </row>
    <row r="649">
      <c r="A649" s="2">
        <f>IFERROR(__xludf.DUMMYFUNCTION("""COMPUTED_VALUE"""),43819.64583333333)</f>
        <v>43819.64583</v>
      </c>
      <c r="B649" s="1">
        <f>IFERROR(__xludf.DUMMYFUNCTION("""COMPUTED_VALUE"""),14725.0)</f>
        <v>14725</v>
      </c>
      <c r="C649" s="1">
        <f>IFERROR(__xludf.DUMMYFUNCTION("""COMPUTED_VALUE"""),15400.0)</f>
        <v>15400</v>
      </c>
      <c r="D649" s="1">
        <f>IFERROR(__xludf.DUMMYFUNCTION("""COMPUTED_VALUE"""),14200.0)</f>
        <v>14200</v>
      </c>
      <c r="E649" s="1">
        <f>IFERROR(__xludf.DUMMYFUNCTION("""COMPUTED_VALUE"""),15325.0)</f>
        <v>15325</v>
      </c>
      <c r="F649" s="1">
        <f>IFERROR(__xludf.DUMMYFUNCTION("""COMPUTED_VALUE"""),101601.0)</f>
        <v>101601</v>
      </c>
    </row>
    <row r="650">
      <c r="A650" s="2">
        <f>IFERROR(__xludf.DUMMYFUNCTION("""COMPUTED_VALUE"""),43822.64583333333)</f>
        <v>43822.64583</v>
      </c>
      <c r="B650" s="1">
        <f>IFERROR(__xludf.DUMMYFUNCTION("""COMPUTED_VALUE"""),15300.0)</f>
        <v>15300</v>
      </c>
      <c r="C650" s="1">
        <f>IFERROR(__xludf.DUMMYFUNCTION("""COMPUTED_VALUE"""),15450.0)</f>
        <v>15450</v>
      </c>
      <c r="D650" s="1">
        <f>IFERROR(__xludf.DUMMYFUNCTION("""COMPUTED_VALUE"""),14475.0)</f>
        <v>14475</v>
      </c>
      <c r="E650" s="1">
        <f>IFERROR(__xludf.DUMMYFUNCTION("""COMPUTED_VALUE"""),14650.0)</f>
        <v>14650</v>
      </c>
      <c r="F650" s="1">
        <f>IFERROR(__xludf.DUMMYFUNCTION("""COMPUTED_VALUE"""),89991.0)</f>
        <v>89991</v>
      </c>
    </row>
    <row r="651">
      <c r="A651" s="2">
        <f>IFERROR(__xludf.DUMMYFUNCTION("""COMPUTED_VALUE"""),43823.64583333333)</f>
        <v>43823.64583</v>
      </c>
      <c r="B651" s="1">
        <f>IFERROR(__xludf.DUMMYFUNCTION("""COMPUTED_VALUE"""),14775.0)</f>
        <v>14775</v>
      </c>
      <c r="C651" s="1">
        <f>IFERROR(__xludf.DUMMYFUNCTION("""COMPUTED_VALUE"""),14775.0)</f>
        <v>14775</v>
      </c>
      <c r="D651" s="1">
        <f>IFERROR(__xludf.DUMMYFUNCTION("""COMPUTED_VALUE"""),13925.0)</f>
        <v>13925</v>
      </c>
      <c r="E651" s="1">
        <f>IFERROR(__xludf.DUMMYFUNCTION("""COMPUTED_VALUE"""),14000.0)</f>
        <v>14000</v>
      </c>
      <c r="F651" s="1">
        <f>IFERROR(__xludf.DUMMYFUNCTION("""COMPUTED_VALUE"""),102145.0)</f>
        <v>102145</v>
      </c>
    </row>
    <row r="652">
      <c r="A652" s="2">
        <f>IFERROR(__xludf.DUMMYFUNCTION("""COMPUTED_VALUE"""),43825.64583333333)</f>
        <v>43825.64583</v>
      </c>
      <c r="B652" s="1">
        <f>IFERROR(__xludf.DUMMYFUNCTION("""COMPUTED_VALUE"""),14125.0)</f>
        <v>14125</v>
      </c>
      <c r="C652" s="1">
        <f>IFERROR(__xludf.DUMMYFUNCTION("""COMPUTED_VALUE"""),14350.0)</f>
        <v>14350</v>
      </c>
      <c r="D652" s="1">
        <f>IFERROR(__xludf.DUMMYFUNCTION("""COMPUTED_VALUE"""),13350.0)</f>
        <v>13350</v>
      </c>
      <c r="E652" s="1">
        <f>IFERROR(__xludf.DUMMYFUNCTION("""COMPUTED_VALUE"""),14150.0)</f>
        <v>14150</v>
      </c>
      <c r="F652" s="1">
        <f>IFERROR(__xludf.DUMMYFUNCTION("""COMPUTED_VALUE"""),183549.0)</f>
        <v>183549</v>
      </c>
    </row>
    <row r="653">
      <c r="A653" s="2">
        <f>IFERROR(__xludf.DUMMYFUNCTION("""COMPUTED_VALUE"""),43826.64583333333)</f>
        <v>43826.64583</v>
      </c>
      <c r="B653" s="1">
        <f>IFERROR(__xludf.DUMMYFUNCTION("""COMPUTED_VALUE"""),14275.0)</f>
        <v>14275</v>
      </c>
      <c r="C653" s="1">
        <f>IFERROR(__xludf.DUMMYFUNCTION("""COMPUTED_VALUE"""),15525.0)</f>
        <v>15525</v>
      </c>
      <c r="D653" s="1">
        <f>IFERROR(__xludf.DUMMYFUNCTION("""COMPUTED_VALUE"""),14200.0)</f>
        <v>14200</v>
      </c>
      <c r="E653" s="1">
        <f>IFERROR(__xludf.DUMMYFUNCTION("""COMPUTED_VALUE"""),14675.0)</f>
        <v>14675</v>
      </c>
      <c r="F653" s="1">
        <f>IFERROR(__xludf.DUMMYFUNCTION("""COMPUTED_VALUE"""),225984.0)</f>
        <v>225984</v>
      </c>
    </row>
    <row r="654">
      <c r="A654" s="2">
        <f>IFERROR(__xludf.DUMMYFUNCTION("""COMPUTED_VALUE"""),43829.64583333333)</f>
        <v>43829.64583</v>
      </c>
      <c r="B654" s="1">
        <f>IFERROR(__xludf.DUMMYFUNCTION("""COMPUTED_VALUE"""),14925.0)</f>
        <v>14925</v>
      </c>
      <c r="C654" s="1">
        <f>IFERROR(__xludf.DUMMYFUNCTION("""COMPUTED_VALUE"""),14925.0)</f>
        <v>14925</v>
      </c>
      <c r="D654" s="1">
        <f>IFERROR(__xludf.DUMMYFUNCTION("""COMPUTED_VALUE"""),14275.0)</f>
        <v>14275</v>
      </c>
      <c r="E654" s="1">
        <f>IFERROR(__xludf.DUMMYFUNCTION("""COMPUTED_VALUE"""),14475.0)</f>
        <v>14475</v>
      </c>
      <c r="F654" s="1">
        <f>IFERROR(__xludf.DUMMYFUNCTION("""COMPUTED_VALUE"""),60449.0)</f>
        <v>60449</v>
      </c>
    </row>
    <row r="655">
      <c r="A655" s="2">
        <f>IFERROR(__xludf.DUMMYFUNCTION("""COMPUTED_VALUE"""),43832.64583333333)</f>
        <v>43832.64583</v>
      </c>
      <c r="B655" s="1">
        <f>IFERROR(__xludf.DUMMYFUNCTION("""COMPUTED_VALUE"""),14475.0)</f>
        <v>14475</v>
      </c>
      <c r="C655" s="1">
        <f>IFERROR(__xludf.DUMMYFUNCTION("""COMPUTED_VALUE"""),14650.0)</f>
        <v>14650</v>
      </c>
      <c r="D655" s="1">
        <f>IFERROR(__xludf.DUMMYFUNCTION("""COMPUTED_VALUE"""),13950.0)</f>
        <v>13950</v>
      </c>
      <c r="E655" s="1">
        <f>IFERROR(__xludf.DUMMYFUNCTION("""COMPUTED_VALUE"""),14650.0)</f>
        <v>14650</v>
      </c>
      <c r="F655" s="1">
        <f>IFERROR(__xludf.DUMMYFUNCTION("""COMPUTED_VALUE"""),84251.0)</f>
        <v>84251</v>
      </c>
    </row>
    <row r="656">
      <c r="A656" s="2">
        <f>IFERROR(__xludf.DUMMYFUNCTION("""COMPUTED_VALUE"""),43833.64583333333)</f>
        <v>43833.64583</v>
      </c>
      <c r="B656" s="1">
        <f>IFERROR(__xludf.DUMMYFUNCTION("""COMPUTED_VALUE"""),14650.0)</f>
        <v>14650</v>
      </c>
      <c r="C656" s="1">
        <f>IFERROR(__xludf.DUMMYFUNCTION("""COMPUTED_VALUE"""),15750.0)</f>
        <v>15750</v>
      </c>
      <c r="D656" s="1">
        <f>IFERROR(__xludf.DUMMYFUNCTION("""COMPUTED_VALUE"""),14475.0)</f>
        <v>14475</v>
      </c>
      <c r="E656" s="1">
        <f>IFERROR(__xludf.DUMMYFUNCTION("""COMPUTED_VALUE"""),15500.0)</f>
        <v>15500</v>
      </c>
      <c r="F656" s="1">
        <f>IFERROR(__xludf.DUMMYFUNCTION("""COMPUTED_VALUE"""),237789.0)</f>
        <v>237789</v>
      </c>
    </row>
    <row r="657">
      <c r="A657" s="2">
        <f>IFERROR(__xludf.DUMMYFUNCTION("""COMPUTED_VALUE"""),43836.64583333333)</f>
        <v>43836.64583</v>
      </c>
      <c r="B657" s="1">
        <f>IFERROR(__xludf.DUMMYFUNCTION("""COMPUTED_VALUE"""),15275.0)</f>
        <v>15275</v>
      </c>
      <c r="C657" s="1">
        <f>IFERROR(__xludf.DUMMYFUNCTION("""COMPUTED_VALUE"""),15300.0)</f>
        <v>15300</v>
      </c>
      <c r="D657" s="1">
        <f>IFERROR(__xludf.DUMMYFUNCTION("""COMPUTED_VALUE"""),14450.0)</f>
        <v>14450</v>
      </c>
      <c r="E657" s="1">
        <f>IFERROR(__xludf.DUMMYFUNCTION("""COMPUTED_VALUE"""),14475.0)</f>
        <v>14475</v>
      </c>
      <c r="F657" s="1">
        <f>IFERROR(__xludf.DUMMYFUNCTION("""COMPUTED_VALUE"""),156759.0)</f>
        <v>156759</v>
      </c>
    </row>
    <row r="658">
      <c r="A658" s="2">
        <f>IFERROR(__xludf.DUMMYFUNCTION("""COMPUTED_VALUE"""),43837.64583333333)</f>
        <v>43837.64583</v>
      </c>
      <c r="B658" s="1">
        <f>IFERROR(__xludf.DUMMYFUNCTION("""COMPUTED_VALUE"""),14700.0)</f>
        <v>14700</v>
      </c>
      <c r="C658" s="1">
        <f>IFERROR(__xludf.DUMMYFUNCTION("""COMPUTED_VALUE"""),14850.0)</f>
        <v>14850</v>
      </c>
      <c r="D658" s="1">
        <f>IFERROR(__xludf.DUMMYFUNCTION("""COMPUTED_VALUE"""),14375.0)</f>
        <v>14375</v>
      </c>
      <c r="E658" s="1">
        <f>IFERROR(__xludf.DUMMYFUNCTION("""COMPUTED_VALUE"""),14475.0)</f>
        <v>14475</v>
      </c>
      <c r="F658" s="1">
        <f>IFERROR(__xludf.DUMMYFUNCTION("""COMPUTED_VALUE"""),55364.0)</f>
        <v>55364</v>
      </c>
    </row>
    <row r="659">
      <c r="A659" s="2">
        <f>IFERROR(__xludf.DUMMYFUNCTION("""COMPUTED_VALUE"""),43838.64583333333)</f>
        <v>43838.64583</v>
      </c>
      <c r="B659" s="1">
        <f>IFERROR(__xludf.DUMMYFUNCTION("""COMPUTED_VALUE"""),14350.0)</f>
        <v>14350</v>
      </c>
      <c r="C659" s="1">
        <f>IFERROR(__xludf.DUMMYFUNCTION("""COMPUTED_VALUE"""),14575.0)</f>
        <v>14575</v>
      </c>
      <c r="D659" s="1">
        <f>IFERROR(__xludf.DUMMYFUNCTION("""COMPUTED_VALUE"""),13900.0)</f>
        <v>13900</v>
      </c>
      <c r="E659" s="1">
        <f>IFERROR(__xludf.DUMMYFUNCTION("""COMPUTED_VALUE"""),14025.0)</f>
        <v>14025</v>
      </c>
      <c r="F659" s="1">
        <f>IFERROR(__xludf.DUMMYFUNCTION("""COMPUTED_VALUE"""),78417.0)</f>
        <v>78417</v>
      </c>
    </row>
    <row r="660">
      <c r="A660" s="2">
        <f>IFERROR(__xludf.DUMMYFUNCTION("""COMPUTED_VALUE"""),43839.64583333333)</f>
        <v>43839.64583</v>
      </c>
      <c r="B660" s="1">
        <f>IFERROR(__xludf.DUMMYFUNCTION("""COMPUTED_VALUE"""),14475.0)</f>
        <v>14475</v>
      </c>
      <c r="C660" s="1">
        <f>IFERROR(__xludf.DUMMYFUNCTION("""COMPUTED_VALUE"""),14675.0)</f>
        <v>14675</v>
      </c>
      <c r="D660" s="1">
        <f>IFERROR(__xludf.DUMMYFUNCTION("""COMPUTED_VALUE"""),14150.0)</f>
        <v>14150</v>
      </c>
      <c r="E660" s="1">
        <f>IFERROR(__xludf.DUMMYFUNCTION("""COMPUTED_VALUE"""),14325.0)</f>
        <v>14325</v>
      </c>
      <c r="F660" s="1">
        <f>IFERROR(__xludf.DUMMYFUNCTION("""COMPUTED_VALUE"""),86860.0)</f>
        <v>86860</v>
      </c>
    </row>
    <row r="661">
      <c r="A661" s="2">
        <f>IFERROR(__xludf.DUMMYFUNCTION("""COMPUTED_VALUE"""),43840.64583333333)</f>
        <v>43840.64583</v>
      </c>
      <c r="B661" s="1">
        <f>IFERROR(__xludf.DUMMYFUNCTION("""COMPUTED_VALUE"""),14400.0)</f>
        <v>14400</v>
      </c>
      <c r="C661" s="1">
        <f>IFERROR(__xludf.DUMMYFUNCTION("""COMPUTED_VALUE"""),14750.0)</f>
        <v>14750</v>
      </c>
      <c r="D661" s="1">
        <f>IFERROR(__xludf.DUMMYFUNCTION("""COMPUTED_VALUE"""),14300.0)</f>
        <v>14300</v>
      </c>
      <c r="E661" s="1">
        <f>IFERROR(__xludf.DUMMYFUNCTION("""COMPUTED_VALUE"""),14575.0)</f>
        <v>14575</v>
      </c>
      <c r="F661" s="1">
        <f>IFERROR(__xludf.DUMMYFUNCTION("""COMPUTED_VALUE"""),57322.0)</f>
        <v>57322</v>
      </c>
    </row>
    <row r="662">
      <c r="A662" s="2">
        <f>IFERROR(__xludf.DUMMYFUNCTION("""COMPUTED_VALUE"""),43843.64583333333)</f>
        <v>43843.64583</v>
      </c>
      <c r="B662" s="1">
        <f>IFERROR(__xludf.DUMMYFUNCTION("""COMPUTED_VALUE"""),14575.0)</f>
        <v>14575</v>
      </c>
      <c r="C662" s="1">
        <f>IFERROR(__xludf.DUMMYFUNCTION("""COMPUTED_VALUE"""),14600.0)</f>
        <v>14600</v>
      </c>
      <c r="D662" s="1">
        <f>IFERROR(__xludf.DUMMYFUNCTION("""COMPUTED_VALUE"""),14050.0)</f>
        <v>14050</v>
      </c>
      <c r="E662" s="1">
        <f>IFERROR(__xludf.DUMMYFUNCTION("""COMPUTED_VALUE"""),14175.0)</f>
        <v>14175</v>
      </c>
      <c r="F662" s="1">
        <f>IFERROR(__xludf.DUMMYFUNCTION("""COMPUTED_VALUE"""),83261.0)</f>
        <v>83261</v>
      </c>
    </row>
    <row r="663">
      <c r="A663" s="2">
        <f>IFERROR(__xludf.DUMMYFUNCTION("""COMPUTED_VALUE"""),43844.64583333333)</f>
        <v>43844.64583</v>
      </c>
      <c r="B663" s="1">
        <f>IFERROR(__xludf.DUMMYFUNCTION("""COMPUTED_VALUE"""),14375.0)</f>
        <v>14375</v>
      </c>
      <c r="C663" s="1">
        <f>IFERROR(__xludf.DUMMYFUNCTION("""COMPUTED_VALUE"""),14400.0)</f>
        <v>14400</v>
      </c>
      <c r="D663" s="1">
        <f>IFERROR(__xludf.DUMMYFUNCTION("""COMPUTED_VALUE"""),14050.0)</f>
        <v>14050</v>
      </c>
      <c r="E663" s="1">
        <f>IFERROR(__xludf.DUMMYFUNCTION("""COMPUTED_VALUE"""),14125.0)</f>
        <v>14125</v>
      </c>
      <c r="F663" s="1">
        <f>IFERROR(__xludf.DUMMYFUNCTION("""COMPUTED_VALUE"""),54496.0)</f>
        <v>54496</v>
      </c>
    </row>
    <row r="664">
      <c r="A664" s="2">
        <f>IFERROR(__xludf.DUMMYFUNCTION("""COMPUTED_VALUE"""),43845.64583333333)</f>
        <v>43845.64583</v>
      </c>
      <c r="B664" s="1">
        <f>IFERROR(__xludf.DUMMYFUNCTION("""COMPUTED_VALUE"""),14100.0)</f>
        <v>14100</v>
      </c>
      <c r="C664" s="1">
        <f>IFERROR(__xludf.DUMMYFUNCTION("""COMPUTED_VALUE"""),14200.0)</f>
        <v>14200</v>
      </c>
      <c r="D664" s="1">
        <f>IFERROR(__xludf.DUMMYFUNCTION("""COMPUTED_VALUE"""),13975.0)</f>
        <v>13975</v>
      </c>
      <c r="E664" s="1">
        <f>IFERROR(__xludf.DUMMYFUNCTION("""COMPUTED_VALUE"""),14100.0)</f>
        <v>14100</v>
      </c>
      <c r="F664" s="1">
        <f>IFERROR(__xludf.DUMMYFUNCTION("""COMPUTED_VALUE"""),30368.0)</f>
        <v>30368</v>
      </c>
    </row>
    <row r="665">
      <c r="A665" s="2">
        <f>IFERROR(__xludf.DUMMYFUNCTION("""COMPUTED_VALUE"""),43846.64583333333)</f>
        <v>43846.64583</v>
      </c>
      <c r="B665" s="1">
        <f>IFERROR(__xludf.DUMMYFUNCTION("""COMPUTED_VALUE"""),14100.0)</f>
        <v>14100</v>
      </c>
      <c r="C665" s="1">
        <f>IFERROR(__xludf.DUMMYFUNCTION("""COMPUTED_VALUE"""),14350.0)</f>
        <v>14350</v>
      </c>
      <c r="D665" s="1">
        <f>IFERROR(__xludf.DUMMYFUNCTION("""COMPUTED_VALUE"""),13650.0)</f>
        <v>13650</v>
      </c>
      <c r="E665" s="1">
        <f>IFERROR(__xludf.DUMMYFUNCTION("""COMPUTED_VALUE"""),13775.0)</f>
        <v>13775</v>
      </c>
      <c r="F665" s="1">
        <f>IFERROR(__xludf.DUMMYFUNCTION("""COMPUTED_VALUE"""),81742.0)</f>
        <v>81742</v>
      </c>
    </row>
    <row r="666">
      <c r="A666" s="2">
        <f>IFERROR(__xludf.DUMMYFUNCTION("""COMPUTED_VALUE"""),43847.64583333333)</f>
        <v>43847.64583</v>
      </c>
      <c r="B666" s="1">
        <f>IFERROR(__xludf.DUMMYFUNCTION("""COMPUTED_VALUE"""),13950.0)</f>
        <v>13950</v>
      </c>
      <c r="C666" s="1">
        <f>IFERROR(__xludf.DUMMYFUNCTION("""COMPUTED_VALUE"""),14275.0)</f>
        <v>14275</v>
      </c>
      <c r="D666" s="1">
        <f>IFERROR(__xludf.DUMMYFUNCTION("""COMPUTED_VALUE"""),13550.0)</f>
        <v>13550</v>
      </c>
      <c r="E666" s="1">
        <f>IFERROR(__xludf.DUMMYFUNCTION("""COMPUTED_VALUE"""),13800.0)</f>
        <v>13800</v>
      </c>
      <c r="F666" s="1">
        <f>IFERROR(__xludf.DUMMYFUNCTION("""COMPUTED_VALUE"""),118681.0)</f>
        <v>118681</v>
      </c>
    </row>
    <row r="667">
      <c r="A667" s="2">
        <f>IFERROR(__xludf.DUMMYFUNCTION("""COMPUTED_VALUE"""),43850.64583333333)</f>
        <v>43850.64583</v>
      </c>
      <c r="B667" s="1">
        <f>IFERROR(__xludf.DUMMYFUNCTION("""COMPUTED_VALUE"""),13900.0)</f>
        <v>13900</v>
      </c>
      <c r="C667" s="1">
        <f>IFERROR(__xludf.DUMMYFUNCTION("""COMPUTED_VALUE"""),13900.0)</f>
        <v>13900</v>
      </c>
      <c r="D667" s="1">
        <f>IFERROR(__xludf.DUMMYFUNCTION("""COMPUTED_VALUE"""),13450.0)</f>
        <v>13450</v>
      </c>
      <c r="E667" s="1">
        <f>IFERROR(__xludf.DUMMYFUNCTION("""COMPUTED_VALUE"""),13550.0)</f>
        <v>13550</v>
      </c>
      <c r="F667" s="1">
        <f>IFERROR(__xludf.DUMMYFUNCTION("""COMPUTED_VALUE"""),84725.0)</f>
        <v>84725</v>
      </c>
    </row>
    <row r="668">
      <c r="A668" s="2">
        <f>IFERROR(__xludf.DUMMYFUNCTION("""COMPUTED_VALUE"""),43851.64583333333)</f>
        <v>43851.64583</v>
      </c>
      <c r="B668" s="1">
        <f>IFERROR(__xludf.DUMMYFUNCTION("""COMPUTED_VALUE"""),13675.0)</f>
        <v>13675</v>
      </c>
      <c r="C668" s="1">
        <f>IFERROR(__xludf.DUMMYFUNCTION("""COMPUTED_VALUE"""),13675.0)</f>
        <v>13675</v>
      </c>
      <c r="D668" s="1">
        <f>IFERROR(__xludf.DUMMYFUNCTION("""COMPUTED_VALUE"""),13250.0)</f>
        <v>13250</v>
      </c>
      <c r="E668" s="1">
        <f>IFERROR(__xludf.DUMMYFUNCTION("""COMPUTED_VALUE"""),13300.0)</f>
        <v>13300</v>
      </c>
      <c r="F668" s="1">
        <f>IFERROR(__xludf.DUMMYFUNCTION("""COMPUTED_VALUE"""),53533.0)</f>
        <v>53533</v>
      </c>
    </row>
    <row r="669">
      <c r="A669" s="2">
        <f>IFERROR(__xludf.DUMMYFUNCTION("""COMPUTED_VALUE"""),43852.64583333333)</f>
        <v>43852.64583</v>
      </c>
      <c r="B669" s="1">
        <f>IFERROR(__xludf.DUMMYFUNCTION("""COMPUTED_VALUE"""),13225.0)</f>
        <v>13225</v>
      </c>
      <c r="C669" s="1">
        <f>IFERROR(__xludf.DUMMYFUNCTION("""COMPUTED_VALUE"""),13750.0)</f>
        <v>13750</v>
      </c>
      <c r="D669" s="1">
        <f>IFERROR(__xludf.DUMMYFUNCTION("""COMPUTED_VALUE"""),12600.0)</f>
        <v>12600</v>
      </c>
      <c r="E669" s="1">
        <f>IFERROR(__xludf.DUMMYFUNCTION("""COMPUTED_VALUE"""),13650.0)</f>
        <v>13650</v>
      </c>
      <c r="F669" s="1">
        <f>IFERROR(__xludf.DUMMYFUNCTION("""COMPUTED_VALUE"""),172525.0)</f>
        <v>172525</v>
      </c>
    </row>
    <row r="670">
      <c r="A670" s="2">
        <f>IFERROR(__xludf.DUMMYFUNCTION("""COMPUTED_VALUE"""),43853.64583333333)</f>
        <v>43853.64583</v>
      </c>
      <c r="B670" s="1">
        <f>IFERROR(__xludf.DUMMYFUNCTION("""COMPUTED_VALUE"""),13600.0)</f>
        <v>13600</v>
      </c>
      <c r="C670" s="1">
        <f>IFERROR(__xludf.DUMMYFUNCTION("""COMPUTED_VALUE"""),13975.0)</f>
        <v>13975</v>
      </c>
      <c r="D670" s="1">
        <f>IFERROR(__xludf.DUMMYFUNCTION("""COMPUTED_VALUE"""),13450.0)</f>
        <v>13450</v>
      </c>
      <c r="E670" s="1">
        <f>IFERROR(__xludf.DUMMYFUNCTION("""COMPUTED_VALUE"""),13575.0)</f>
        <v>13575</v>
      </c>
      <c r="F670" s="1">
        <f>IFERROR(__xludf.DUMMYFUNCTION("""COMPUTED_VALUE"""),69961.0)</f>
        <v>69961</v>
      </c>
    </row>
    <row r="671">
      <c r="A671" s="2">
        <f>IFERROR(__xludf.DUMMYFUNCTION("""COMPUTED_VALUE"""),43858.64583333333)</f>
        <v>43858.64583</v>
      </c>
      <c r="B671" s="1">
        <f>IFERROR(__xludf.DUMMYFUNCTION("""COMPUTED_VALUE"""),13000.0)</f>
        <v>13000</v>
      </c>
      <c r="C671" s="1">
        <f>IFERROR(__xludf.DUMMYFUNCTION("""COMPUTED_VALUE"""),13200.0)</f>
        <v>13200</v>
      </c>
      <c r="D671" s="1">
        <f>IFERROR(__xludf.DUMMYFUNCTION("""COMPUTED_VALUE"""),12750.0)</f>
        <v>12750</v>
      </c>
      <c r="E671" s="1">
        <f>IFERROR(__xludf.DUMMYFUNCTION("""COMPUTED_VALUE"""),13125.0)</f>
        <v>13125</v>
      </c>
      <c r="F671" s="1">
        <f>IFERROR(__xludf.DUMMYFUNCTION("""COMPUTED_VALUE"""),91615.0)</f>
        <v>91615</v>
      </c>
    </row>
    <row r="672">
      <c r="A672" s="2">
        <f>IFERROR(__xludf.DUMMYFUNCTION("""COMPUTED_VALUE"""),43859.64583333333)</f>
        <v>43859.64583</v>
      </c>
      <c r="B672" s="1">
        <f>IFERROR(__xludf.DUMMYFUNCTION("""COMPUTED_VALUE"""),13150.0)</f>
        <v>13150</v>
      </c>
      <c r="C672" s="1">
        <f>IFERROR(__xludf.DUMMYFUNCTION("""COMPUTED_VALUE"""),13925.0)</f>
        <v>13925</v>
      </c>
      <c r="D672" s="1">
        <f>IFERROR(__xludf.DUMMYFUNCTION("""COMPUTED_VALUE"""),12925.0)</f>
        <v>12925</v>
      </c>
      <c r="E672" s="1">
        <f>IFERROR(__xludf.DUMMYFUNCTION("""COMPUTED_VALUE"""),13875.0)</f>
        <v>13875</v>
      </c>
      <c r="F672" s="1">
        <f>IFERROR(__xludf.DUMMYFUNCTION("""COMPUTED_VALUE"""),88885.0)</f>
        <v>88885</v>
      </c>
    </row>
    <row r="673">
      <c r="A673" s="2">
        <f>IFERROR(__xludf.DUMMYFUNCTION("""COMPUTED_VALUE"""),43860.64583333333)</f>
        <v>43860.64583</v>
      </c>
      <c r="B673" s="1">
        <f>IFERROR(__xludf.DUMMYFUNCTION("""COMPUTED_VALUE"""),13500.0)</f>
        <v>13500</v>
      </c>
      <c r="C673" s="1">
        <f>IFERROR(__xludf.DUMMYFUNCTION("""COMPUTED_VALUE"""),14475.0)</f>
        <v>14475</v>
      </c>
      <c r="D673" s="1">
        <f>IFERROR(__xludf.DUMMYFUNCTION("""COMPUTED_VALUE"""),13450.0)</f>
        <v>13450</v>
      </c>
      <c r="E673" s="1">
        <f>IFERROR(__xludf.DUMMYFUNCTION("""COMPUTED_VALUE"""),13575.0)</f>
        <v>13575</v>
      </c>
      <c r="F673" s="1">
        <f>IFERROR(__xludf.DUMMYFUNCTION("""COMPUTED_VALUE"""),122257.0)</f>
        <v>122257</v>
      </c>
    </row>
    <row r="674">
      <c r="A674" s="2">
        <f>IFERROR(__xludf.DUMMYFUNCTION("""COMPUTED_VALUE"""),43861.64583333333)</f>
        <v>43861.64583</v>
      </c>
      <c r="B674" s="1">
        <f>IFERROR(__xludf.DUMMYFUNCTION("""COMPUTED_VALUE"""),13550.0)</f>
        <v>13550</v>
      </c>
      <c r="C674" s="1">
        <f>IFERROR(__xludf.DUMMYFUNCTION("""COMPUTED_VALUE"""),14000.0)</f>
        <v>14000</v>
      </c>
      <c r="D674" s="1">
        <f>IFERROR(__xludf.DUMMYFUNCTION("""COMPUTED_VALUE"""),13025.0)</f>
        <v>13025</v>
      </c>
      <c r="E674" s="1">
        <f>IFERROR(__xludf.DUMMYFUNCTION("""COMPUTED_VALUE"""),13150.0)</f>
        <v>13150</v>
      </c>
      <c r="F674" s="1">
        <f>IFERROR(__xludf.DUMMYFUNCTION("""COMPUTED_VALUE"""),106820.0)</f>
        <v>106820</v>
      </c>
    </row>
    <row r="675">
      <c r="A675" s="2">
        <f>IFERROR(__xludf.DUMMYFUNCTION("""COMPUTED_VALUE"""),43864.64583333333)</f>
        <v>43864.64583</v>
      </c>
      <c r="B675" s="1">
        <f>IFERROR(__xludf.DUMMYFUNCTION("""COMPUTED_VALUE"""),12800.0)</f>
        <v>12800</v>
      </c>
      <c r="C675" s="1">
        <f>IFERROR(__xludf.DUMMYFUNCTION("""COMPUTED_VALUE"""),13400.0)</f>
        <v>13400</v>
      </c>
      <c r="D675" s="1">
        <f>IFERROR(__xludf.DUMMYFUNCTION("""COMPUTED_VALUE"""),12600.0)</f>
        <v>12600</v>
      </c>
      <c r="E675" s="1">
        <f>IFERROR(__xludf.DUMMYFUNCTION("""COMPUTED_VALUE"""),13300.0)</f>
        <v>13300</v>
      </c>
      <c r="F675" s="1">
        <f>IFERROR(__xludf.DUMMYFUNCTION("""COMPUTED_VALUE"""),63804.0)</f>
        <v>63804</v>
      </c>
    </row>
    <row r="676">
      <c r="A676" s="2">
        <f>IFERROR(__xludf.DUMMYFUNCTION("""COMPUTED_VALUE"""),43865.64583333333)</f>
        <v>43865.64583</v>
      </c>
      <c r="B676" s="1">
        <f>IFERROR(__xludf.DUMMYFUNCTION("""COMPUTED_VALUE"""),13200.0)</f>
        <v>13200</v>
      </c>
      <c r="C676" s="1">
        <f>IFERROR(__xludf.DUMMYFUNCTION("""COMPUTED_VALUE"""),13925.0)</f>
        <v>13925</v>
      </c>
      <c r="D676" s="1">
        <f>IFERROR(__xludf.DUMMYFUNCTION("""COMPUTED_VALUE"""),13200.0)</f>
        <v>13200</v>
      </c>
      <c r="E676" s="1">
        <f>IFERROR(__xludf.DUMMYFUNCTION("""COMPUTED_VALUE"""),13925.0)</f>
        <v>13925</v>
      </c>
      <c r="F676" s="1">
        <f>IFERROR(__xludf.DUMMYFUNCTION("""COMPUTED_VALUE"""),54462.0)</f>
        <v>54462</v>
      </c>
    </row>
    <row r="677">
      <c r="A677" s="2">
        <f>IFERROR(__xludf.DUMMYFUNCTION("""COMPUTED_VALUE"""),43866.64583333333)</f>
        <v>43866.64583</v>
      </c>
      <c r="B677" s="1">
        <f>IFERROR(__xludf.DUMMYFUNCTION("""COMPUTED_VALUE"""),14125.0)</f>
        <v>14125</v>
      </c>
      <c r="C677" s="1">
        <f>IFERROR(__xludf.DUMMYFUNCTION("""COMPUTED_VALUE"""),14275.0)</f>
        <v>14275</v>
      </c>
      <c r="D677" s="1">
        <f>IFERROR(__xludf.DUMMYFUNCTION("""COMPUTED_VALUE"""),13650.0)</f>
        <v>13650</v>
      </c>
      <c r="E677" s="1">
        <f>IFERROR(__xludf.DUMMYFUNCTION("""COMPUTED_VALUE"""),13750.0)</f>
        <v>13750</v>
      </c>
      <c r="F677" s="1">
        <f>IFERROR(__xludf.DUMMYFUNCTION("""COMPUTED_VALUE"""),58906.0)</f>
        <v>58906</v>
      </c>
    </row>
    <row r="678">
      <c r="A678" s="2">
        <f>IFERROR(__xludf.DUMMYFUNCTION("""COMPUTED_VALUE"""),43867.64583333333)</f>
        <v>43867.64583</v>
      </c>
      <c r="B678" s="1">
        <f>IFERROR(__xludf.DUMMYFUNCTION("""COMPUTED_VALUE"""),14000.0)</f>
        <v>14000</v>
      </c>
      <c r="C678" s="1">
        <f>IFERROR(__xludf.DUMMYFUNCTION("""COMPUTED_VALUE"""),14125.0)</f>
        <v>14125</v>
      </c>
      <c r="D678" s="1">
        <f>IFERROR(__xludf.DUMMYFUNCTION("""COMPUTED_VALUE"""),13775.0)</f>
        <v>13775</v>
      </c>
      <c r="E678" s="1">
        <f>IFERROR(__xludf.DUMMYFUNCTION("""COMPUTED_VALUE"""),14000.0)</f>
        <v>14000</v>
      </c>
      <c r="F678" s="1">
        <f>IFERROR(__xludf.DUMMYFUNCTION("""COMPUTED_VALUE"""),45558.0)</f>
        <v>45558</v>
      </c>
    </row>
    <row r="679">
      <c r="A679" s="2">
        <f>IFERROR(__xludf.DUMMYFUNCTION("""COMPUTED_VALUE"""),43868.64583333333)</f>
        <v>43868.64583</v>
      </c>
      <c r="B679" s="1">
        <f>IFERROR(__xludf.DUMMYFUNCTION("""COMPUTED_VALUE"""),14125.0)</f>
        <v>14125</v>
      </c>
      <c r="C679" s="1">
        <f>IFERROR(__xludf.DUMMYFUNCTION("""COMPUTED_VALUE"""),14300.0)</f>
        <v>14300</v>
      </c>
      <c r="D679" s="1">
        <f>IFERROR(__xludf.DUMMYFUNCTION("""COMPUTED_VALUE"""),13925.0)</f>
        <v>13925</v>
      </c>
      <c r="E679" s="1">
        <f>IFERROR(__xludf.DUMMYFUNCTION("""COMPUTED_VALUE"""),14150.0)</f>
        <v>14150</v>
      </c>
      <c r="F679" s="1">
        <f>IFERROR(__xludf.DUMMYFUNCTION("""COMPUTED_VALUE"""),49455.0)</f>
        <v>49455</v>
      </c>
    </row>
    <row r="680">
      <c r="A680" s="2">
        <f>IFERROR(__xludf.DUMMYFUNCTION("""COMPUTED_VALUE"""),43871.64583333333)</f>
        <v>43871.64583</v>
      </c>
      <c r="B680" s="1">
        <f>IFERROR(__xludf.DUMMYFUNCTION("""COMPUTED_VALUE"""),14200.0)</f>
        <v>14200</v>
      </c>
      <c r="C680" s="1">
        <f>IFERROR(__xludf.DUMMYFUNCTION("""COMPUTED_VALUE"""),14850.0)</f>
        <v>14850</v>
      </c>
      <c r="D680" s="1">
        <f>IFERROR(__xludf.DUMMYFUNCTION("""COMPUTED_VALUE"""),14050.0)</f>
        <v>14050</v>
      </c>
      <c r="E680" s="1">
        <f>IFERROR(__xludf.DUMMYFUNCTION("""COMPUTED_VALUE"""),14800.0)</f>
        <v>14800</v>
      </c>
      <c r="F680" s="1">
        <f>IFERROR(__xludf.DUMMYFUNCTION("""COMPUTED_VALUE"""),100407.0)</f>
        <v>100407</v>
      </c>
    </row>
    <row r="681">
      <c r="A681" s="2">
        <f>IFERROR(__xludf.DUMMYFUNCTION("""COMPUTED_VALUE"""),43872.64583333333)</f>
        <v>43872.64583</v>
      </c>
      <c r="B681" s="1">
        <f>IFERROR(__xludf.DUMMYFUNCTION("""COMPUTED_VALUE"""),15275.0)</f>
        <v>15275</v>
      </c>
      <c r="C681" s="1">
        <f>IFERROR(__xludf.DUMMYFUNCTION("""COMPUTED_VALUE"""),15400.0)</f>
        <v>15400</v>
      </c>
      <c r="D681" s="1">
        <f>IFERROR(__xludf.DUMMYFUNCTION("""COMPUTED_VALUE"""),14800.0)</f>
        <v>14800</v>
      </c>
      <c r="E681" s="1">
        <f>IFERROR(__xludf.DUMMYFUNCTION("""COMPUTED_VALUE"""),15150.0)</f>
        <v>15150</v>
      </c>
      <c r="F681" s="1">
        <f>IFERROR(__xludf.DUMMYFUNCTION("""COMPUTED_VALUE"""),177141.0)</f>
        <v>177141</v>
      </c>
    </row>
    <row r="682">
      <c r="A682" s="2">
        <f>IFERROR(__xludf.DUMMYFUNCTION("""COMPUTED_VALUE"""),43873.64583333333)</f>
        <v>43873.64583</v>
      </c>
      <c r="B682" s="1">
        <f>IFERROR(__xludf.DUMMYFUNCTION("""COMPUTED_VALUE"""),14950.0)</f>
        <v>14950</v>
      </c>
      <c r="C682" s="1">
        <f>IFERROR(__xludf.DUMMYFUNCTION("""COMPUTED_VALUE"""),15500.0)</f>
        <v>15500</v>
      </c>
      <c r="D682" s="1">
        <f>IFERROR(__xludf.DUMMYFUNCTION("""COMPUTED_VALUE"""),14925.0)</f>
        <v>14925</v>
      </c>
      <c r="E682" s="1">
        <f>IFERROR(__xludf.DUMMYFUNCTION("""COMPUTED_VALUE"""),15400.0)</f>
        <v>15400</v>
      </c>
      <c r="F682" s="1">
        <f>IFERROR(__xludf.DUMMYFUNCTION("""COMPUTED_VALUE"""),88351.0)</f>
        <v>88351</v>
      </c>
    </row>
    <row r="683">
      <c r="A683" s="2">
        <f>IFERROR(__xludf.DUMMYFUNCTION("""COMPUTED_VALUE"""),43874.64583333333)</f>
        <v>43874.64583</v>
      </c>
      <c r="B683" s="1">
        <f>IFERROR(__xludf.DUMMYFUNCTION("""COMPUTED_VALUE"""),15250.0)</f>
        <v>15250</v>
      </c>
      <c r="C683" s="1">
        <f>IFERROR(__xludf.DUMMYFUNCTION("""COMPUTED_VALUE"""),15675.0)</f>
        <v>15675</v>
      </c>
      <c r="D683" s="1">
        <f>IFERROR(__xludf.DUMMYFUNCTION("""COMPUTED_VALUE"""),15200.0)</f>
        <v>15200</v>
      </c>
      <c r="E683" s="1">
        <f>IFERROR(__xludf.DUMMYFUNCTION("""COMPUTED_VALUE"""),15475.0)</f>
        <v>15475</v>
      </c>
      <c r="F683" s="1">
        <f>IFERROR(__xludf.DUMMYFUNCTION("""COMPUTED_VALUE"""),75973.0)</f>
        <v>75973</v>
      </c>
    </row>
    <row r="684">
      <c r="A684" s="2">
        <f>IFERROR(__xludf.DUMMYFUNCTION("""COMPUTED_VALUE"""),43875.64583333333)</f>
        <v>43875.64583</v>
      </c>
      <c r="B684" s="1">
        <f>IFERROR(__xludf.DUMMYFUNCTION("""COMPUTED_VALUE"""),15475.0)</f>
        <v>15475</v>
      </c>
      <c r="C684" s="1">
        <f>IFERROR(__xludf.DUMMYFUNCTION("""COMPUTED_VALUE"""),15900.0)</f>
        <v>15900</v>
      </c>
      <c r="D684" s="1">
        <f>IFERROR(__xludf.DUMMYFUNCTION("""COMPUTED_VALUE"""),15325.0)</f>
        <v>15325</v>
      </c>
      <c r="E684" s="1">
        <f>IFERROR(__xludf.DUMMYFUNCTION("""COMPUTED_VALUE"""),15725.0)</f>
        <v>15725</v>
      </c>
      <c r="F684" s="1">
        <f>IFERROR(__xludf.DUMMYFUNCTION("""COMPUTED_VALUE"""),65446.0)</f>
        <v>65446</v>
      </c>
    </row>
    <row r="685">
      <c r="A685" s="2">
        <f>IFERROR(__xludf.DUMMYFUNCTION("""COMPUTED_VALUE"""),43878.64583333333)</f>
        <v>43878.64583</v>
      </c>
      <c r="B685" s="1">
        <f>IFERROR(__xludf.DUMMYFUNCTION("""COMPUTED_VALUE"""),15950.0)</f>
        <v>15950</v>
      </c>
      <c r="C685" s="1">
        <f>IFERROR(__xludf.DUMMYFUNCTION("""COMPUTED_VALUE"""),16000.0)</f>
        <v>16000</v>
      </c>
      <c r="D685" s="1">
        <f>IFERROR(__xludf.DUMMYFUNCTION("""COMPUTED_VALUE"""),15475.0)</f>
        <v>15475</v>
      </c>
      <c r="E685" s="1">
        <f>IFERROR(__xludf.DUMMYFUNCTION("""COMPUTED_VALUE"""),15875.0)</f>
        <v>15875</v>
      </c>
      <c r="F685" s="1">
        <f>IFERROR(__xludf.DUMMYFUNCTION("""COMPUTED_VALUE"""),58504.0)</f>
        <v>58504</v>
      </c>
    </row>
    <row r="686">
      <c r="A686" s="2">
        <f>IFERROR(__xludf.DUMMYFUNCTION("""COMPUTED_VALUE"""),43879.64583333333)</f>
        <v>43879.64583</v>
      </c>
      <c r="B686" s="1">
        <f>IFERROR(__xludf.DUMMYFUNCTION("""COMPUTED_VALUE"""),15725.0)</f>
        <v>15725</v>
      </c>
      <c r="C686" s="1">
        <f>IFERROR(__xludf.DUMMYFUNCTION("""COMPUTED_VALUE"""),16050.0)</f>
        <v>16050</v>
      </c>
      <c r="D686" s="1">
        <f>IFERROR(__xludf.DUMMYFUNCTION("""COMPUTED_VALUE"""),14950.0)</f>
        <v>14950</v>
      </c>
      <c r="E686" s="1">
        <f>IFERROR(__xludf.DUMMYFUNCTION("""COMPUTED_VALUE"""),15600.0)</f>
        <v>15600</v>
      </c>
      <c r="F686" s="1">
        <f>IFERROR(__xludf.DUMMYFUNCTION("""COMPUTED_VALUE"""),125058.0)</f>
        <v>125058</v>
      </c>
    </row>
    <row r="687">
      <c r="A687" s="2">
        <f>IFERROR(__xludf.DUMMYFUNCTION("""COMPUTED_VALUE"""),43880.64583333333)</f>
        <v>43880.64583</v>
      </c>
      <c r="B687" s="1">
        <f>IFERROR(__xludf.DUMMYFUNCTION("""COMPUTED_VALUE"""),15625.0)</f>
        <v>15625</v>
      </c>
      <c r="C687" s="1">
        <f>IFERROR(__xludf.DUMMYFUNCTION("""COMPUTED_VALUE"""),15800.0)</f>
        <v>15800</v>
      </c>
      <c r="D687" s="1">
        <f>IFERROR(__xludf.DUMMYFUNCTION("""COMPUTED_VALUE"""),15300.0)</f>
        <v>15300</v>
      </c>
      <c r="E687" s="1">
        <f>IFERROR(__xludf.DUMMYFUNCTION("""COMPUTED_VALUE"""),15650.0)</f>
        <v>15650</v>
      </c>
      <c r="F687" s="1">
        <f>IFERROR(__xludf.DUMMYFUNCTION("""COMPUTED_VALUE"""),38568.0)</f>
        <v>38568</v>
      </c>
    </row>
    <row r="688">
      <c r="A688" s="2">
        <f>IFERROR(__xludf.DUMMYFUNCTION("""COMPUTED_VALUE"""),43881.64583333333)</f>
        <v>43881.64583</v>
      </c>
      <c r="B688" s="1">
        <f>IFERROR(__xludf.DUMMYFUNCTION("""COMPUTED_VALUE"""),15450.0)</f>
        <v>15450</v>
      </c>
      <c r="C688" s="1">
        <f>IFERROR(__xludf.DUMMYFUNCTION("""COMPUTED_VALUE"""),15725.0)</f>
        <v>15725</v>
      </c>
      <c r="D688" s="1">
        <f>IFERROR(__xludf.DUMMYFUNCTION("""COMPUTED_VALUE"""),14900.0)</f>
        <v>14900</v>
      </c>
      <c r="E688" s="1">
        <f>IFERROR(__xludf.DUMMYFUNCTION("""COMPUTED_VALUE"""),15000.0)</f>
        <v>15000</v>
      </c>
      <c r="F688" s="1">
        <f>IFERROR(__xludf.DUMMYFUNCTION("""COMPUTED_VALUE"""),123758.0)</f>
        <v>123758</v>
      </c>
    </row>
    <row r="689">
      <c r="A689" s="2">
        <f>IFERROR(__xludf.DUMMYFUNCTION("""COMPUTED_VALUE"""),43882.64583333333)</f>
        <v>43882.64583</v>
      </c>
      <c r="B689" s="1">
        <f>IFERROR(__xludf.DUMMYFUNCTION("""COMPUTED_VALUE"""),14800.0)</f>
        <v>14800</v>
      </c>
      <c r="C689" s="1">
        <f>IFERROR(__xludf.DUMMYFUNCTION("""COMPUTED_VALUE"""),15025.0)</f>
        <v>15025</v>
      </c>
      <c r="D689" s="1">
        <f>IFERROR(__xludf.DUMMYFUNCTION("""COMPUTED_VALUE"""),14450.0)</f>
        <v>14450</v>
      </c>
      <c r="E689" s="1">
        <f>IFERROR(__xludf.DUMMYFUNCTION("""COMPUTED_VALUE"""),14475.0)</f>
        <v>14475</v>
      </c>
      <c r="F689" s="1">
        <f>IFERROR(__xludf.DUMMYFUNCTION("""COMPUTED_VALUE"""),56201.0)</f>
        <v>56201</v>
      </c>
    </row>
    <row r="690">
      <c r="A690" s="2">
        <f>IFERROR(__xludf.DUMMYFUNCTION("""COMPUTED_VALUE"""),43885.64583333333)</f>
        <v>43885.64583</v>
      </c>
      <c r="B690" s="1">
        <f>IFERROR(__xludf.DUMMYFUNCTION("""COMPUTED_VALUE"""),14000.0)</f>
        <v>14000</v>
      </c>
      <c r="C690" s="1">
        <f>IFERROR(__xludf.DUMMYFUNCTION("""COMPUTED_VALUE"""),14325.0)</f>
        <v>14325</v>
      </c>
      <c r="D690" s="1">
        <f>IFERROR(__xludf.DUMMYFUNCTION("""COMPUTED_VALUE"""),13750.0)</f>
        <v>13750</v>
      </c>
      <c r="E690" s="1">
        <f>IFERROR(__xludf.DUMMYFUNCTION("""COMPUTED_VALUE"""),13975.0)</f>
        <v>13975</v>
      </c>
      <c r="F690" s="1">
        <f>IFERROR(__xludf.DUMMYFUNCTION("""COMPUTED_VALUE"""),69588.0)</f>
        <v>69588</v>
      </c>
    </row>
    <row r="691">
      <c r="A691" s="2">
        <f>IFERROR(__xludf.DUMMYFUNCTION("""COMPUTED_VALUE"""),43886.64583333333)</f>
        <v>43886.64583</v>
      </c>
      <c r="B691" s="1">
        <f>IFERROR(__xludf.DUMMYFUNCTION("""COMPUTED_VALUE"""),13950.0)</f>
        <v>13950</v>
      </c>
      <c r="C691" s="1">
        <f>IFERROR(__xludf.DUMMYFUNCTION("""COMPUTED_VALUE"""),14425.0)</f>
        <v>14425</v>
      </c>
      <c r="D691" s="1">
        <f>IFERROR(__xludf.DUMMYFUNCTION("""COMPUTED_VALUE"""),13700.0)</f>
        <v>13700</v>
      </c>
      <c r="E691" s="1">
        <f>IFERROR(__xludf.DUMMYFUNCTION("""COMPUTED_VALUE"""),14200.0)</f>
        <v>14200</v>
      </c>
      <c r="F691" s="1">
        <f>IFERROR(__xludf.DUMMYFUNCTION("""COMPUTED_VALUE"""),82172.0)</f>
        <v>82172</v>
      </c>
    </row>
    <row r="692">
      <c r="A692" s="2">
        <f>IFERROR(__xludf.DUMMYFUNCTION("""COMPUTED_VALUE"""),43887.64583333333)</f>
        <v>43887.64583</v>
      </c>
      <c r="B692" s="1">
        <f>IFERROR(__xludf.DUMMYFUNCTION("""COMPUTED_VALUE"""),13950.0)</f>
        <v>13950</v>
      </c>
      <c r="C692" s="1">
        <f>IFERROR(__xludf.DUMMYFUNCTION("""COMPUTED_VALUE"""),14425.0)</f>
        <v>14425</v>
      </c>
      <c r="D692" s="1">
        <f>IFERROR(__xludf.DUMMYFUNCTION("""COMPUTED_VALUE"""),13500.0)</f>
        <v>13500</v>
      </c>
      <c r="E692" s="1">
        <f>IFERROR(__xludf.DUMMYFUNCTION("""COMPUTED_VALUE"""),14325.0)</f>
        <v>14325</v>
      </c>
      <c r="F692" s="1">
        <f>IFERROR(__xludf.DUMMYFUNCTION("""COMPUTED_VALUE"""),59649.0)</f>
        <v>59649</v>
      </c>
    </row>
    <row r="693">
      <c r="A693" s="2">
        <f>IFERROR(__xludf.DUMMYFUNCTION("""COMPUTED_VALUE"""),43888.64583333333)</f>
        <v>43888.64583</v>
      </c>
      <c r="B693" s="1">
        <f>IFERROR(__xludf.DUMMYFUNCTION("""COMPUTED_VALUE"""),14350.0)</f>
        <v>14350</v>
      </c>
      <c r="C693" s="1">
        <f>IFERROR(__xludf.DUMMYFUNCTION("""COMPUTED_VALUE"""),14650.0)</f>
        <v>14650</v>
      </c>
      <c r="D693" s="1">
        <f>IFERROR(__xludf.DUMMYFUNCTION("""COMPUTED_VALUE"""),13775.0)</f>
        <v>13775</v>
      </c>
      <c r="E693" s="1">
        <f>IFERROR(__xludf.DUMMYFUNCTION("""COMPUTED_VALUE"""),13825.0)</f>
        <v>13825</v>
      </c>
      <c r="F693" s="1">
        <f>IFERROR(__xludf.DUMMYFUNCTION("""COMPUTED_VALUE"""),69489.0)</f>
        <v>69489</v>
      </c>
    </row>
    <row r="694">
      <c r="A694" s="2">
        <f>IFERROR(__xludf.DUMMYFUNCTION("""COMPUTED_VALUE"""),43889.64583333333)</f>
        <v>43889.64583</v>
      </c>
      <c r="B694" s="1">
        <f>IFERROR(__xludf.DUMMYFUNCTION("""COMPUTED_VALUE"""),13525.0)</f>
        <v>13525</v>
      </c>
      <c r="C694" s="1">
        <f>IFERROR(__xludf.DUMMYFUNCTION("""COMPUTED_VALUE"""),13800.0)</f>
        <v>13800</v>
      </c>
      <c r="D694" s="1">
        <f>IFERROR(__xludf.DUMMYFUNCTION("""COMPUTED_VALUE"""),12750.0)</f>
        <v>12750</v>
      </c>
      <c r="E694" s="1">
        <f>IFERROR(__xludf.DUMMYFUNCTION("""COMPUTED_VALUE"""),12850.0)</f>
        <v>12850</v>
      </c>
      <c r="F694" s="1">
        <f>IFERROR(__xludf.DUMMYFUNCTION("""COMPUTED_VALUE"""),111182.0)</f>
        <v>111182</v>
      </c>
    </row>
    <row r="695">
      <c r="A695" s="2">
        <f>IFERROR(__xludf.DUMMYFUNCTION("""COMPUTED_VALUE"""),43892.64583333333)</f>
        <v>43892.64583</v>
      </c>
      <c r="B695" s="1">
        <f>IFERROR(__xludf.DUMMYFUNCTION("""COMPUTED_VALUE"""),12850.0)</f>
        <v>12850</v>
      </c>
      <c r="C695" s="1">
        <f>IFERROR(__xludf.DUMMYFUNCTION("""COMPUTED_VALUE"""),13400.0)</f>
        <v>13400</v>
      </c>
      <c r="D695" s="1">
        <f>IFERROR(__xludf.DUMMYFUNCTION("""COMPUTED_VALUE"""),12525.0)</f>
        <v>12525</v>
      </c>
      <c r="E695" s="1">
        <f>IFERROR(__xludf.DUMMYFUNCTION("""COMPUTED_VALUE"""),13200.0)</f>
        <v>13200</v>
      </c>
      <c r="F695" s="1">
        <f>IFERROR(__xludf.DUMMYFUNCTION("""COMPUTED_VALUE"""),54639.0)</f>
        <v>54639</v>
      </c>
    </row>
    <row r="696">
      <c r="A696" s="2">
        <f>IFERROR(__xludf.DUMMYFUNCTION("""COMPUTED_VALUE"""),43893.64583333333)</f>
        <v>43893.64583</v>
      </c>
      <c r="B696" s="1">
        <f>IFERROR(__xludf.DUMMYFUNCTION("""COMPUTED_VALUE"""),13525.0)</f>
        <v>13525</v>
      </c>
      <c r="C696" s="1">
        <f>IFERROR(__xludf.DUMMYFUNCTION("""COMPUTED_VALUE"""),14050.0)</f>
        <v>14050</v>
      </c>
      <c r="D696" s="1">
        <f>IFERROR(__xludf.DUMMYFUNCTION("""COMPUTED_VALUE"""),13375.0)</f>
        <v>13375</v>
      </c>
      <c r="E696" s="1">
        <f>IFERROR(__xludf.DUMMYFUNCTION("""COMPUTED_VALUE"""),13700.0)</f>
        <v>13700</v>
      </c>
      <c r="F696" s="1">
        <f>IFERROR(__xludf.DUMMYFUNCTION("""COMPUTED_VALUE"""),69387.0)</f>
        <v>69387</v>
      </c>
    </row>
    <row r="697">
      <c r="A697" s="2">
        <f>IFERROR(__xludf.DUMMYFUNCTION("""COMPUTED_VALUE"""),43894.64583333333)</f>
        <v>43894.64583</v>
      </c>
      <c r="B697" s="1">
        <f>IFERROR(__xludf.DUMMYFUNCTION("""COMPUTED_VALUE"""),13575.0)</f>
        <v>13575</v>
      </c>
      <c r="C697" s="1">
        <f>IFERROR(__xludf.DUMMYFUNCTION("""COMPUTED_VALUE"""),14175.0)</f>
        <v>14175</v>
      </c>
      <c r="D697" s="1">
        <f>IFERROR(__xludf.DUMMYFUNCTION("""COMPUTED_VALUE"""),13575.0)</f>
        <v>13575</v>
      </c>
      <c r="E697" s="1">
        <f>IFERROR(__xludf.DUMMYFUNCTION("""COMPUTED_VALUE"""),13850.0)</f>
        <v>13850</v>
      </c>
      <c r="F697" s="1">
        <f>IFERROR(__xludf.DUMMYFUNCTION("""COMPUTED_VALUE"""),48909.0)</f>
        <v>48909</v>
      </c>
    </row>
    <row r="698">
      <c r="A698" s="2">
        <f>IFERROR(__xludf.DUMMYFUNCTION("""COMPUTED_VALUE"""),43895.64583333333)</f>
        <v>43895.64583</v>
      </c>
      <c r="B698" s="1">
        <f>IFERROR(__xludf.DUMMYFUNCTION("""COMPUTED_VALUE"""),14000.0)</f>
        <v>14000</v>
      </c>
      <c r="C698" s="1">
        <f>IFERROR(__xludf.DUMMYFUNCTION("""COMPUTED_VALUE"""),14125.0)</f>
        <v>14125</v>
      </c>
      <c r="D698" s="1">
        <f>IFERROR(__xludf.DUMMYFUNCTION("""COMPUTED_VALUE"""),13750.0)</f>
        <v>13750</v>
      </c>
      <c r="E698" s="1">
        <f>IFERROR(__xludf.DUMMYFUNCTION("""COMPUTED_VALUE"""),13925.0)</f>
        <v>13925</v>
      </c>
      <c r="F698" s="1">
        <f>IFERROR(__xludf.DUMMYFUNCTION("""COMPUTED_VALUE"""),47775.0)</f>
        <v>47775</v>
      </c>
    </row>
    <row r="699">
      <c r="A699" s="2">
        <f>IFERROR(__xludf.DUMMYFUNCTION("""COMPUTED_VALUE"""),43896.64583333333)</f>
        <v>43896.64583</v>
      </c>
      <c r="B699" s="1">
        <f>IFERROR(__xludf.DUMMYFUNCTION("""COMPUTED_VALUE"""),13650.0)</f>
        <v>13650</v>
      </c>
      <c r="C699" s="1">
        <f>IFERROR(__xludf.DUMMYFUNCTION("""COMPUTED_VALUE"""),13925.0)</f>
        <v>13925</v>
      </c>
      <c r="D699" s="1">
        <f>IFERROR(__xludf.DUMMYFUNCTION("""COMPUTED_VALUE"""),13100.0)</f>
        <v>13100</v>
      </c>
      <c r="E699" s="1">
        <f>IFERROR(__xludf.DUMMYFUNCTION("""COMPUTED_VALUE"""),13375.0)</f>
        <v>13375</v>
      </c>
      <c r="F699" s="1">
        <f>IFERROR(__xludf.DUMMYFUNCTION("""COMPUTED_VALUE"""),97810.0)</f>
        <v>97810</v>
      </c>
    </row>
    <row r="700">
      <c r="A700" s="2">
        <f>IFERROR(__xludf.DUMMYFUNCTION("""COMPUTED_VALUE"""),43899.64583333333)</f>
        <v>43899.64583</v>
      </c>
      <c r="B700" s="1">
        <f>IFERROR(__xludf.DUMMYFUNCTION("""COMPUTED_VALUE"""),13150.0)</f>
        <v>13150</v>
      </c>
      <c r="C700" s="1">
        <f>IFERROR(__xludf.DUMMYFUNCTION("""COMPUTED_VALUE"""),13175.0)</f>
        <v>13175</v>
      </c>
      <c r="D700" s="1">
        <f>IFERROR(__xludf.DUMMYFUNCTION("""COMPUTED_VALUE"""),12250.0)</f>
        <v>12250</v>
      </c>
      <c r="E700" s="1">
        <f>IFERROR(__xludf.DUMMYFUNCTION("""COMPUTED_VALUE"""),12575.0)</f>
        <v>12575</v>
      </c>
      <c r="F700" s="1">
        <f>IFERROR(__xludf.DUMMYFUNCTION("""COMPUTED_VALUE"""),83489.0)</f>
        <v>83489</v>
      </c>
    </row>
    <row r="701">
      <c r="A701" s="2">
        <f>IFERROR(__xludf.DUMMYFUNCTION("""COMPUTED_VALUE"""),43900.64583333333)</f>
        <v>43900.64583</v>
      </c>
      <c r="B701" s="1">
        <f>IFERROR(__xludf.DUMMYFUNCTION("""COMPUTED_VALUE"""),12000.0)</f>
        <v>12000</v>
      </c>
      <c r="C701" s="1">
        <f>IFERROR(__xludf.DUMMYFUNCTION("""COMPUTED_VALUE"""),12825.0)</f>
        <v>12825</v>
      </c>
      <c r="D701" s="1">
        <f>IFERROR(__xludf.DUMMYFUNCTION("""COMPUTED_VALUE"""),11950.0)</f>
        <v>11950</v>
      </c>
      <c r="E701" s="1">
        <f>IFERROR(__xludf.DUMMYFUNCTION("""COMPUTED_VALUE"""),12600.0)</f>
        <v>12600</v>
      </c>
      <c r="F701" s="1">
        <f>IFERROR(__xludf.DUMMYFUNCTION("""COMPUTED_VALUE"""),83320.0)</f>
        <v>83320</v>
      </c>
    </row>
    <row r="702">
      <c r="A702" s="2">
        <f>IFERROR(__xludf.DUMMYFUNCTION("""COMPUTED_VALUE"""),43901.64583333333)</f>
        <v>43901.64583</v>
      </c>
      <c r="B702" s="1">
        <f>IFERROR(__xludf.DUMMYFUNCTION("""COMPUTED_VALUE"""),12650.0)</f>
        <v>12650</v>
      </c>
      <c r="C702" s="1">
        <f>IFERROR(__xludf.DUMMYFUNCTION("""COMPUTED_VALUE"""),12750.0)</f>
        <v>12750</v>
      </c>
      <c r="D702" s="1">
        <f>IFERROR(__xludf.DUMMYFUNCTION("""COMPUTED_VALUE"""),11725.0)</f>
        <v>11725</v>
      </c>
      <c r="E702" s="1">
        <f>IFERROR(__xludf.DUMMYFUNCTION("""COMPUTED_VALUE"""),12000.0)</f>
        <v>12000</v>
      </c>
      <c r="F702" s="1">
        <f>IFERROR(__xludf.DUMMYFUNCTION("""COMPUTED_VALUE"""),53338.0)</f>
        <v>53338</v>
      </c>
    </row>
    <row r="703">
      <c r="A703" s="2">
        <f>IFERROR(__xludf.DUMMYFUNCTION("""COMPUTED_VALUE"""),43902.64583333333)</f>
        <v>43902.64583</v>
      </c>
      <c r="B703" s="1">
        <f>IFERROR(__xludf.DUMMYFUNCTION("""COMPUTED_VALUE"""),11875.0)</f>
        <v>11875</v>
      </c>
      <c r="C703" s="1">
        <f>IFERROR(__xludf.DUMMYFUNCTION("""COMPUTED_VALUE"""),11875.0)</f>
        <v>11875</v>
      </c>
      <c r="D703" s="1">
        <f>IFERROR(__xludf.DUMMYFUNCTION("""COMPUTED_VALUE"""),10550.0)</f>
        <v>10550</v>
      </c>
      <c r="E703" s="1">
        <f>IFERROR(__xludf.DUMMYFUNCTION("""COMPUTED_VALUE"""),10925.0)</f>
        <v>10925</v>
      </c>
      <c r="F703" s="1">
        <f>IFERROR(__xludf.DUMMYFUNCTION("""COMPUTED_VALUE"""),121005.0)</f>
        <v>121005</v>
      </c>
    </row>
    <row r="704">
      <c r="A704" s="2">
        <f>IFERROR(__xludf.DUMMYFUNCTION("""COMPUTED_VALUE"""),43903.64583333333)</f>
        <v>43903.64583</v>
      </c>
      <c r="B704" s="1">
        <f>IFERROR(__xludf.DUMMYFUNCTION("""COMPUTED_VALUE"""),10000.0)</f>
        <v>10000</v>
      </c>
      <c r="C704" s="1">
        <f>IFERROR(__xludf.DUMMYFUNCTION("""COMPUTED_VALUE"""),10250.0)</f>
        <v>10250</v>
      </c>
      <c r="D704" s="1">
        <f>IFERROR(__xludf.DUMMYFUNCTION("""COMPUTED_VALUE"""),8425.0)</f>
        <v>8425</v>
      </c>
      <c r="E704" s="1">
        <f>IFERROR(__xludf.DUMMYFUNCTION("""COMPUTED_VALUE"""),9450.0)</f>
        <v>9450</v>
      </c>
      <c r="F704" s="1">
        <f>IFERROR(__xludf.DUMMYFUNCTION("""COMPUTED_VALUE"""),320514.0)</f>
        <v>320514</v>
      </c>
    </row>
    <row r="705">
      <c r="A705" s="2">
        <f>IFERROR(__xludf.DUMMYFUNCTION("""COMPUTED_VALUE"""),43906.64583333333)</f>
        <v>43906.64583</v>
      </c>
      <c r="B705" s="1">
        <f>IFERROR(__xludf.DUMMYFUNCTION("""COMPUTED_VALUE"""),9800.0)</f>
        <v>9800</v>
      </c>
      <c r="C705" s="1">
        <f>IFERROR(__xludf.DUMMYFUNCTION("""COMPUTED_VALUE"""),10150.0)</f>
        <v>10150</v>
      </c>
      <c r="D705" s="1">
        <f>IFERROR(__xludf.DUMMYFUNCTION("""COMPUTED_VALUE"""),8500.0)</f>
        <v>8500</v>
      </c>
      <c r="E705" s="1">
        <f>IFERROR(__xludf.DUMMYFUNCTION("""COMPUTED_VALUE"""),8600.0)</f>
        <v>8600</v>
      </c>
      <c r="F705" s="1">
        <f>IFERROR(__xludf.DUMMYFUNCTION("""COMPUTED_VALUE"""),163994.0)</f>
        <v>163994</v>
      </c>
    </row>
    <row r="706">
      <c r="A706" s="2">
        <f>IFERROR(__xludf.DUMMYFUNCTION("""COMPUTED_VALUE"""),43907.64583333333)</f>
        <v>43907.64583</v>
      </c>
      <c r="B706" s="1">
        <f>IFERROR(__xludf.DUMMYFUNCTION("""COMPUTED_VALUE"""),7850.0)</f>
        <v>7850</v>
      </c>
      <c r="C706" s="1">
        <f>IFERROR(__xludf.DUMMYFUNCTION("""COMPUTED_VALUE"""),8975.0)</f>
        <v>8975</v>
      </c>
      <c r="D706" s="1">
        <f>IFERROR(__xludf.DUMMYFUNCTION("""COMPUTED_VALUE"""),7850.0)</f>
        <v>7850</v>
      </c>
      <c r="E706" s="1">
        <f>IFERROR(__xludf.DUMMYFUNCTION("""COMPUTED_VALUE"""),8475.0)</f>
        <v>8475</v>
      </c>
      <c r="F706" s="1">
        <f>IFERROR(__xludf.DUMMYFUNCTION("""COMPUTED_VALUE"""),119349.0)</f>
        <v>119349</v>
      </c>
    </row>
    <row r="707">
      <c r="A707" s="2">
        <f>IFERROR(__xludf.DUMMYFUNCTION("""COMPUTED_VALUE"""),43908.64583333333)</f>
        <v>43908.64583</v>
      </c>
      <c r="B707" s="1">
        <f>IFERROR(__xludf.DUMMYFUNCTION("""COMPUTED_VALUE"""),8875.0)</f>
        <v>8875</v>
      </c>
      <c r="C707" s="1">
        <f>IFERROR(__xludf.DUMMYFUNCTION("""COMPUTED_VALUE"""),8950.0)</f>
        <v>8950</v>
      </c>
      <c r="D707" s="1">
        <f>IFERROR(__xludf.DUMMYFUNCTION("""COMPUTED_VALUE"""),7875.0)</f>
        <v>7875</v>
      </c>
      <c r="E707" s="1">
        <f>IFERROR(__xludf.DUMMYFUNCTION("""COMPUTED_VALUE"""),7875.0)</f>
        <v>7875</v>
      </c>
      <c r="F707" s="1">
        <f>IFERROR(__xludf.DUMMYFUNCTION("""COMPUTED_VALUE"""),72957.0)</f>
        <v>72957</v>
      </c>
    </row>
    <row r="708">
      <c r="A708" s="2">
        <f>IFERROR(__xludf.DUMMYFUNCTION("""COMPUTED_VALUE"""),43909.64583333333)</f>
        <v>43909.64583</v>
      </c>
      <c r="B708" s="1">
        <f>IFERROR(__xludf.DUMMYFUNCTION("""COMPUTED_VALUE"""),8150.0)</f>
        <v>8150</v>
      </c>
      <c r="C708" s="1">
        <f>IFERROR(__xludf.DUMMYFUNCTION("""COMPUTED_VALUE"""),8200.0)</f>
        <v>8200</v>
      </c>
      <c r="D708" s="1">
        <f>IFERROR(__xludf.DUMMYFUNCTION("""COMPUTED_VALUE"""),5900.0)</f>
        <v>5900</v>
      </c>
      <c r="E708" s="1">
        <f>IFERROR(__xludf.DUMMYFUNCTION("""COMPUTED_VALUE"""),6300.0)</f>
        <v>6300</v>
      </c>
      <c r="F708" s="1">
        <f>IFERROR(__xludf.DUMMYFUNCTION("""COMPUTED_VALUE"""),240375.0)</f>
        <v>240375</v>
      </c>
    </row>
    <row r="709">
      <c r="A709" s="2">
        <f>IFERROR(__xludf.DUMMYFUNCTION("""COMPUTED_VALUE"""),43910.64583333333)</f>
        <v>43910.64583</v>
      </c>
      <c r="B709" s="1">
        <f>IFERROR(__xludf.DUMMYFUNCTION("""COMPUTED_VALUE"""),6375.0)</f>
        <v>6375</v>
      </c>
      <c r="C709" s="1">
        <f>IFERROR(__xludf.DUMMYFUNCTION("""COMPUTED_VALUE"""),7500.0)</f>
        <v>7500</v>
      </c>
      <c r="D709" s="1">
        <f>IFERROR(__xludf.DUMMYFUNCTION("""COMPUTED_VALUE"""),6375.0)</f>
        <v>6375</v>
      </c>
      <c r="E709" s="1">
        <f>IFERROR(__xludf.DUMMYFUNCTION("""COMPUTED_VALUE"""),7250.0)</f>
        <v>7250</v>
      </c>
      <c r="F709" s="1">
        <f>IFERROR(__xludf.DUMMYFUNCTION("""COMPUTED_VALUE"""),99479.0)</f>
        <v>99479</v>
      </c>
    </row>
    <row r="710">
      <c r="A710" s="2">
        <f>IFERROR(__xludf.DUMMYFUNCTION("""COMPUTED_VALUE"""),43913.64583333333)</f>
        <v>43913.64583</v>
      </c>
      <c r="B710" s="1">
        <f>IFERROR(__xludf.DUMMYFUNCTION("""COMPUTED_VALUE"""),6575.0)</f>
        <v>6575</v>
      </c>
      <c r="C710" s="1">
        <f>IFERROR(__xludf.DUMMYFUNCTION("""COMPUTED_VALUE"""),7400.0)</f>
        <v>7400</v>
      </c>
      <c r="D710" s="1">
        <f>IFERROR(__xludf.DUMMYFUNCTION("""COMPUTED_VALUE"""),6400.0)</f>
        <v>6400</v>
      </c>
      <c r="E710" s="1">
        <f>IFERROR(__xludf.DUMMYFUNCTION("""COMPUTED_VALUE"""),6900.0)</f>
        <v>6900</v>
      </c>
      <c r="F710" s="1">
        <f>IFERROR(__xludf.DUMMYFUNCTION("""COMPUTED_VALUE"""),113781.0)</f>
        <v>113781</v>
      </c>
    </row>
    <row r="711">
      <c r="A711" s="2">
        <f>IFERROR(__xludf.DUMMYFUNCTION("""COMPUTED_VALUE"""),43914.64583333333)</f>
        <v>43914.64583</v>
      </c>
      <c r="B711" s="1">
        <f>IFERROR(__xludf.DUMMYFUNCTION("""COMPUTED_VALUE"""),7125.0)</f>
        <v>7125</v>
      </c>
      <c r="C711" s="1">
        <f>IFERROR(__xludf.DUMMYFUNCTION("""COMPUTED_VALUE"""),7925.0)</f>
        <v>7925</v>
      </c>
      <c r="D711" s="1">
        <f>IFERROR(__xludf.DUMMYFUNCTION("""COMPUTED_VALUE"""),7050.0)</f>
        <v>7050</v>
      </c>
      <c r="E711" s="1">
        <f>IFERROR(__xludf.DUMMYFUNCTION("""COMPUTED_VALUE"""),7600.0)</f>
        <v>7600</v>
      </c>
      <c r="F711" s="1">
        <f>IFERROR(__xludf.DUMMYFUNCTION("""COMPUTED_VALUE"""),118533.0)</f>
        <v>118533</v>
      </c>
    </row>
    <row r="712">
      <c r="A712" s="2">
        <f>IFERROR(__xludf.DUMMYFUNCTION("""COMPUTED_VALUE"""),43915.64583333333)</f>
        <v>43915.64583</v>
      </c>
      <c r="B712" s="1">
        <f>IFERROR(__xludf.DUMMYFUNCTION("""COMPUTED_VALUE"""),8100.0)</f>
        <v>8100</v>
      </c>
      <c r="C712" s="1">
        <f>IFERROR(__xludf.DUMMYFUNCTION("""COMPUTED_VALUE"""),8350.0)</f>
        <v>8350</v>
      </c>
      <c r="D712" s="1">
        <f>IFERROR(__xludf.DUMMYFUNCTION("""COMPUTED_VALUE"""),7750.0)</f>
        <v>7750</v>
      </c>
      <c r="E712" s="1">
        <f>IFERROR(__xludf.DUMMYFUNCTION("""COMPUTED_VALUE"""),8350.0)</f>
        <v>8350</v>
      </c>
      <c r="F712" s="1">
        <f>IFERROR(__xludf.DUMMYFUNCTION("""COMPUTED_VALUE"""),94319.0)</f>
        <v>94319</v>
      </c>
    </row>
    <row r="713">
      <c r="A713" s="2">
        <f>IFERROR(__xludf.DUMMYFUNCTION("""COMPUTED_VALUE"""),43916.64583333333)</f>
        <v>43916.64583</v>
      </c>
      <c r="B713" s="1">
        <f>IFERROR(__xludf.DUMMYFUNCTION("""COMPUTED_VALUE"""),8350.0)</f>
        <v>8350</v>
      </c>
      <c r="C713" s="1">
        <f>IFERROR(__xludf.DUMMYFUNCTION("""COMPUTED_VALUE"""),9250.0)</f>
        <v>9250</v>
      </c>
      <c r="D713" s="1">
        <f>IFERROR(__xludf.DUMMYFUNCTION("""COMPUTED_VALUE"""),8150.0)</f>
        <v>8150</v>
      </c>
      <c r="E713" s="1">
        <f>IFERROR(__xludf.DUMMYFUNCTION("""COMPUTED_VALUE"""),8500.0)</f>
        <v>8500</v>
      </c>
      <c r="F713" s="1">
        <f>IFERROR(__xludf.DUMMYFUNCTION("""COMPUTED_VALUE"""),93912.0)</f>
        <v>93912</v>
      </c>
    </row>
    <row r="714">
      <c r="A714" s="2">
        <f>IFERROR(__xludf.DUMMYFUNCTION("""COMPUTED_VALUE"""),43917.64583333333)</f>
        <v>43917.64583</v>
      </c>
      <c r="B714" s="1">
        <f>IFERROR(__xludf.DUMMYFUNCTION("""COMPUTED_VALUE"""),8925.0)</f>
        <v>8925</v>
      </c>
      <c r="C714" s="1">
        <f>IFERROR(__xludf.DUMMYFUNCTION("""COMPUTED_VALUE"""),9225.0)</f>
        <v>9225</v>
      </c>
      <c r="D714" s="1">
        <f>IFERROR(__xludf.DUMMYFUNCTION("""COMPUTED_VALUE"""),8250.0)</f>
        <v>8250</v>
      </c>
      <c r="E714" s="1">
        <f>IFERROR(__xludf.DUMMYFUNCTION("""COMPUTED_VALUE"""),8875.0)</f>
        <v>8875</v>
      </c>
      <c r="F714" s="1">
        <f>IFERROR(__xludf.DUMMYFUNCTION("""COMPUTED_VALUE"""),83230.0)</f>
        <v>83230</v>
      </c>
    </row>
    <row r="715">
      <c r="A715" s="2">
        <f>IFERROR(__xludf.DUMMYFUNCTION("""COMPUTED_VALUE"""),43920.64583333333)</f>
        <v>43920.64583</v>
      </c>
      <c r="B715" s="1">
        <f>IFERROR(__xludf.DUMMYFUNCTION("""COMPUTED_VALUE"""),8500.0)</f>
        <v>8500</v>
      </c>
      <c r="C715" s="1">
        <f>IFERROR(__xludf.DUMMYFUNCTION("""COMPUTED_VALUE"""),9050.0)</f>
        <v>9050</v>
      </c>
      <c r="D715" s="1">
        <f>IFERROR(__xludf.DUMMYFUNCTION("""COMPUTED_VALUE"""),8350.0)</f>
        <v>8350</v>
      </c>
      <c r="E715" s="1">
        <f>IFERROR(__xludf.DUMMYFUNCTION("""COMPUTED_VALUE"""),8925.0)</f>
        <v>8925</v>
      </c>
      <c r="F715" s="1">
        <f>IFERROR(__xludf.DUMMYFUNCTION("""COMPUTED_VALUE"""),63848.0)</f>
        <v>63848</v>
      </c>
    </row>
    <row r="716">
      <c r="A716" s="2">
        <f>IFERROR(__xludf.DUMMYFUNCTION("""COMPUTED_VALUE"""),43921.64583333333)</f>
        <v>43921.64583</v>
      </c>
      <c r="B716" s="1">
        <f>IFERROR(__xludf.DUMMYFUNCTION("""COMPUTED_VALUE"""),9300.0)</f>
        <v>9300</v>
      </c>
      <c r="C716" s="1">
        <f>IFERROR(__xludf.DUMMYFUNCTION("""COMPUTED_VALUE"""),9300.0)</f>
        <v>9300</v>
      </c>
      <c r="D716" s="1">
        <f>IFERROR(__xludf.DUMMYFUNCTION("""COMPUTED_VALUE"""),8500.0)</f>
        <v>8500</v>
      </c>
      <c r="E716" s="1">
        <f>IFERROR(__xludf.DUMMYFUNCTION("""COMPUTED_VALUE"""),8925.0)</f>
        <v>8925</v>
      </c>
      <c r="F716" s="1">
        <f>IFERROR(__xludf.DUMMYFUNCTION("""COMPUTED_VALUE"""),80081.0)</f>
        <v>80081</v>
      </c>
    </row>
    <row r="717">
      <c r="A717" s="2">
        <f>IFERROR(__xludf.DUMMYFUNCTION("""COMPUTED_VALUE"""),43922.64583333333)</f>
        <v>43922.64583</v>
      </c>
      <c r="B717" s="1">
        <f>IFERROR(__xludf.DUMMYFUNCTION("""COMPUTED_VALUE"""),8675.0)</f>
        <v>8675</v>
      </c>
      <c r="C717" s="1">
        <f>IFERROR(__xludf.DUMMYFUNCTION("""COMPUTED_VALUE"""),9550.0)</f>
        <v>9550</v>
      </c>
      <c r="D717" s="1">
        <f>IFERROR(__xludf.DUMMYFUNCTION("""COMPUTED_VALUE"""),8650.0)</f>
        <v>8650</v>
      </c>
      <c r="E717" s="1">
        <f>IFERROR(__xludf.DUMMYFUNCTION("""COMPUTED_VALUE"""),9050.0)</f>
        <v>9050</v>
      </c>
      <c r="F717" s="1">
        <f>IFERROR(__xludf.DUMMYFUNCTION("""COMPUTED_VALUE"""),76950.0)</f>
        <v>76950</v>
      </c>
    </row>
    <row r="718">
      <c r="A718" s="2">
        <f>IFERROR(__xludf.DUMMYFUNCTION("""COMPUTED_VALUE"""),43923.64583333333)</f>
        <v>43923.64583</v>
      </c>
      <c r="B718" s="1">
        <f>IFERROR(__xludf.DUMMYFUNCTION("""COMPUTED_VALUE"""),8975.0)</f>
        <v>8975</v>
      </c>
      <c r="C718" s="1">
        <f>IFERROR(__xludf.DUMMYFUNCTION("""COMPUTED_VALUE"""),9250.0)</f>
        <v>9250</v>
      </c>
      <c r="D718" s="1">
        <f>IFERROR(__xludf.DUMMYFUNCTION("""COMPUTED_VALUE"""),8650.0)</f>
        <v>8650</v>
      </c>
      <c r="E718" s="1">
        <f>IFERROR(__xludf.DUMMYFUNCTION("""COMPUTED_VALUE"""),9050.0)</f>
        <v>9050</v>
      </c>
      <c r="F718" s="1">
        <f>IFERROR(__xludf.DUMMYFUNCTION("""COMPUTED_VALUE"""),51435.0)</f>
        <v>51435</v>
      </c>
    </row>
    <row r="719">
      <c r="A719" s="2">
        <f>IFERROR(__xludf.DUMMYFUNCTION("""COMPUTED_VALUE"""),43924.64583333333)</f>
        <v>43924.64583</v>
      </c>
      <c r="B719" s="1">
        <f>IFERROR(__xludf.DUMMYFUNCTION("""COMPUTED_VALUE"""),9100.0)</f>
        <v>9100</v>
      </c>
      <c r="C719" s="1">
        <f>IFERROR(__xludf.DUMMYFUNCTION("""COMPUTED_VALUE"""),9225.0)</f>
        <v>9225</v>
      </c>
      <c r="D719" s="1">
        <f>IFERROR(__xludf.DUMMYFUNCTION("""COMPUTED_VALUE"""),8850.0)</f>
        <v>8850</v>
      </c>
      <c r="E719" s="1">
        <f>IFERROR(__xludf.DUMMYFUNCTION("""COMPUTED_VALUE"""),9225.0)</f>
        <v>9225</v>
      </c>
      <c r="F719" s="1">
        <f>IFERROR(__xludf.DUMMYFUNCTION("""COMPUTED_VALUE"""),37818.0)</f>
        <v>37818</v>
      </c>
    </row>
    <row r="720">
      <c r="A720" s="2">
        <f>IFERROR(__xludf.DUMMYFUNCTION("""COMPUTED_VALUE"""),43927.64583333333)</f>
        <v>43927.64583</v>
      </c>
      <c r="B720" s="1">
        <f>IFERROR(__xludf.DUMMYFUNCTION("""COMPUTED_VALUE"""),9225.0)</f>
        <v>9225</v>
      </c>
      <c r="C720" s="1">
        <f>IFERROR(__xludf.DUMMYFUNCTION("""COMPUTED_VALUE"""),9750.0)</f>
        <v>9750</v>
      </c>
      <c r="D720" s="1">
        <f>IFERROR(__xludf.DUMMYFUNCTION("""COMPUTED_VALUE"""),9150.0)</f>
        <v>9150</v>
      </c>
      <c r="E720" s="1">
        <f>IFERROR(__xludf.DUMMYFUNCTION("""COMPUTED_VALUE"""),9750.0)</f>
        <v>9750</v>
      </c>
      <c r="F720" s="1">
        <f>IFERROR(__xludf.DUMMYFUNCTION("""COMPUTED_VALUE"""),60768.0)</f>
        <v>60768</v>
      </c>
    </row>
    <row r="721">
      <c r="A721" s="2">
        <f>IFERROR(__xludf.DUMMYFUNCTION("""COMPUTED_VALUE"""),43928.64583333333)</f>
        <v>43928.64583</v>
      </c>
      <c r="B721" s="1">
        <f>IFERROR(__xludf.DUMMYFUNCTION("""COMPUTED_VALUE"""),10100.0)</f>
        <v>10100</v>
      </c>
      <c r="C721" s="1">
        <f>IFERROR(__xludf.DUMMYFUNCTION("""COMPUTED_VALUE"""),10500.0)</f>
        <v>10500</v>
      </c>
      <c r="D721" s="1">
        <f>IFERROR(__xludf.DUMMYFUNCTION("""COMPUTED_VALUE"""),9975.0)</f>
        <v>9975</v>
      </c>
      <c r="E721" s="1">
        <f>IFERROR(__xludf.DUMMYFUNCTION("""COMPUTED_VALUE"""),10200.0)</f>
        <v>10200</v>
      </c>
      <c r="F721" s="1">
        <f>IFERROR(__xludf.DUMMYFUNCTION("""COMPUTED_VALUE"""),57248.0)</f>
        <v>57248</v>
      </c>
    </row>
    <row r="722">
      <c r="A722" s="2">
        <f>IFERROR(__xludf.DUMMYFUNCTION("""COMPUTED_VALUE"""),43929.64583333333)</f>
        <v>43929.64583</v>
      </c>
      <c r="B722" s="1">
        <f>IFERROR(__xludf.DUMMYFUNCTION("""COMPUTED_VALUE"""),10000.0)</f>
        <v>10000</v>
      </c>
      <c r="C722" s="1">
        <f>IFERROR(__xludf.DUMMYFUNCTION("""COMPUTED_VALUE"""),10600.0)</f>
        <v>10600</v>
      </c>
      <c r="D722" s="1">
        <f>IFERROR(__xludf.DUMMYFUNCTION("""COMPUTED_VALUE"""),10000.0)</f>
        <v>10000</v>
      </c>
      <c r="E722" s="1">
        <f>IFERROR(__xludf.DUMMYFUNCTION("""COMPUTED_VALUE"""),10400.0)</f>
        <v>10400</v>
      </c>
      <c r="F722" s="1">
        <f>IFERROR(__xludf.DUMMYFUNCTION("""COMPUTED_VALUE"""),44299.0)</f>
        <v>44299</v>
      </c>
    </row>
    <row r="723">
      <c r="A723" s="2">
        <f>IFERROR(__xludf.DUMMYFUNCTION("""COMPUTED_VALUE"""),43930.64583333333)</f>
        <v>43930.64583</v>
      </c>
      <c r="B723" s="1">
        <f>IFERROR(__xludf.DUMMYFUNCTION("""COMPUTED_VALUE"""),10550.0)</f>
        <v>10550</v>
      </c>
      <c r="C723" s="1">
        <f>IFERROR(__xludf.DUMMYFUNCTION("""COMPUTED_VALUE"""),10900.0)</f>
        <v>10900</v>
      </c>
      <c r="D723" s="1">
        <f>IFERROR(__xludf.DUMMYFUNCTION("""COMPUTED_VALUE"""),10375.0)</f>
        <v>10375</v>
      </c>
      <c r="E723" s="1">
        <f>IFERROR(__xludf.DUMMYFUNCTION("""COMPUTED_VALUE"""),10725.0)</f>
        <v>10725</v>
      </c>
      <c r="F723" s="1">
        <f>IFERROR(__xludf.DUMMYFUNCTION("""COMPUTED_VALUE"""),43669.0)</f>
        <v>43669</v>
      </c>
    </row>
    <row r="724">
      <c r="A724" s="2">
        <f>IFERROR(__xludf.DUMMYFUNCTION("""COMPUTED_VALUE"""),43931.64583333333)</f>
        <v>43931.64583</v>
      </c>
      <c r="B724" s="1">
        <f>IFERROR(__xludf.DUMMYFUNCTION("""COMPUTED_VALUE"""),10975.0)</f>
        <v>10975</v>
      </c>
      <c r="C724" s="1">
        <f>IFERROR(__xludf.DUMMYFUNCTION("""COMPUTED_VALUE"""),10975.0)</f>
        <v>10975</v>
      </c>
      <c r="D724" s="1">
        <f>IFERROR(__xludf.DUMMYFUNCTION("""COMPUTED_VALUE"""),10000.0)</f>
        <v>10000</v>
      </c>
      <c r="E724" s="1">
        <f>IFERROR(__xludf.DUMMYFUNCTION("""COMPUTED_VALUE"""),10825.0)</f>
        <v>10825</v>
      </c>
      <c r="F724" s="1">
        <f>IFERROR(__xludf.DUMMYFUNCTION("""COMPUTED_VALUE"""),50292.0)</f>
        <v>50292</v>
      </c>
    </row>
    <row r="725">
      <c r="A725" s="2">
        <f>IFERROR(__xludf.DUMMYFUNCTION("""COMPUTED_VALUE"""),43934.64583333333)</f>
        <v>43934.64583</v>
      </c>
      <c r="B725" s="1">
        <f>IFERROR(__xludf.DUMMYFUNCTION("""COMPUTED_VALUE"""),10775.0)</f>
        <v>10775</v>
      </c>
      <c r="C725" s="1">
        <f>IFERROR(__xludf.DUMMYFUNCTION("""COMPUTED_VALUE"""),10775.0)</f>
        <v>10775</v>
      </c>
      <c r="D725" s="1">
        <f>IFERROR(__xludf.DUMMYFUNCTION("""COMPUTED_VALUE"""),9825.0)</f>
        <v>9825</v>
      </c>
      <c r="E725" s="1">
        <f>IFERROR(__xludf.DUMMYFUNCTION("""COMPUTED_VALUE"""),9875.0)</f>
        <v>9875</v>
      </c>
      <c r="F725" s="1">
        <f>IFERROR(__xludf.DUMMYFUNCTION("""COMPUTED_VALUE"""),58136.0)</f>
        <v>58136</v>
      </c>
    </row>
    <row r="726">
      <c r="A726" s="2">
        <f>IFERROR(__xludf.DUMMYFUNCTION("""COMPUTED_VALUE"""),43935.64583333333)</f>
        <v>43935.64583</v>
      </c>
      <c r="B726" s="1">
        <f>IFERROR(__xludf.DUMMYFUNCTION("""COMPUTED_VALUE"""),9975.0)</f>
        <v>9975</v>
      </c>
      <c r="C726" s="1">
        <f>IFERROR(__xludf.DUMMYFUNCTION("""COMPUTED_VALUE"""),10450.0)</f>
        <v>10450</v>
      </c>
      <c r="D726" s="1">
        <f>IFERROR(__xludf.DUMMYFUNCTION("""COMPUTED_VALUE"""),9975.0)</f>
        <v>9975</v>
      </c>
      <c r="E726" s="1">
        <f>IFERROR(__xludf.DUMMYFUNCTION("""COMPUTED_VALUE"""),10325.0)</f>
        <v>10325</v>
      </c>
      <c r="F726" s="1">
        <f>IFERROR(__xludf.DUMMYFUNCTION("""COMPUTED_VALUE"""),28779.0)</f>
        <v>28779</v>
      </c>
    </row>
    <row r="727">
      <c r="A727" s="2">
        <f>IFERROR(__xludf.DUMMYFUNCTION("""COMPUTED_VALUE"""),43937.64583333333)</f>
        <v>43937.64583</v>
      </c>
      <c r="B727" s="1">
        <f>IFERROR(__xludf.DUMMYFUNCTION("""COMPUTED_VALUE"""),10125.0)</f>
        <v>10125</v>
      </c>
      <c r="C727" s="1">
        <f>IFERROR(__xludf.DUMMYFUNCTION("""COMPUTED_VALUE"""),10525.0)</f>
        <v>10525</v>
      </c>
      <c r="D727" s="1">
        <f>IFERROR(__xludf.DUMMYFUNCTION("""COMPUTED_VALUE"""),10050.0)</f>
        <v>10050</v>
      </c>
      <c r="E727" s="1">
        <f>IFERROR(__xludf.DUMMYFUNCTION("""COMPUTED_VALUE"""),10525.0)</f>
        <v>10525</v>
      </c>
      <c r="F727" s="1">
        <f>IFERROR(__xludf.DUMMYFUNCTION("""COMPUTED_VALUE"""),31991.0)</f>
        <v>31991</v>
      </c>
    </row>
    <row r="728">
      <c r="A728" s="2">
        <f>IFERROR(__xludf.DUMMYFUNCTION("""COMPUTED_VALUE"""),43938.64583333333)</f>
        <v>43938.64583</v>
      </c>
      <c r="B728" s="1">
        <f>IFERROR(__xludf.DUMMYFUNCTION("""COMPUTED_VALUE"""),10850.0)</f>
        <v>10850</v>
      </c>
      <c r="C728" s="1">
        <f>IFERROR(__xludf.DUMMYFUNCTION("""COMPUTED_VALUE"""),11450.0)</f>
        <v>11450</v>
      </c>
      <c r="D728" s="1">
        <f>IFERROR(__xludf.DUMMYFUNCTION("""COMPUTED_VALUE"""),10625.0)</f>
        <v>10625</v>
      </c>
      <c r="E728" s="1">
        <f>IFERROR(__xludf.DUMMYFUNCTION("""COMPUTED_VALUE"""),11400.0)</f>
        <v>11400</v>
      </c>
      <c r="F728" s="1">
        <f>IFERROR(__xludf.DUMMYFUNCTION("""COMPUTED_VALUE"""),78816.0)</f>
        <v>78816</v>
      </c>
    </row>
    <row r="729">
      <c r="A729" s="2">
        <f>IFERROR(__xludf.DUMMYFUNCTION("""COMPUTED_VALUE"""),43941.64583333333)</f>
        <v>43941.64583</v>
      </c>
      <c r="B729" s="1">
        <f>IFERROR(__xludf.DUMMYFUNCTION("""COMPUTED_VALUE"""),11400.0)</f>
        <v>11400</v>
      </c>
      <c r="C729" s="1">
        <f>IFERROR(__xludf.DUMMYFUNCTION("""COMPUTED_VALUE"""),11425.0)</f>
        <v>11425</v>
      </c>
      <c r="D729" s="1">
        <f>IFERROR(__xludf.DUMMYFUNCTION("""COMPUTED_VALUE"""),11125.0)</f>
        <v>11125</v>
      </c>
      <c r="E729" s="1">
        <f>IFERROR(__xludf.DUMMYFUNCTION("""COMPUTED_VALUE"""),11300.0)</f>
        <v>11300</v>
      </c>
      <c r="F729" s="1">
        <f>IFERROR(__xludf.DUMMYFUNCTION("""COMPUTED_VALUE"""),36323.0)</f>
        <v>36323</v>
      </c>
    </row>
    <row r="730">
      <c r="A730" s="2">
        <f>IFERROR(__xludf.DUMMYFUNCTION("""COMPUTED_VALUE"""),43942.64583333333)</f>
        <v>43942.64583</v>
      </c>
      <c r="B730" s="1">
        <f>IFERROR(__xludf.DUMMYFUNCTION("""COMPUTED_VALUE"""),11100.0)</f>
        <v>11100</v>
      </c>
      <c r="C730" s="1">
        <f>IFERROR(__xludf.DUMMYFUNCTION("""COMPUTED_VALUE"""),11200.0)</f>
        <v>11200</v>
      </c>
      <c r="D730" s="1">
        <f>IFERROR(__xludf.DUMMYFUNCTION("""COMPUTED_VALUE"""),10025.0)</f>
        <v>10025</v>
      </c>
      <c r="E730" s="1">
        <f>IFERROR(__xludf.DUMMYFUNCTION("""COMPUTED_VALUE"""),10900.0)</f>
        <v>10900</v>
      </c>
      <c r="F730" s="1">
        <f>IFERROR(__xludf.DUMMYFUNCTION("""COMPUTED_VALUE"""),72862.0)</f>
        <v>72862</v>
      </c>
    </row>
    <row r="731">
      <c r="A731" s="2">
        <f>IFERROR(__xludf.DUMMYFUNCTION("""COMPUTED_VALUE"""),43943.64583333333)</f>
        <v>43943.64583</v>
      </c>
      <c r="B731" s="1">
        <f>IFERROR(__xludf.DUMMYFUNCTION("""COMPUTED_VALUE"""),10700.0)</f>
        <v>10700</v>
      </c>
      <c r="C731" s="1">
        <f>IFERROR(__xludf.DUMMYFUNCTION("""COMPUTED_VALUE"""),10750.0)</f>
        <v>10750</v>
      </c>
      <c r="D731" s="1">
        <f>IFERROR(__xludf.DUMMYFUNCTION("""COMPUTED_VALUE"""),10350.0)</f>
        <v>10350</v>
      </c>
      <c r="E731" s="1">
        <f>IFERROR(__xludf.DUMMYFUNCTION("""COMPUTED_VALUE"""),10700.0)</f>
        <v>10700</v>
      </c>
      <c r="F731" s="1">
        <f>IFERROR(__xludf.DUMMYFUNCTION("""COMPUTED_VALUE"""),42544.0)</f>
        <v>42544</v>
      </c>
    </row>
    <row r="732">
      <c r="A732" s="2">
        <f>IFERROR(__xludf.DUMMYFUNCTION("""COMPUTED_VALUE"""),43944.64583333333)</f>
        <v>43944.64583</v>
      </c>
      <c r="B732" s="1">
        <f>IFERROR(__xludf.DUMMYFUNCTION("""COMPUTED_VALUE"""),10750.0)</f>
        <v>10750</v>
      </c>
      <c r="C732" s="1">
        <f>IFERROR(__xludf.DUMMYFUNCTION("""COMPUTED_VALUE"""),11100.0)</f>
        <v>11100</v>
      </c>
      <c r="D732" s="1">
        <f>IFERROR(__xludf.DUMMYFUNCTION("""COMPUTED_VALUE"""),10450.0)</f>
        <v>10450</v>
      </c>
      <c r="E732" s="1">
        <f>IFERROR(__xludf.DUMMYFUNCTION("""COMPUTED_VALUE"""),10650.0)</f>
        <v>10650</v>
      </c>
      <c r="F732" s="1">
        <f>IFERROR(__xludf.DUMMYFUNCTION("""COMPUTED_VALUE"""),51582.0)</f>
        <v>51582</v>
      </c>
    </row>
    <row r="733">
      <c r="A733" s="2">
        <f>IFERROR(__xludf.DUMMYFUNCTION("""COMPUTED_VALUE"""),43945.64583333333)</f>
        <v>43945.64583</v>
      </c>
      <c r="B733" s="1">
        <f>IFERROR(__xludf.DUMMYFUNCTION("""COMPUTED_VALUE"""),10525.0)</f>
        <v>10525</v>
      </c>
      <c r="C733" s="1">
        <f>IFERROR(__xludf.DUMMYFUNCTION("""COMPUTED_VALUE"""),10600.0)</f>
        <v>10600</v>
      </c>
      <c r="D733" s="1">
        <f>IFERROR(__xludf.DUMMYFUNCTION("""COMPUTED_VALUE"""),10175.0)</f>
        <v>10175</v>
      </c>
      <c r="E733" s="1">
        <f>IFERROR(__xludf.DUMMYFUNCTION("""COMPUTED_VALUE"""),10400.0)</f>
        <v>10400</v>
      </c>
      <c r="F733" s="1">
        <f>IFERROR(__xludf.DUMMYFUNCTION("""COMPUTED_VALUE"""),38296.0)</f>
        <v>38296</v>
      </c>
    </row>
    <row r="734">
      <c r="A734" s="2">
        <f>IFERROR(__xludf.DUMMYFUNCTION("""COMPUTED_VALUE"""),43948.64583333333)</f>
        <v>43948.64583</v>
      </c>
      <c r="B734" s="1">
        <f>IFERROR(__xludf.DUMMYFUNCTION("""COMPUTED_VALUE"""),10350.0)</f>
        <v>10350</v>
      </c>
      <c r="C734" s="1">
        <f>IFERROR(__xludf.DUMMYFUNCTION("""COMPUTED_VALUE"""),10550.0)</f>
        <v>10550</v>
      </c>
      <c r="D734" s="1">
        <f>IFERROR(__xludf.DUMMYFUNCTION("""COMPUTED_VALUE"""),10200.0)</f>
        <v>10200</v>
      </c>
      <c r="E734" s="1">
        <f>IFERROR(__xludf.DUMMYFUNCTION("""COMPUTED_VALUE"""),10350.0)</f>
        <v>10350</v>
      </c>
      <c r="F734" s="1">
        <f>IFERROR(__xludf.DUMMYFUNCTION("""COMPUTED_VALUE"""),38337.0)</f>
        <v>38337</v>
      </c>
    </row>
    <row r="735">
      <c r="A735" s="2">
        <f>IFERROR(__xludf.DUMMYFUNCTION("""COMPUTED_VALUE"""),43949.64583333333)</f>
        <v>43949.64583</v>
      </c>
      <c r="B735" s="1">
        <f>IFERROR(__xludf.DUMMYFUNCTION("""COMPUTED_VALUE"""),10350.0)</f>
        <v>10350</v>
      </c>
      <c r="C735" s="1">
        <f>IFERROR(__xludf.DUMMYFUNCTION("""COMPUTED_VALUE"""),10450.0)</f>
        <v>10450</v>
      </c>
      <c r="D735" s="1">
        <f>IFERROR(__xludf.DUMMYFUNCTION("""COMPUTED_VALUE"""),10100.0)</f>
        <v>10100</v>
      </c>
      <c r="E735" s="1">
        <f>IFERROR(__xludf.DUMMYFUNCTION("""COMPUTED_VALUE"""),10200.0)</f>
        <v>10200</v>
      </c>
      <c r="F735" s="1">
        <f>IFERROR(__xludf.DUMMYFUNCTION("""COMPUTED_VALUE"""),34024.0)</f>
        <v>34024</v>
      </c>
    </row>
    <row r="736">
      <c r="A736" s="2">
        <f>IFERROR(__xludf.DUMMYFUNCTION("""COMPUTED_VALUE"""),43950.64583333333)</f>
        <v>43950.64583</v>
      </c>
      <c r="B736" s="1">
        <f>IFERROR(__xludf.DUMMYFUNCTION("""COMPUTED_VALUE"""),10200.0)</f>
        <v>10200</v>
      </c>
      <c r="C736" s="1">
        <f>IFERROR(__xludf.DUMMYFUNCTION("""COMPUTED_VALUE"""),10675.0)</f>
        <v>10675</v>
      </c>
      <c r="D736" s="1">
        <f>IFERROR(__xludf.DUMMYFUNCTION("""COMPUTED_VALUE"""),10125.0)</f>
        <v>10125</v>
      </c>
      <c r="E736" s="1">
        <f>IFERROR(__xludf.DUMMYFUNCTION("""COMPUTED_VALUE"""),10475.0)</f>
        <v>10475</v>
      </c>
      <c r="F736" s="1">
        <f>IFERROR(__xludf.DUMMYFUNCTION("""COMPUTED_VALUE"""),26145.0)</f>
        <v>26145</v>
      </c>
    </row>
    <row r="737">
      <c r="A737" s="2">
        <f>IFERROR(__xludf.DUMMYFUNCTION("""COMPUTED_VALUE"""),43955.64583333333)</f>
        <v>43955.64583</v>
      </c>
      <c r="B737" s="1">
        <f>IFERROR(__xludf.DUMMYFUNCTION("""COMPUTED_VALUE"""),10300.0)</f>
        <v>10300</v>
      </c>
      <c r="C737" s="1">
        <f>IFERROR(__xludf.DUMMYFUNCTION("""COMPUTED_VALUE"""),10375.0)</f>
        <v>10375</v>
      </c>
      <c r="D737" s="1">
        <f>IFERROR(__xludf.DUMMYFUNCTION("""COMPUTED_VALUE"""),9925.0)</f>
        <v>9925</v>
      </c>
      <c r="E737" s="1">
        <f>IFERROR(__xludf.DUMMYFUNCTION("""COMPUTED_VALUE"""),10000.0)</f>
        <v>10000</v>
      </c>
      <c r="F737" s="1">
        <f>IFERROR(__xludf.DUMMYFUNCTION("""COMPUTED_VALUE"""),47509.0)</f>
        <v>47509</v>
      </c>
    </row>
    <row r="738">
      <c r="A738" s="2">
        <f>IFERROR(__xludf.DUMMYFUNCTION("""COMPUTED_VALUE"""),43957.64583333333)</f>
        <v>43957.64583</v>
      </c>
      <c r="B738" s="1">
        <f>IFERROR(__xludf.DUMMYFUNCTION("""COMPUTED_VALUE"""),10175.0)</f>
        <v>10175</v>
      </c>
      <c r="C738" s="1">
        <f>IFERROR(__xludf.DUMMYFUNCTION("""COMPUTED_VALUE"""),10175.0)</f>
        <v>10175</v>
      </c>
      <c r="D738" s="1">
        <f>IFERROR(__xludf.DUMMYFUNCTION("""COMPUTED_VALUE"""),9675.0)</f>
        <v>9675</v>
      </c>
      <c r="E738" s="1">
        <f>IFERROR(__xludf.DUMMYFUNCTION("""COMPUTED_VALUE"""),10125.0)</f>
        <v>10125</v>
      </c>
      <c r="F738" s="1">
        <f>IFERROR(__xludf.DUMMYFUNCTION("""COMPUTED_VALUE"""),40255.0)</f>
        <v>40255</v>
      </c>
    </row>
    <row r="739">
      <c r="A739" s="2">
        <f>IFERROR(__xludf.DUMMYFUNCTION("""COMPUTED_VALUE"""),43958.64583333333)</f>
        <v>43958.64583</v>
      </c>
      <c r="B739" s="1">
        <f>IFERROR(__xludf.DUMMYFUNCTION("""COMPUTED_VALUE"""),10100.0)</f>
        <v>10100</v>
      </c>
      <c r="C739" s="1">
        <f>IFERROR(__xludf.DUMMYFUNCTION("""COMPUTED_VALUE"""),10825.0)</f>
        <v>10825</v>
      </c>
      <c r="D739" s="1">
        <f>IFERROR(__xludf.DUMMYFUNCTION("""COMPUTED_VALUE"""),10025.0)</f>
        <v>10025</v>
      </c>
      <c r="E739" s="1">
        <f>IFERROR(__xludf.DUMMYFUNCTION("""COMPUTED_VALUE"""),10675.0)</f>
        <v>10675</v>
      </c>
      <c r="F739" s="1">
        <f>IFERROR(__xludf.DUMMYFUNCTION("""COMPUTED_VALUE"""),65954.0)</f>
        <v>65954</v>
      </c>
    </row>
    <row r="740">
      <c r="A740" s="2">
        <f>IFERROR(__xludf.DUMMYFUNCTION("""COMPUTED_VALUE"""),43959.64583333333)</f>
        <v>43959.64583</v>
      </c>
      <c r="B740" s="1">
        <f>IFERROR(__xludf.DUMMYFUNCTION("""COMPUTED_VALUE"""),10725.0)</f>
        <v>10725</v>
      </c>
      <c r="C740" s="1">
        <f>IFERROR(__xludf.DUMMYFUNCTION("""COMPUTED_VALUE"""),11300.0)</f>
        <v>11300</v>
      </c>
      <c r="D740" s="1">
        <f>IFERROR(__xludf.DUMMYFUNCTION("""COMPUTED_VALUE"""),10725.0)</f>
        <v>10725</v>
      </c>
      <c r="E740" s="1">
        <f>IFERROR(__xludf.DUMMYFUNCTION("""COMPUTED_VALUE"""),11175.0)</f>
        <v>11175</v>
      </c>
      <c r="F740" s="1">
        <f>IFERROR(__xludf.DUMMYFUNCTION("""COMPUTED_VALUE"""),108404.0)</f>
        <v>108404</v>
      </c>
    </row>
    <row r="741">
      <c r="A741" s="2">
        <f>IFERROR(__xludf.DUMMYFUNCTION("""COMPUTED_VALUE"""),43962.64583333333)</f>
        <v>43962.64583</v>
      </c>
      <c r="B741" s="1">
        <f>IFERROR(__xludf.DUMMYFUNCTION("""COMPUTED_VALUE"""),11200.0)</f>
        <v>11200</v>
      </c>
      <c r="C741" s="1">
        <f>IFERROR(__xludf.DUMMYFUNCTION("""COMPUTED_VALUE"""),11625.0)</f>
        <v>11625</v>
      </c>
      <c r="D741" s="1">
        <f>IFERROR(__xludf.DUMMYFUNCTION("""COMPUTED_VALUE"""),10650.0)</f>
        <v>10650</v>
      </c>
      <c r="E741" s="1">
        <f>IFERROR(__xludf.DUMMYFUNCTION("""COMPUTED_VALUE"""),10975.0)</f>
        <v>10975</v>
      </c>
      <c r="F741" s="1">
        <f>IFERROR(__xludf.DUMMYFUNCTION("""COMPUTED_VALUE"""),104663.0)</f>
        <v>104663</v>
      </c>
    </row>
    <row r="742">
      <c r="A742" s="2">
        <f>IFERROR(__xludf.DUMMYFUNCTION("""COMPUTED_VALUE"""),43963.64583333333)</f>
        <v>43963.64583</v>
      </c>
      <c r="B742" s="1">
        <f>IFERROR(__xludf.DUMMYFUNCTION("""COMPUTED_VALUE"""),11000.0)</f>
        <v>11000</v>
      </c>
      <c r="C742" s="1">
        <f>IFERROR(__xludf.DUMMYFUNCTION("""COMPUTED_VALUE"""),11300.0)</f>
        <v>11300</v>
      </c>
      <c r="D742" s="1">
        <f>IFERROR(__xludf.DUMMYFUNCTION("""COMPUTED_VALUE"""),10400.0)</f>
        <v>10400</v>
      </c>
      <c r="E742" s="1">
        <f>IFERROR(__xludf.DUMMYFUNCTION("""COMPUTED_VALUE"""),11175.0)</f>
        <v>11175</v>
      </c>
      <c r="F742" s="1">
        <f>IFERROR(__xludf.DUMMYFUNCTION("""COMPUTED_VALUE"""),67511.0)</f>
        <v>67511</v>
      </c>
    </row>
    <row r="743">
      <c r="A743" s="2">
        <f>IFERROR(__xludf.DUMMYFUNCTION("""COMPUTED_VALUE"""),43964.64583333333)</f>
        <v>43964.64583</v>
      </c>
      <c r="B743" s="1">
        <f>IFERROR(__xludf.DUMMYFUNCTION("""COMPUTED_VALUE"""),10900.0)</f>
        <v>10900</v>
      </c>
      <c r="C743" s="1">
        <f>IFERROR(__xludf.DUMMYFUNCTION("""COMPUTED_VALUE"""),11150.0)</f>
        <v>11150</v>
      </c>
      <c r="D743" s="1">
        <f>IFERROR(__xludf.DUMMYFUNCTION("""COMPUTED_VALUE"""),10750.0)</f>
        <v>10750</v>
      </c>
      <c r="E743" s="1">
        <f>IFERROR(__xludf.DUMMYFUNCTION("""COMPUTED_VALUE"""),11150.0)</f>
        <v>11150</v>
      </c>
      <c r="F743" s="1">
        <f>IFERROR(__xludf.DUMMYFUNCTION("""COMPUTED_VALUE"""),26125.0)</f>
        <v>26125</v>
      </c>
    </row>
    <row r="744">
      <c r="A744" s="2">
        <f>IFERROR(__xludf.DUMMYFUNCTION("""COMPUTED_VALUE"""),43965.64583333333)</f>
        <v>43965.64583</v>
      </c>
      <c r="B744" s="1">
        <f>IFERROR(__xludf.DUMMYFUNCTION("""COMPUTED_VALUE"""),11000.0)</f>
        <v>11000</v>
      </c>
      <c r="C744" s="1">
        <f>IFERROR(__xludf.DUMMYFUNCTION("""COMPUTED_VALUE"""),11025.0)</f>
        <v>11025</v>
      </c>
      <c r="D744" s="1">
        <f>IFERROR(__xludf.DUMMYFUNCTION("""COMPUTED_VALUE"""),10625.0)</f>
        <v>10625</v>
      </c>
      <c r="E744" s="1">
        <f>IFERROR(__xludf.DUMMYFUNCTION("""COMPUTED_VALUE"""),10700.0)</f>
        <v>10700</v>
      </c>
      <c r="F744" s="1">
        <f>IFERROR(__xludf.DUMMYFUNCTION("""COMPUTED_VALUE"""),60949.0)</f>
        <v>60949</v>
      </c>
    </row>
    <row r="745">
      <c r="A745" s="2">
        <f>IFERROR(__xludf.DUMMYFUNCTION("""COMPUTED_VALUE"""),43966.64583333333)</f>
        <v>43966.64583</v>
      </c>
      <c r="B745" s="1">
        <f>IFERROR(__xludf.DUMMYFUNCTION("""COMPUTED_VALUE"""),10775.0)</f>
        <v>10775</v>
      </c>
      <c r="C745" s="1">
        <f>IFERROR(__xludf.DUMMYFUNCTION("""COMPUTED_VALUE"""),11425.0)</f>
        <v>11425</v>
      </c>
      <c r="D745" s="1">
        <f>IFERROR(__xludf.DUMMYFUNCTION("""COMPUTED_VALUE"""),10675.0)</f>
        <v>10675</v>
      </c>
      <c r="E745" s="1">
        <f>IFERROR(__xludf.DUMMYFUNCTION("""COMPUTED_VALUE"""),11400.0)</f>
        <v>11400</v>
      </c>
      <c r="F745" s="1">
        <f>IFERROR(__xludf.DUMMYFUNCTION("""COMPUTED_VALUE"""),115542.0)</f>
        <v>115542</v>
      </c>
    </row>
    <row r="746">
      <c r="A746" s="2">
        <f>IFERROR(__xludf.DUMMYFUNCTION("""COMPUTED_VALUE"""),43969.64583333333)</f>
        <v>43969.64583</v>
      </c>
      <c r="B746" s="1">
        <f>IFERROR(__xludf.DUMMYFUNCTION("""COMPUTED_VALUE"""),11500.0)</f>
        <v>11500</v>
      </c>
      <c r="C746" s="1">
        <f>IFERROR(__xludf.DUMMYFUNCTION("""COMPUTED_VALUE"""),11700.0)</f>
        <v>11700</v>
      </c>
      <c r="D746" s="1">
        <f>IFERROR(__xludf.DUMMYFUNCTION("""COMPUTED_VALUE"""),11250.0)</f>
        <v>11250</v>
      </c>
      <c r="E746" s="1">
        <f>IFERROR(__xludf.DUMMYFUNCTION("""COMPUTED_VALUE"""),11575.0)</f>
        <v>11575</v>
      </c>
      <c r="F746" s="1">
        <f>IFERROR(__xludf.DUMMYFUNCTION("""COMPUTED_VALUE"""),80152.0)</f>
        <v>80152</v>
      </c>
    </row>
    <row r="747">
      <c r="A747" s="2">
        <f>IFERROR(__xludf.DUMMYFUNCTION("""COMPUTED_VALUE"""),43970.64583333333)</f>
        <v>43970.64583</v>
      </c>
      <c r="B747" s="1">
        <f>IFERROR(__xludf.DUMMYFUNCTION("""COMPUTED_VALUE"""),11825.0)</f>
        <v>11825</v>
      </c>
      <c r="C747" s="1">
        <f>IFERROR(__xludf.DUMMYFUNCTION("""COMPUTED_VALUE"""),12350.0)</f>
        <v>12350</v>
      </c>
      <c r="D747" s="1">
        <f>IFERROR(__xludf.DUMMYFUNCTION("""COMPUTED_VALUE"""),11675.0)</f>
        <v>11675</v>
      </c>
      <c r="E747" s="1">
        <f>IFERROR(__xludf.DUMMYFUNCTION("""COMPUTED_VALUE"""),12250.0)</f>
        <v>12250</v>
      </c>
      <c r="F747" s="1">
        <f>IFERROR(__xludf.DUMMYFUNCTION("""COMPUTED_VALUE"""),102345.0)</f>
        <v>102345</v>
      </c>
    </row>
    <row r="748">
      <c r="A748" s="2">
        <f>IFERROR(__xludf.DUMMYFUNCTION("""COMPUTED_VALUE"""),43971.64583333333)</f>
        <v>43971.64583</v>
      </c>
      <c r="B748" s="1">
        <f>IFERROR(__xludf.DUMMYFUNCTION("""COMPUTED_VALUE"""),12050.0)</f>
        <v>12050</v>
      </c>
      <c r="C748" s="1">
        <f>IFERROR(__xludf.DUMMYFUNCTION("""COMPUTED_VALUE"""),13125.0)</f>
        <v>13125</v>
      </c>
      <c r="D748" s="1">
        <f>IFERROR(__xludf.DUMMYFUNCTION("""COMPUTED_VALUE"""),12050.0)</f>
        <v>12050</v>
      </c>
      <c r="E748" s="1">
        <f>IFERROR(__xludf.DUMMYFUNCTION("""COMPUTED_VALUE"""),12850.0)</f>
        <v>12850</v>
      </c>
      <c r="F748" s="1">
        <f>IFERROR(__xludf.DUMMYFUNCTION("""COMPUTED_VALUE"""),155320.0)</f>
        <v>155320</v>
      </c>
    </row>
    <row r="749">
      <c r="A749" s="2">
        <f>IFERROR(__xludf.DUMMYFUNCTION("""COMPUTED_VALUE"""),43972.64583333333)</f>
        <v>43972.64583</v>
      </c>
      <c r="B749" s="1">
        <f>IFERROR(__xludf.DUMMYFUNCTION("""COMPUTED_VALUE"""),13000.0)</f>
        <v>13000</v>
      </c>
      <c r="C749" s="1">
        <f>IFERROR(__xludf.DUMMYFUNCTION("""COMPUTED_VALUE"""),13050.0)</f>
        <v>13050</v>
      </c>
      <c r="D749" s="1">
        <f>IFERROR(__xludf.DUMMYFUNCTION("""COMPUTED_VALUE"""),12675.0)</f>
        <v>12675</v>
      </c>
      <c r="E749" s="1">
        <f>IFERROR(__xludf.DUMMYFUNCTION("""COMPUTED_VALUE"""),12850.0)</f>
        <v>12850</v>
      </c>
      <c r="F749" s="1">
        <f>IFERROR(__xludf.DUMMYFUNCTION("""COMPUTED_VALUE"""),41892.0)</f>
        <v>41892</v>
      </c>
    </row>
    <row r="750">
      <c r="A750" s="2">
        <f>IFERROR(__xludf.DUMMYFUNCTION("""COMPUTED_VALUE"""),43973.64583333333)</f>
        <v>43973.64583</v>
      </c>
      <c r="B750" s="1">
        <f>IFERROR(__xludf.DUMMYFUNCTION("""COMPUTED_VALUE"""),12625.0)</f>
        <v>12625</v>
      </c>
      <c r="C750" s="1">
        <f>IFERROR(__xludf.DUMMYFUNCTION("""COMPUTED_VALUE"""),12925.0)</f>
        <v>12925</v>
      </c>
      <c r="D750" s="1">
        <f>IFERROR(__xludf.DUMMYFUNCTION("""COMPUTED_VALUE"""),12050.0)</f>
        <v>12050</v>
      </c>
      <c r="E750" s="1">
        <f>IFERROR(__xludf.DUMMYFUNCTION("""COMPUTED_VALUE"""),12500.0)</f>
        <v>12500</v>
      </c>
      <c r="F750" s="1">
        <f>IFERROR(__xludf.DUMMYFUNCTION("""COMPUTED_VALUE"""),85395.0)</f>
        <v>85395</v>
      </c>
    </row>
    <row r="751">
      <c r="A751" s="2">
        <f>IFERROR(__xludf.DUMMYFUNCTION("""COMPUTED_VALUE"""),43976.64583333333)</f>
        <v>43976.64583</v>
      </c>
      <c r="B751" s="1">
        <f>IFERROR(__xludf.DUMMYFUNCTION("""COMPUTED_VALUE"""),12700.0)</f>
        <v>12700</v>
      </c>
      <c r="C751" s="1">
        <f>IFERROR(__xludf.DUMMYFUNCTION("""COMPUTED_VALUE"""),12700.0)</f>
        <v>12700</v>
      </c>
      <c r="D751" s="1">
        <f>IFERROR(__xludf.DUMMYFUNCTION("""COMPUTED_VALUE"""),12150.0)</f>
        <v>12150</v>
      </c>
      <c r="E751" s="1">
        <f>IFERROR(__xludf.DUMMYFUNCTION("""COMPUTED_VALUE"""),12525.0)</f>
        <v>12525</v>
      </c>
      <c r="F751" s="1">
        <f>IFERROR(__xludf.DUMMYFUNCTION("""COMPUTED_VALUE"""),34700.0)</f>
        <v>34700</v>
      </c>
    </row>
    <row r="752">
      <c r="A752" s="2">
        <f>IFERROR(__xludf.DUMMYFUNCTION("""COMPUTED_VALUE"""),43977.64583333333)</f>
        <v>43977.64583</v>
      </c>
      <c r="B752" s="1">
        <f>IFERROR(__xludf.DUMMYFUNCTION("""COMPUTED_VALUE"""),12550.0)</f>
        <v>12550</v>
      </c>
      <c r="C752" s="1">
        <f>IFERROR(__xludf.DUMMYFUNCTION("""COMPUTED_VALUE"""),13400.0)</f>
        <v>13400</v>
      </c>
      <c r="D752" s="1">
        <f>IFERROR(__xludf.DUMMYFUNCTION("""COMPUTED_VALUE"""),12375.0)</f>
        <v>12375</v>
      </c>
      <c r="E752" s="1">
        <f>IFERROR(__xludf.DUMMYFUNCTION("""COMPUTED_VALUE"""),13375.0)</f>
        <v>13375</v>
      </c>
      <c r="F752" s="1">
        <f>IFERROR(__xludf.DUMMYFUNCTION("""COMPUTED_VALUE"""),77695.0)</f>
        <v>77695</v>
      </c>
    </row>
    <row r="753">
      <c r="A753" s="2">
        <f>IFERROR(__xludf.DUMMYFUNCTION("""COMPUTED_VALUE"""),43978.64583333333)</f>
        <v>43978.64583</v>
      </c>
      <c r="B753" s="1">
        <f>IFERROR(__xludf.DUMMYFUNCTION("""COMPUTED_VALUE"""),13400.0)</f>
        <v>13400</v>
      </c>
      <c r="C753" s="1">
        <f>IFERROR(__xludf.DUMMYFUNCTION("""COMPUTED_VALUE"""),14100.0)</f>
        <v>14100</v>
      </c>
      <c r="D753" s="1">
        <f>IFERROR(__xludf.DUMMYFUNCTION("""COMPUTED_VALUE"""),13150.0)</f>
        <v>13150</v>
      </c>
      <c r="E753" s="1">
        <f>IFERROR(__xludf.DUMMYFUNCTION("""COMPUTED_VALUE"""),13850.0)</f>
        <v>13850</v>
      </c>
      <c r="F753" s="1">
        <f>IFERROR(__xludf.DUMMYFUNCTION("""COMPUTED_VALUE"""),107345.0)</f>
        <v>107345</v>
      </c>
    </row>
    <row r="754">
      <c r="A754" s="2">
        <f>IFERROR(__xludf.DUMMYFUNCTION("""COMPUTED_VALUE"""),43979.64583333333)</f>
        <v>43979.64583</v>
      </c>
      <c r="B754" s="1">
        <f>IFERROR(__xludf.DUMMYFUNCTION("""COMPUTED_VALUE"""),13925.0)</f>
        <v>13925</v>
      </c>
      <c r="C754" s="1">
        <f>IFERROR(__xludf.DUMMYFUNCTION("""COMPUTED_VALUE"""),14000.0)</f>
        <v>14000</v>
      </c>
      <c r="D754" s="1">
        <f>IFERROR(__xludf.DUMMYFUNCTION("""COMPUTED_VALUE"""),12825.0)</f>
        <v>12825</v>
      </c>
      <c r="E754" s="1">
        <f>IFERROR(__xludf.DUMMYFUNCTION("""COMPUTED_VALUE"""),13125.0)</f>
        <v>13125</v>
      </c>
      <c r="F754" s="1">
        <f>IFERROR(__xludf.DUMMYFUNCTION("""COMPUTED_VALUE"""),86399.0)</f>
        <v>86399</v>
      </c>
    </row>
    <row r="755">
      <c r="A755" s="2">
        <f>IFERROR(__xludf.DUMMYFUNCTION("""COMPUTED_VALUE"""),43980.64583333333)</f>
        <v>43980.64583</v>
      </c>
      <c r="B755" s="1">
        <f>IFERROR(__xludf.DUMMYFUNCTION("""COMPUTED_VALUE"""),13150.0)</f>
        <v>13150</v>
      </c>
      <c r="C755" s="1">
        <f>IFERROR(__xludf.DUMMYFUNCTION("""COMPUTED_VALUE"""),13650.0)</f>
        <v>13650</v>
      </c>
      <c r="D755" s="1">
        <f>IFERROR(__xludf.DUMMYFUNCTION("""COMPUTED_VALUE"""),12550.0)</f>
        <v>12550</v>
      </c>
      <c r="E755" s="1">
        <f>IFERROR(__xludf.DUMMYFUNCTION("""COMPUTED_VALUE"""),13500.0)</f>
        <v>13500</v>
      </c>
      <c r="F755" s="1">
        <f>IFERROR(__xludf.DUMMYFUNCTION("""COMPUTED_VALUE"""),50057.0)</f>
        <v>50057</v>
      </c>
    </row>
    <row r="756">
      <c r="A756" s="2">
        <f>IFERROR(__xludf.DUMMYFUNCTION("""COMPUTED_VALUE"""),43983.64583333333)</f>
        <v>43983.64583</v>
      </c>
      <c r="B756" s="1">
        <f>IFERROR(__xludf.DUMMYFUNCTION("""COMPUTED_VALUE"""),13800.0)</f>
        <v>13800</v>
      </c>
      <c r="C756" s="1">
        <f>IFERROR(__xludf.DUMMYFUNCTION("""COMPUTED_VALUE"""),14600.0)</f>
        <v>14600</v>
      </c>
      <c r="D756" s="1">
        <f>IFERROR(__xludf.DUMMYFUNCTION("""COMPUTED_VALUE"""),13375.0)</f>
        <v>13375</v>
      </c>
      <c r="E756" s="1">
        <f>IFERROR(__xludf.DUMMYFUNCTION("""COMPUTED_VALUE"""),14475.0)</f>
        <v>14475</v>
      </c>
      <c r="F756" s="1">
        <f>IFERROR(__xludf.DUMMYFUNCTION("""COMPUTED_VALUE"""),147765.0)</f>
        <v>147765</v>
      </c>
    </row>
    <row r="757">
      <c r="A757" s="2">
        <f>IFERROR(__xludf.DUMMYFUNCTION("""COMPUTED_VALUE"""),43984.64583333333)</f>
        <v>43984.64583</v>
      </c>
      <c r="B757" s="1">
        <f>IFERROR(__xludf.DUMMYFUNCTION("""COMPUTED_VALUE"""),14375.0)</f>
        <v>14375</v>
      </c>
      <c r="C757" s="1">
        <f>IFERROR(__xludf.DUMMYFUNCTION("""COMPUTED_VALUE"""),14625.0)</f>
        <v>14625</v>
      </c>
      <c r="D757" s="1">
        <f>IFERROR(__xludf.DUMMYFUNCTION("""COMPUTED_VALUE"""),14075.0)</f>
        <v>14075</v>
      </c>
      <c r="E757" s="1">
        <f>IFERROR(__xludf.DUMMYFUNCTION("""COMPUTED_VALUE"""),14375.0)</f>
        <v>14375</v>
      </c>
      <c r="F757" s="1">
        <f>IFERROR(__xludf.DUMMYFUNCTION("""COMPUTED_VALUE"""),55262.0)</f>
        <v>55262</v>
      </c>
    </row>
    <row r="758">
      <c r="A758" s="2">
        <f>IFERROR(__xludf.DUMMYFUNCTION("""COMPUTED_VALUE"""),43985.64583333333)</f>
        <v>43985.64583</v>
      </c>
      <c r="B758" s="1">
        <f>IFERROR(__xludf.DUMMYFUNCTION("""COMPUTED_VALUE"""),14400.0)</f>
        <v>14400</v>
      </c>
      <c r="C758" s="1">
        <f>IFERROR(__xludf.DUMMYFUNCTION("""COMPUTED_VALUE"""),14775.0)</f>
        <v>14775</v>
      </c>
      <c r="D758" s="1">
        <f>IFERROR(__xludf.DUMMYFUNCTION("""COMPUTED_VALUE"""),13975.0)</f>
        <v>13975</v>
      </c>
      <c r="E758" s="1">
        <f>IFERROR(__xludf.DUMMYFUNCTION("""COMPUTED_VALUE"""),14525.0)</f>
        <v>14525</v>
      </c>
      <c r="F758" s="1">
        <f>IFERROR(__xludf.DUMMYFUNCTION("""COMPUTED_VALUE"""),62391.0)</f>
        <v>62391</v>
      </c>
    </row>
    <row r="759">
      <c r="A759" s="2">
        <f>IFERROR(__xludf.DUMMYFUNCTION("""COMPUTED_VALUE"""),43986.64583333333)</f>
        <v>43986.64583</v>
      </c>
      <c r="B759" s="1">
        <f>IFERROR(__xludf.DUMMYFUNCTION("""COMPUTED_VALUE"""),14750.0)</f>
        <v>14750</v>
      </c>
      <c r="C759" s="1">
        <f>IFERROR(__xludf.DUMMYFUNCTION("""COMPUTED_VALUE"""),15175.0)</f>
        <v>15175</v>
      </c>
      <c r="D759" s="1">
        <f>IFERROR(__xludf.DUMMYFUNCTION("""COMPUTED_VALUE"""),14125.0)</f>
        <v>14125</v>
      </c>
      <c r="E759" s="1">
        <f>IFERROR(__xludf.DUMMYFUNCTION("""COMPUTED_VALUE"""),14425.0)</f>
        <v>14425</v>
      </c>
      <c r="F759" s="1">
        <f>IFERROR(__xludf.DUMMYFUNCTION("""COMPUTED_VALUE"""),98361.0)</f>
        <v>98361</v>
      </c>
    </row>
    <row r="760">
      <c r="A760" s="2">
        <f>IFERROR(__xludf.DUMMYFUNCTION("""COMPUTED_VALUE"""),43987.64583333333)</f>
        <v>43987.64583</v>
      </c>
      <c r="B760" s="1">
        <f>IFERROR(__xludf.DUMMYFUNCTION("""COMPUTED_VALUE"""),14550.0)</f>
        <v>14550</v>
      </c>
      <c r="C760" s="1">
        <f>IFERROR(__xludf.DUMMYFUNCTION("""COMPUTED_VALUE"""),15275.0)</f>
        <v>15275</v>
      </c>
      <c r="D760" s="1">
        <f>IFERROR(__xludf.DUMMYFUNCTION("""COMPUTED_VALUE"""),14350.0)</f>
        <v>14350</v>
      </c>
      <c r="E760" s="1">
        <f>IFERROR(__xludf.DUMMYFUNCTION("""COMPUTED_VALUE"""),15050.0)</f>
        <v>15050</v>
      </c>
      <c r="F760" s="1">
        <f>IFERROR(__xludf.DUMMYFUNCTION("""COMPUTED_VALUE"""),96807.0)</f>
        <v>96807</v>
      </c>
    </row>
    <row r="761">
      <c r="A761" s="2">
        <f>IFERROR(__xludf.DUMMYFUNCTION("""COMPUTED_VALUE"""),43990.64583333333)</f>
        <v>43990.64583</v>
      </c>
      <c r="B761" s="1">
        <f>IFERROR(__xludf.DUMMYFUNCTION("""COMPUTED_VALUE"""),15050.0)</f>
        <v>15050</v>
      </c>
      <c r="C761" s="1">
        <f>IFERROR(__xludf.DUMMYFUNCTION("""COMPUTED_VALUE"""),15075.0)</f>
        <v>15075</v>
      </c>
      <c r="D761" s="1">
        <f>IFERROR(__xludf.DUMMYFUNCTION("""COMPUTED_VALUE"""),14275.0)</f>
        <v>14275</v>
      </c>
      <c r="E761" s="1">
        <f>IFERROR(__xludf.DUMMYFUNCTION("""COMPUTED_VALUE"""),14875.0)</f>
        <v>14875</v>
      </c>
      <c r="F761" s="1">
        <f>IFERROR(__xludf.DUMMYFUNCTION("""COMPUTED_VALUE"""),91556.0)</f>
        <v>91556</v>
      </c>
    </row>
    <row r="762">
      <c r="A762" s="2">
        <f>IFERROR(__xludf.DUMMYFUNCTION("""COMPUTED_VALUE"""),43991.64583333333)</f>
        <v>43991.64583</v>
      </c>
      <c r="B762" s="1">
        <f>IFERROR(__xludf.DUMMYFUNCTION("""COMPUTED_VALUE"""),14800.0)</f>
        <v>14800</v>
      </c>
      <c r="C762" s="1">
        <f>IFERROR(__xludf.DUMMYFUNCTION("""COMPUTED_VALUE"""),14800.0)</f>
        <v>14800</v>
      </c>
      <c r="D762" s="1">
        <f>IFERROR(__xludf.DUMMYFUNCTION("""COMPUTED_VALUE"""),14250.0)</f>
        <v>14250</v>
      </c>
      <c r="E762" s="1">
        <f>IFERROR(__xludf.DUMMYFUNCTION("""COMPUTED_VALUE"""),14275.0)</f>
        <v>14275</v>
      </c>
      <c r="F762" s="1">
        <f>IFERROR(__xludf.DUMMYFUNCTION("""COMPUTED_VALUE"""),56957.0)</f>
        <v>56957</v>
      </c>
    </row>
    <row r="763">
      <c r="A763" s="2">
        <f>IFERROR(__xludf.DUMMYFUNCTION("""COMPUTED_VALUE"""),43992.64583333333)</f>
        <v>43992.64583</v>
      </c>
      <c r="B763" s="1">
        <f>IFERROR(__xludf.DUMMYFUNCTION("""COMPUTED_VALUE"""),14300.0)</f>
        <v>14300</v>
      </c>
      <c r="C763" s="1">
        <f>IFERROR(__xludf.DUMMYFUNCTION("""COMPUTED_VALUE"""),14550.0)</f>
        <v>14550</v>
      </c>
      <c r="D763" s="1">
        <f>IFERROR(__xludf.DUMMYFUNCTION("""COMPUTED_VALUE"""),13675.0)</f>
        <v>13675</v>
      </c>
      <c r="E763" s="1">
        <f>IFERROR(__xludf.DUMMYFUNCTION("""COMPUTED_VALUE"""),14150.0)</f>
        <v>14150</v>
      </c>
      <c r="F763" s="1">
        <f>IFERROR(__xludf.DUMMYFUNCTION("""COMPUTED_VALUE"""),91293.0)</f>
        <v>91293</v>
      </c>
    </row>
    <row r="764">
      <c r="A764" s="2">
        <f>IFERROR(__xludf.DUMMYFUNCTION("""COMPUTED_VALUE"""),43993.64583333333)</f>
        <v>43993.64583</v>
      </c>
      <c r="B764" s="1">
        <f>IFERROR(__xludf.DUMMYFUNCTION("""COMPUTED_VALUE"""),14225.0)</f>
        <v>14225</v>
      </c>
      <c r="C764" s="1">
        <f>IFERROR(__xludf.DUMMYFUNCTION("""COMPUTED_VALUE"""),18375.0)</f>
        <v>18375</v>
      </c>
      <c r="D764" s="1">
        <f>IFERROR(__xludf.DUMMYFUNCTION("""COMPUTED_VALUE"""),14225.0)</f>
        <v>14225</v>
      </c>
      <c r="E764" s="1">
        <f>IFERROR(__xludf.DUMMYFUNCTION("""COMPUTED_VALUE"""),18375.0)</f>
        <v>18375</v>
      </c>
      <c r="F764" s="1">
        <f>IFERROR(__xludf.DUMMYFUNCTION("""COMPUTED_VALUE"""),2998935.0)</f>
        <v>2998935</v>
      </c>
    </row>
    <row r="765">
      <c r="A765" s="2">
        <f>IFERROR(__xludf.DUMMYFUNCTION("""COMPUTED_VALUE"""),43994.64583333333)</f>
        <v>43994.64583</v>
      </c>
      <c r="B765" s="1">
        <f>IFERROR(__xludf.DUMMYFUNCTION("""COMPUTED_VALUE"""),17250.0)</f>
        <v>17250</v>
      </c>
      <c r="C765" s="1">
        <f>IFERROR(__xludf.DUMMYFUNCTION("""COMPUTED_VALUE"""),17775.0)</f>
        <v>17775</v>
      </c>
      <c r="D765" s="1">
        <f>IFERROR(__xludf.DUMMYFUNCTION("""COMPUTED_VALUE"""),16550.0)</f>
        <v>16550</v>
      </c>
      <c r="E765" s="1">
        <f>IFERROR(__xludf.DUMMYFUNCTION("""COMPUTED_VALUE"""),17000.0)</f>
        <v>17000</v>
      </c>
      <c r="F765" s="1">
        <f>IFERROR(__xludf.DUMMYFUNCTION("""COMPUTED_VALUE"""),1209517.0)</f>
        <v>1209517</v>
      </c>
    </row>
    <row r="766">
      <c r="A766" s="2">
        <f>IFERROR(__xludf.DUMMYFUNCTION("""COMPUTED_VALUE"""),43997.64583333333)</f>
        <v>43997.64583</v>
      </c>
      <c r="B766" s="1">
        <f>IFERROR(__xludf.DUMMYFUNCTION("""COMPUTED_VALUE"""),17700.0)</f>
        <v>17700</v>
      </c>
      <c r="C766" s="1">
        <f>IFERROR(__xludf.DUMMYFUNCTION("""COMPUTED_VALUE"""),18050.0)</f>
        <v>18050</v>
      </c>
      <c r="D766" s="1">
        <f>IFERROR(__xludf.DUMMYFUNCTION("""COMPUTED_VALUE"""),14175.0)</f>
        <v>14175</v>
      </c>
      <c r="E766" s="1">
        <f>IFERROR(__xludf.DUMMYFUNCTION("""COMPUTED_VALUE"""),14425.0)</f>
        <v>14425</v>
      </c>
      <c r="F766" s="1">
        <f>IFERROR(__xludf.DUMMYFUNCTION("""COMPUTED_VALUE"""),1098363.0)</f>
        <v>1098363</v>
      </c>
    </row>
    <row r="767">
      <c r="A767" s="2">
        <f>IFERROR(__xludf.DUMMYFUNCTION("""COMPUTED_VALUE"""),43998.64583333333)</f>
        <v>43998.64583</v>
      </c>
      <c r="B767" s="1">
        <f>IFERROR(__xludf.DUMMYFUNCTION("""COMPUTED_VALUE"""),15100.0)</f>
        <v>15100</v>
      </c>
      <c r="C767" s="1">
        <f>IFERROR(__xludf.DUMMYFUNCTION("""COMPUTED_VALUE"""),15400.0)</f>
        <v>15400</v>
      </c>
      <c r="D767" s="1">
        <f>IFERROR(__xludf.DUMMYFUNCTION("""COMPUTED_VALUE"""),14475.0)</f>
        <v>14475</v>
      </c>
      <c r="E767" s="1">
        <f>IFERROR(__xludf.DUMMYFUNCTION("""COMPUTED_VALUE"""),14975.0)</f>
        <v>14975</v>
      </c>
      <c r="F767" s="1">
        <f>IFERROR(__xludf.DUMMYFUNCTION("""COMPUTED_VALUE"""),424530.0)</f>
        <v>424530</v>
      </c>
    </row>
    <row r="768">
      <c r="A768" s="2">
        <f>IFERROR(__xludf.DUMMYFUNCTION("""COMPUTED_VALUE"""),43999.64583333333)</f>
        <v>43999.64583</v>
      </c>
      <c r="B768" s="1">
        <f>IFERROR(__xludf.DUMMYFUNCTION("""COMPUTED_VALUE"""),14550.0)</f>
        <v>14550</v>
      </c>
      <c r="C768" s="1">
        <f>IFERROR(__xludf.DUMMYFUNCTION("""COMPUTED_VALUE"""),14875.0)</f>
        <v>14875</v>
      </c>
      <c r="D768" s="1">
        <f>IFERROR(__xludf.DUMMYFUNCTION("""COMPUTED_VALUE"""),13900.0)</f>
        <v>13900</v>
      </c>
      <c r="E768" s="1">
        <f>IFERROR(__xludf.DUMMYFUNCTION("""COMPUTED_VALUE"""),14300.0)</f>
        <v>14300</v>
      </c>
      <c r="F768" s="1">
        <f>IFERROR(__xludf.DUMMYFUNCTION("""COMPUTED_VALUE"""),255976.0)</f>
        <v>255976</v>
      </c>
    </row>
    <row r="769">
      <c r="A769" s="2">
        <f>IFERROR(__xludf.DUMMYFUNCTION("""COMPUTED_VALUE"""),44000.64583333333)</f>
        <v>44000.64583</v>
      </c>
      <c r="B769" s="1">
        <f>IFERROR(__xludf.DUMMYFUNCTION("""COMPUTED_VALUE"""),14350.0)</f>
        <v>14350</v>
      </c>
      <c r="C769" s="1">
        <f>IFERROR(__xludf.DUMMYFUNCTION("""COMPUTED_VALUE"""),14425.0)</f>
        <v>14425</v>
      </c>
      <c r="D769" s="1">
        <f>IFERROR(__xludf.DUMMYFUNCTION("""COMPUTED_VALUE"""),13850.0)</f>
        <v>13850</v>
      </c>
      <c r="E769" s="1">
        <f>IFERROR(__xludf.DUMMYFUNCTION("""COMPUTED_VALUE"""),14075.0)</f>
        <v>14075</v>
      </c>
      <c r="F769" s="1">
        <f>IFERROR(__xludf.DUMMYFUNCTION("""COMPUTED_VALUE"""),158312.0)</f>
        <v>158312</v>
      </c>
    </row>
    <row r="770">
      <c r="A770" s="2">
        <f>IFERROR(__xludf.DUMMYFUNCTION("""COMPUTED_VALUE"""),44001.64583333333)</f>
        <v>44001.64583</v>
      </c>
      <c r="B770" s="1">
        <f>IFERROR(__xludf.DUMMYFUNCTION("""COMPUTED_VALUE"""),14125.0)</f>
        <v>14125</v>
      </c>
      <c r="C770" s="1">
        <f>IFERROR(__xludf.DUMMYFUNCTION("""COMPUTED_VALUE"""),15175.0)</f>
        <v>15175</v>
      </c>
      <c r="D770" s="1">
        <f>IFERROR(__xludf.DUMMYFUNCTION("""COMPUTED_VALUE"""),13725.0)</f>
        <v>13725</v>
      </c>
      <c r="E770" s="1">
        <f>IFERROR(__xludf.DUMMYFUNCTION("""COMPUTED_VALUE"""),14650.0)</f>
        <v>14650</v>
      </c>
      <c r="F770" s="1">
        <f>IFERROR(__xludf.DUMMYFUNCTION("""COMPUTED_VALUE"""),320900.0)</f>
        <v>320900</v>
      </c>
    </row>
    <row r="771">
      <c r="A771" s="2">
        <f>IFERROR(__xludf.DUMMYFUNCTION("""COMPUTED_VALUE"""),44004.64583333333)</f>
        <v>44004.64583</v>
      </c>
      <c r="B771" s="1">
        <f>IFERROR(__xludf.DUMMYFUNCTION("""COMPUTED_VALUE"""),14700.0)</f>
        <v>14700</v>
      </c>
      <c r="C771" s="1">
        <f>IFERROR(__xludf.DUMMYFUNCTION("""COMPUTED_VALUE"""),14925.0)</f>
        <v>14925</v>
      </c>
      <c r="D771" s="1">
        <f>IFERROR(__xludf.DUMMYFUNCTION("""COMPUTED_VALUE"""),14350.0)</f>
        <v>14350</v>
      </c>
      <c r="E771" s="1">
        <f>IFERROR(__xludf.DUMMYFUNCTION("""COMPUTED_VALUE"""),14375.0)</f>
        <v>14375</v>
      </c>
      <c r="F771" s="1">
        <f>IFERROR(__xludf.DUMMYFUNCTION("""COMPUTED_VALUE"""),118806.0)</f>
        <v>118806</v>
      </c>
    </row>
    <row r="772">
      <c r="A772" s="2">
        <f>IFERROR(__xludf.DUMMYFUNCTION("""COMPUTED_VALUE"""),44005.64583333333)</f>
        <v>44005.64583</v>
      </c>
      <c r="B772" s="1">
        <f>IFERROR(__xludf.DUMMYFUNCTION("""COMPUTED_VALUE"""),14575.0)</f>
        <v>14575</v>
      </c>
      <c r="C772" s="1">
        <f>IFERROR(__xludf.DUMMYFUNCTION("""COMPUTED_VALUE"""),15025.0)</f>
        <v>15025</v>
      </c>
      <c r="D772" s="1">
        <f>IFERROR(__xludf.DUMMYFUNCTION("""COMPUTED_VALUE"""),14275.0)</f>
        <v>14275</v>
      </c>
      <c r="E772" s="1">
        <f>IFERROR(__xludf.DUMMYFUNCTION("""COMPUTED_VALUE"""),14550.0)</f>
        <v>14550</v>
      </c>
      <c r="F772" s="1">
        <f>IFERROR(__xludf.DUMMYFUNCTION("""COMPUTED_VALUE"""),115530.0)</f>
        <v>115530</v>
      </c>
    </row>
    <row r="773">
      <c r="A773" s="2">
        <f>IFERROR(__xludf.DUMMYFUNCTION("""COMPUTED_VALUE"""),44006.64583333333)</f>
        <v>44006.64583</v>
      </c>
      <c r="B773" s="1">
        <f>IFERROR(__xludf.DUMMYFUNCTION("""COMPUTED_VALUE"""),14850.0)</f>
        <v>14850</v>
      </c>
      <c r="C773" s="1">
        <f>IFERROR(__xludf.DUMMYFUNCTION("""COMPUTED_VALUE"""),16575.0)</f>
        <v>16575</v>
      </c>
      <c r="D773" s="1">
        <f>IFERROR(__xludf.DUMMYFUNCTION("""COMPUTED_VALUE"""),14650.0)</f>
        <v>14650</v>
      </c>
      <c r="E773" s="1">
        <f>IFERROR(__xludf.DUMMYFUNCTION("""COMPUTED_VALUE"""),16175.0)</f>
        <v>16175</v>
      </c>
      <c r="F773" s="1">
        <f>IFERROR(__xludf.DUMMYFUNCTION("""COMPUTED_VALUE"""),512177.0)</f>
        <v>512177</v>
      </c>
    </row>
    <row r="774">
      <c r="A774" s="2">
        <f>IFERROR(__xludf.DUMMYFUNCTION("""COMPUTED_VALUE"""),44007.64583333333)</f>
        <v>44007.64583</v>
      </c>
      <c r="B774" s="1">
        <f>IFERROR(__xludf.DUMMYFUNCTION("""COMPUTED_VALUE"""),15975.0)</f>
        <v>15975</v>
      </c>
      <c r="C774" s="1">
        <f>IFERROR(__xludf.DUMMYFUNCTION("""COMPUTED_VALUE"""),17250.0)</f>
        <v>17250</v>
      </c>
      <c r="D774" s="1">
        <f>IFERROR(__xludf.DUMMYFUNCTION("""COMPUTED_VALUE"""),15700.0)</f>
        <v>15700</v>
      </c>
      <c r="E774" s="1">
        <f>IFERROR(__xludf.DUMMYFUNCTION("""COMPUTED_VALUE"""),17050.0)</f>
        <v>17050</v>
      </c>
      <c r="F774" s="1">
        <f>IFERROR(__xludf.DUMMYFUNCTION("""COMPUTED_VALUE"""),359937.0)</f>
        <v>359937</v>
      </c>
    </row>
    <row r="775">
      <c r="A775" s="2">
        <f>IFERROR(__xludf.DUMMYFUNCTION("""COMPUTED_VALUE"""),44008.64583333333)</f>
        <v>44008.64583</v>
      </c>
      <c r="B775" s="1">
        <f>IFERROR(__xludf.DUMMYFUNCTION("""COMPUTED_VALUE"""),16975.0)</f>
        <v>16975</v>
      </c>
      <c r="C775" s="1">
        <f>IFERROR(__xludf.DUMMYFUNCTION("""COMPUTED_VALUE"""),17175.0)</f>
        <v>17175</v>
      </c>
      <c r="D775" s="1">
        <f>IFERROR(__xludf.DUMMYFUNCTION("""COMPUTED_VALUE"""),16075.0)</f>
        <v>16075</v>
      </c>
      <c r="E775" s="1">
        <f>IFERROR(__xludf.DUMMYFUNCTION("""COMPUTED_VALUE"""),16350.0)</f>
        <v>16350</v>
      </c>
      <c r="F775" s="1">
        <f>IFERROR(__xludf.DUMMYFUNCTION("""COMPUTED_VALUE"""),144095.0)</f>
        <v>144095</v>
      </c>
    </row>
    <row r="776">
      <c r="A776" s="2">
        <f>IFERROR(__xludf.DUMMYFUNCTION("""COMPUTED_VALUE"""),44011.64583333333)</f>
        <v>44011.64583</v>
      </c>
      <c r="B776" s="1">
        <f>IFERROR(__xludf.DUMMYFUNCTION("""COMPUTED_VALUE"""),16175.0)</f>
        <v>16175</v>
      </c>
      <c r="C776" s="1">
        <f>IFERROR(__xludf.DUMMYFUNCTION("""COMPUTED_VALUE"""),16175.0)</f>
        <v>16175</v>
      </c>
      <c r="D776" s="1">
        <f>IFERROR(__xludf.DUMMYFUNCTION("""COMPUTED_VALUE"""),15150.0)</f>
        <v>15150</v>
      </c>
      <c r="E776" s="1">
        <f>IFERROR(__xludf.DUMMYFUNCTION("""COMPUTED_VALUE"""),15625.0)</f>
        <v>15625</v>
      </c>
      <c r="F776" s="1">
        <f>IFERROR(__xludf.DUMMYFUNCTION("""COMPUTED_VALUE"""),145467.0)</f>
        <v>145467</v>
      </c>
    </row>
    <row r="777">
      <c r="A777" s="2">
        <f>IFERROR(__xludf.DUMMYFUNCTION("""COMPUTED_VALUE"""),44012.64583333333)</f>
        <v>44012.64583</v>
      </c>
      <c r="B777" s="1">
        <f>IFERROR(__xludf.DUMMYFUNCTION("""COMPUTED_VALUE"""),15675.0)</f>
        <v>15675</v>
      </c>
      <c r="C777" s="1">
        <f>IFERROR(__xludf.DUMMYFUNCTION("""COMPUTED_VALUE"""),16000.0)</f>
        <v>16000</v>
      </c>
      <c r="D777" s="1">
        <f>IFERROR(__xludf.DUMMYFUNCTION("""COMPUTED_VALUE"""),15325.0)</f>
        <v>15325</v>
      </c>
      <c r="E777" s="1">
        <f>IFERROR(__xludf.DUMMYFUNCTION("""COMPUTED_VALUE"""),15875.0)</f>
        <v>15875</v>
      </c>
      <c r="F777" s="1">
        <f>IFERROR(__xludf.DUMMYFUNCTION("""COMPUTED_VALUE"""),97778.0)</f>
        <v>97778</v>
      </c>
    </row>
    <row r="778">
      <c r="A778" s="2">
        <f>IFERROR(__xludf.DUMMYFUNCTION("""COMPUTED_VALUE"""),44013.64583333333)</f>
        <v>44013.64583</v>
      </c>
      <c r="B778" s="1">
        <f>IFERROR(__xludf.DUMMYFUNCTION("""COMPUTED_VALUE"""),16250.0)</f>
        <v>16250</v>
      </c>
      <c r="C778" s="1">
        <f>IFERROR(__xludf.DUMMYFUNCTION("""COMPUTED_VALUE"""),16250.0)</f>
        <v>16250</v>
      </c>
      <c r="D778" s="1">
        <f>IFERROR(__xludf.DUMMYFUNCTION("""COMPUTED_VALUE"""),15250.0)</f>
        <v>15250</v>
      </c>
      <c r="E778" s="1">
        <f>IFERROR(__xludf.DUMMYFUNCTION("""COMPUTED_VALUE"""),15350.0)</f>
        <v>15350</v>
      </c>
      <c r="F778" s="1">
        <f>IFERROR(__xludf.DUMMYFUNCTION("""COMPUTED_VALUE"""),60327.0)</f>
        <v>60327</v>
      </c>
    </row>
    <row r="779">
      <c r="A779" s="2">
        <f>IFERROR(__xludf.DUMMYFUNCTION("""COMPUTED_VALUE"""),44014.64583333333)</f>
        <v>44014.64583</v>
      </c>
      <c r="B779" s="1">
        <f>IFERROR(__xludf.DUMMYFUNCTION("""COMPUTED_VALUE"""),15375.0)</f>
        <v>15375</v>
      </c>
      <c r="C779" s="1">
        <f>IFERROR(__xludf.DUMMYFUNCTION("""COMPUTED_VALUE"""),15925.0)</f>
        <v>15925</v>
      </c>
      <c r="D779" s="1">
        <f>IFERROR(__xludf.DUMMYFUNCTION("""COMPUTED_VALUE"""),15050.0)</f>
        <v>15050</v>
      </c>
      <c r="E779" s="1">
        <f>IFERROR(__xludf.DUMMYFUNCTION("""COMPUTED_VALUE"""),15875.0)</f>
        <v>15875</v>
      </c>
      <c r="F779" s="1">
        <f>IFERROR(__xludf.DUMMYFUNCTION("""COMPUTED_VALUE"""),78893.0)</f>
        <v>78893</v>
      </c>
    </row>
    <row r="780">
      <c r="A780" s="2">
        <f>IFERROR(__xludf.DUMMYFUNCTION("""COMPUTED_VALUE"""),44015.64583333333)</f>
        <v>44015.64583</v>
      </c>
      <c r="B780" s="1">
        <f>IFERROR(__xludf.DUMMYFUNCTION("""COMPUTED_VALUE"""),15875.0)</f>
        <v>15875</v>
      </c>
      <c r="C780" s="1">
        <f>IFERROR(__xludf.DUMMYFUNCTION("""COMPUTED_VALUE"""),16450.0)</f>
        <v>16450</v>
      </c>
      <c r="D780" s="1">
        <f>IFERROR(__xludf.DUMMYFUNCTION("""COMPUTED_VALUE"""),15675.0)</f>
        <v>15675</v>
      </c>
      <c r="E780" s="1">
        <f>IFERROR(__xludf.DUMMYFUNCTION("""COMPUTED_VALUE"""),16100.0)</f>
        <v>16100</v>
      </c>
      <c r="F780" s="1">
        <f>IFERROR(__xludf.DUMMYFUNCTION("""COMPUTED_VALUE"""),70748.0)</f>
        <v>70748</v>
      </c>
    </row>
    <row r="781">
      <c r="A781" s="2">
        <f>IFERROR(__xludf.DUMMYFUNCTION("""COMPUTED_VALUE"""),44018.64583333333)</f>
        <v>44018.64583</v>
      </c>
      <c r="B781" s="1">
        <f>IFERROR(__xludf.DUMMYFUNCTION("""COMPUTED_VALUE"""),16250.0)</f>
        <v>16250</v>
      </c>
      <c r="C781" s="1">
        <f>IFERROR(__xludf.DUMMYFUNCTION("""COMPUTED_VALUE"""),16825.0)</f>
        <v>16825</v>
      </c>
      <c r="D781" s="1">
        <f>IFERROR(__xludf.DUMMYFUNCTION("""COMPUTED_VALUE"""),16000.0)</f>
        <v>16000</v>
      </c>
      <c r="E781" s="1">
        <f>IFERROR(__xludf.DUMMYFUNCTION("""COMPUTED_VALUE"""),16700.0)</f>
        <v>16700</v>
      </c>
      <c r="F781" s="1">
        <f>IFERROR(__xludf.DUMMYFUNCTION("""COMPUTED_VALUE"""),112233.0)</f>
        <v>112233</v>
      </c>
    </row>
    <row r="782">
      <c r="A782" s="2">
        <f>IFERROR(__xludf.DUMMYFUNCTION("""COMPUTED_VALUE"""),44019.64583333333)</f>
        <v>44019.64583</v>
      </c>
      <c r="B782" s="1">
        <f>IFERROR(__xludf.DUMMYFUNCTION("""COMPUTED_VALUE"""),16850.0)</f>
        <v>16850</v>
      </c>
      <c r="C782" s="1">
        <f>IFERROR(__xludf.DUMMYFUNCTION("""COMPUTED_VALUE"""),17225.0)</f>
        <v>17225</v>
      </c>
      <c r="D782" s="1">
        <f>IFERROR(__xludf.DUMMYFUNCTION("""COMPUTED_VALUE"""),16325.0)</f>
        <v>16325</v>
      </c>
      <c r="E782" s="1">
        <f>IFERROR(__xludf.DUMMYFUNCTION("""COMPUTED_VALUE"""),17000.0)</f>
        <v>17000</v>
      </c>
      <c r="F782" s="1">
        <f>IFERROR(__xludf.DUMMYFUNCTION("""COMPUTED_VALUE"""),103453.0)</f>
        <v>103453</v>
      </c>
    </row>
    <row r="783">
      <c r="A783" s="2">
        <f>IFERROR(__xludf.DUMMYFUNCTION("""COMPUTED_VALUE"""),44020.64583333333)</f>
        <v>44020.64583</v>
      </c>
      <c r="B783" s="1">
        <f>IFERROR(__xludf.DUMMYFUNCTION("""COMPUTED_VALUE"""),16725.0)</f>
        <v>16725</v>
      </c>
      <c r="C783" s="1">
        <f>IFERROR(__xludf.DUMMYFUNCTION("""COMPUTED_VALUE"""),17650.0)</f>
        <v>17650</v>
      </c>
      <c r="D783" s="1">
        <f>IFERROR(__xludf.DUMMYFUNCTION("""COMPUTED_VALUE"""),16700.0)</f>
        <v>16700</v>
      </c>
      <c r="E783" s="1">
        <f>IFERROR(__xludf.DUMMYFUNCTION("""COMPUTED_VALUE"""),17175.0)</f>
        <v>17175</v>
      </c>
      <c r="F783" s="1">
        <f>IFERROR(__xludf.DUMMYFUNCTION("""COMPUTED_VALUE"""),113627.0)</f>
        <v>113627</v>
      </c>
    </row>
    <row r="784">
      <c r="A784" s="2">
        <f>IFERROR(__xludf.DUMMYFUNCTION("""COMPUTED_VALUE"""),44021.64583333333)</f>
        <v>44021.64583</v>
      </c>
      <c r="B784" s="1">
        <f>IFERROR(__xludf.DUMMYFUNCTION("""COMPUTED_VALUE"""),17175.0)</f>
        <v>17175</v>
      </c>
      <c r="C784" s="1">
        <f>IFERROR(__xludf.DUMMYFUNCTION("""COMPUTED_VALUE"""),17825.0)</f>
        <v>17825</v>
      </c>
      <c r="D784" s="1">
        <f>IFERROR(__xludf.DUMMYFUNCTION("""COMPUTED_VALUE"""),17175.0)</f>
        <v>17175</v>
      </c>
      <c r="E784" s="1">
        <f>IFERROR(__xludf.DUMMYFUNCTION("""COMPUTED_VALUE"""),17725.0)</f>
        <v>17725</v>
      </c>
      <c r="F784" s="1">
        <f>IFERROR(__xludf.DUMMYFUNCTION("""COMPUTED_VALUE"""),145376.0)</f>
        <v>145376</v>
      </c>
    </row>
    <row r="785">
      <c r="A785" s="2">
        <f>IFERROR(__xludf.DUMMYFUNCTION("""COMPUTED_VALUE"""),44022.64583333333)</f>
        <v>44022.64583</v>
      </c>
      <c r="B785" s="1">
        <f>IFERROR(__xludf.DUMMYFUNCTION("""COMPUTED_VALUE"""),17725.0)</f>
        <v>17725</v>
      </c>
      <c r="C785" s="1">
        <f>IFERROR(__xludf.DUMMYFUNCTION("""COMPUTED_VALUE"""),17725.0)</f>
        <v>17725</v>
      </c>
      <c r="D785" s="1">
        <f>IFERROR(__xludf.DUMMYFUNCTION("""COMPUTED_VALUE"""),16950.0)</f>
        <v>16950</v>
      </c>
      <c r="E785" s="1">
        <f>IFERROR(__xludf.DUMMYFUNCTION("""COMPUTED_VALUE"""),17200.0)</f>
        <v>17200</v>
      </c>
      <c r="F785" s="1">
        <f>IFERROR(__xludf.DUMMYFUNCTION("""COMPUTED_VALUE"""),103511.0)</f>
        <v>103511</v>
      </c>
    </row>
    <row r="786">
      <c r="A786" s="2">
        <f>IFERROR(__xludf.DUMMYFUNCTION("""COMPUTED_VALUE"""),44025.64583333333)</f>
        <v>44025.64583</v>
      </c>
      <c r="B786" s="1">
        <f>IFERROR(__xludf.DUMMYFUNCTION("""COMPUTED_VALUE"""),17200.0)</f>
        <v>17200</v>
      </c>
      <c r="C786" s="1">
        <f>IFERROR(__xludf.DUMMYFUNCTION("""COMPUTED_VALUE"""),17550.0)</f>
        <v>17550</v>
      </c>
      <c r="D786" s="1">
        <f>IFERROR(__xludf.DUMMYFUNCTION("""COMPUTED_VALUE"""),16825.0)</f>
        <v>16825</v>
      </c>
      <c r="E786" s="1">
        <f>IFERROR(__xludf.DUMMYFUNCTION("""COMPUTED_VALUE"""),17250.0)</f>
        <v>17250</v>
      </c>
      <c r="F786" s="1">
        <f>IFERROR(__xludf.DUMMYFUNCTION("""COMPUTED_VALUE"""),68427.0)</f>
        <v>68427</v>
      </c>
    </row>
    <row r="787">
      <c r="A787" s="2">
        <f>IFERROR(__xludf.DUMMYFUNCTION("""COMPUTED_VALUE"""),44026.64583333333)</f>
        <v>44026.64583</v>
      </c>
      <c r="B787" s="1">
        <f>IFERROR(__xludf.DUMMYFUNCTION("""COMPUTED_VALUE"""),17250.0)</f>
        <v>17250</v>
      </c>
      <c r="C787" s="1">
        <f>IFERROR(__xludf.DUMMYFUNCTION("""COMPUTED_VALUE"""),17250.0)</f>
        <v>17250</v>
      </c>
      <c r="D787" s="1">
        <f>IFERROR(__xludf.DUMMYFUNCTION("""COMPUTED_VALUE"""),16575.0)</f>
        <v>16575</v>
      </c>
      <c r="E787" s="1">
        <f>IFERROR(__xludf.DUMMYFUNCTION("""COMPUTED_VALUE"""),16850.0)</f>
        <v>16850</v>
      </c>
      <c r="F787" s="1">
        <f>IFERROR(__xludf.DUMMYFUNCTION("""COMPUTED_VALUE"""),87734.0)</f>
        <v>87734</v>
      </c>
    </row>
    <row r="788">
      <c r="A788" s="2">
        <f>IFERROR(__xludf.DUMMYFUNCTION("""COMPUTED_VALUE"""),44027.64583333333)</f>
        <v>44027.64583</v>
      </c>
      <c r="B788" s="1">
        <f>IFERROR(__xludf.DUMMYFUNCTION("""COMPUTED_VALUE"""),17075.0)</f>
        <v>17075</v>
      </c>
      <c r="C788" s="1">
        <f>IFERROR(__xludf.DUMMYFUNCTION("""COMPUTED_VALUE"""),18425.0)</f>
        <v>18425</v>
      </c>
      <c r="D788" s="1">
        <f>IFERROR(__xludf.DUMMYFUNCTION("""COMPUTED_VALUE"""),17025.0)</f>
        <v>17025</v>
      </c>
      <c r="E788" s="1">
        <f>IFERROR(__xludf.DUMMYFUNCTION("""COMPUTED_VALUE"""),18250.0)</f>
        <v>18250</v>
      </c>
      <c r="F788" s="1">
        <f>IFERROR(__xludf.DUMMYFUNCTION("""COMPUTED_VALUE"""),312225.0)</f>
        <v>312225</v>
      </c>
    </row>
    <row r="789">
      <c r="A789" s="2">
        <f>IFERROR(__xludf.DUMMYFUNCTION("""COMPUTED_VALUE"""),44028.64583333333)</f>
        <v>44028.64583</v>
      </c>
      <c r="B789" s="1">
        <f>IFERROR(__xludf.DUMMYFUNCTION("""COMPUTED_VALUE"""),19025.0)</f>
        <v>19025</v>
      </c>
      <c r="C789" s="1">
        <f>IFERROR(__xludf.DUMMYFUNCTION("""COMPUTED_VALUE"""),20475.0)</f>
        <v>20475</v>
      </c>
      <c r="D789" s="1">
        <f>IFERROR(__xludf.DUMMYFUNCTION("""COMPUTED_VALUE"""),18600.0)</f>
        <v>18600</v>
      </c>
      <c r="E789" s="1">
        <f>IFERROR(__xludf.DUMMYFUNCTION("""COMPUTED_VALUE"""),19325.0)</f>
        <v>19325</v>
      </c>
      <c r="F789" s="1">
        <f>IFERROR(__xludf.DUMMYFUNCTION("""COMPUTED_VALUE"""),942706.0)</f>
        <v>942706</v>
      </c>
    </row>
    <row r="790">
      <c r="A790" s="2">
        <f>IFERROR(__xludf.DUMMYFUNCTION("""COMPUTED_VALUE"""),44029.64583333333)</f>
        <v>44029.64583</v>
      </c>
      <c r="B790" s="1">
        <f>IFERROR(__xludf.DUMMYFUNCTION("""COMPUTED_VALUE"""),19375.0)</f>
        <v>19375</v>
      </c>
      <c r="C790" s="1">
        <f>IFERROR(__xludf.DUMMYFUNCTION("""COMPUTED_VALUE"""),20200.0)</f>
        <v>20200</v>
      </c>
      <c r="D790" s="1">
        <f>IFERROR(__xludf.DUMMYFUNCTION("""COMPUTED_VALUE"""),19225.0)</f>
        <v>19225</v>
      </c>
      <c r="E790" s="1">
        <f>IFERROR(__xludf.DUMMYFUNCTION("""COMPUTED_VALUE"""),19525.0)</f>
        <v>19525</v>
      </c>
      <c r="F790" s="1">
        <f>IFERROR(__xludf.DUMMYFUNCTION("""COMPUTED_VALUE"""),345230.0)</f>
        <v>345230</v>
      </c>
    </row>
    <row r="791">
      <c r="A791" s="2">
        <f>IFERROR(__xludf.DUMMYFUNCTION("""COMPUTED_VALUE"""),44032.64583333333)</f>
        <v>44032.64583</v>
      </c>
      <c r="B791" s="1">
        <f>IFERROR(__xludf.DUMMYFUNCTION("""COMPUTED_VALUE"""),19350.0)</f>
        <v>19350</v>
      </c>
      <c r="C791" s="1">
        <f>IFERROR(__xludf.DUMMYFUNCTION("""COMPUTED_VALUE"""),19425.0)</f>
        <v>19425</v>
      </c>
      <c r="D791" s="1">
        <f>IFERROR(__xludf.DUMMYFUNCTION("""COMPUTED_VALUE"""),18850.0)</f>
        <v>18850</v>
      </c>
      <c r="E791" s="1">
        <f>IFERROR(__xludf.DUMMYFUNCTION("""COMPUTED_VALUE"""),18925.0)</f>
        <v>18925</v>
      </c>
      <c r="F791" s="1">
        <f>IFERROR(__xludf.DUMMYFUNCTION("""COMPUTED_VALUE"""),142936.0)</f>
        <v>142936</v>
      </c>
    </row>
    <row r="792">
      <c r="A792" s="2">
        <f>IFERROR(__xludf.DUMMYFUNCTION("""COMPUTED_VALUE"""),44033.64583333333)</f>
        <v>44033.64583</v>
      </c>
      <c r="B792" s="1">
        <f>IFERROR(__xludf.DUMMYFUNCTION("""COMPUTED_VALUE"""),19050.0)</f>
        <v>19050</v>
      </c>
      <c r="C792" s="1">
        <f>IFERROR(__xludf.DUMMYFUNCTION("""COMPUTED_VALUE"""),19225.0)</f>
        <v>19225</v>
      </c>
      <c r="D792" s="1">
        <f>IFERROR(__xludf.DUMMYFUNCTION("""COMPUTED_VALUE"""),18500.0)</f>
        <v>18500</v>
      </c>
      <c r="E792" s="1">
        <f>IFERROR(__xludf.DUMMYFUNCTION("""COMPUTED_VALUE"""),18750.0)</f>
        <v>18750</v>
      </c>
      <c r="F792" s="1">
        <f>IFERROR(__xludf.DUMMYFUNCTION("""COMPUTED_VALUE"""),137551.0)</f>
        <v>137551</v>
      </c>
    </row>
    <row r="793">
      <c r="A793" s="2">
        <f>IFERROR(__xludf.DUMMYFUNCTION("""COMPUTED_VALUE"""),44034.64583333333)</f>
        <v>44034.64583</v>
      </c>
      <c r="B793" s="1">
        <f>IFERROR(__xludf.DUMMYFUNCTION("""COMPUTED_VALUE"""),18725.0)</f>
        <v>18725</v>
      </c>
      <c r="C793" s="1">
        <f>IFERROR(__xludf.DUMMYFUNCTION("""COMPUTED_VALUE"""),18750.0)</f>
        <v>18750</v>
      </c>
      <c r="D793" s="1">
        <f>IFERROR(__xludf.DUMMYFUNCTION("""COMPUTED_VALUE"""),18075.0)</f>
        <v>18075</v>
      </c>
      <c r="E793" s="1">
        <f>IFERROR(__xludf.DUMMYFUNCTION("""COMPUTED_VALUE"""),18325.0)</f>
        <v>18325</v>
      </c>
      <c r="F793" s="1">
        <f>IFERROR(__xludf.DUMMYFUNCTION("""COMPUTED_VALUE"""),123606.0)</f>
        <v>123606</v>
      </c>
    </row>
    <row r="794">
      <c r="A794" s="2">
        <f>IFERROR(__xludf.DUMMYFUNCTION("""COMPUTED_VALUE"""),44035.64583333333)</f>
        <v>44035.64583</v>
      </c>
      <c r="B794" s="1">
        <f>IFERROR(__xludf.DUMMYFUNCTION("""COMPUTED_VALUE"""),18325.0)</f>
        <v>18325</v>
      </c>
      <c r="C794" s="1">
        <f>IFERROR(__xludf.DUMMYFUNCTION("""COMPUTED_VALUE"""),19050.0)</f>
        <v>19050</v>
      </c>
      <c r="D794" s="1">
        <f>IFERROR(__xludf.DUMMYFUNCTION("""COMPUTED_VALUE"""),17800.0)</f>
        <v>17800</v>
      </c>
      <c r="E794" s="1">
        <f>IFERROR(__xludf.DUMMYFUNCTION("""COMPUTED_VALUE"""),18975.0)</f>
        <v>18975</v>
      </c>
      <c r="F794" s="1">
        <f>IFERROR(__xludf.DUMMYFUNCTION("""COMPUTED_VALUE"""),115907.0)</f>
        <v>115907</v>
      </c>
    </row>
    <row r="795">
      <c r="A795" s="2">
        <f>IFERROR(__xludf.DUMMYFUNCTION("""COMPUTED_VALUE"""),44036.64583333333)</f>
        <v>44036.64583</v>
      </c>
      <c r="B795" s="1">
        <f>IFERROR(__xludf.DUMMYFUNCTION("""COMPUTED_VALUE"""),18550.0)</f>
        <v>18550</v>
      </c>
      <c r="C795" s="1">
        <f>IFERROR(__xludf.DUMMYFUNCTION("""COMPUTED_VALUE"""),19375.0)</f>
        <v>19375</v>
      </c>
      <c r="D795" s="1">
        <f>IFERROR(__xludf.DUMMYFUNCTION("""COMPUTED_VALUE"""),18325.0)</f>
        <v>18325</v>
      </c>
      <c r="E795" s="1">
        <f>IFERROR(__xludf.DUMMYFUNCTION("""COMPUTED_VALUE"""),18600.0)</f>
        <v>18600</v>
      </c>
      <c r="F795" s="1">
        <f>IFERROR(__xludf.DUMMYFUNCTION("""COMPUTED_VALUE"""),138387.0)</f>
        <v>138387</v>
      </c>
    </row>
    <row r="796">
      <c r="A796" s="2">
        <f>IFERROR(__xludf.DUMMYFUNCTION("""COMPUTED_VALUE"""),44039.64583333333)</f>
        <v>44039.64583</v>
      </c>
      <c r="B796" s="1">
        <f>IFERROR(__xludf.DUMMYFUNCTION("""COMPUTED_VALUE"""),18750.0)</f>
        <v>18750</v>
      </c>
      <c r="C796" s="1">
        <f>IFERROR(__xludf.DUMMYFUNCTION("""COMPUTED_VALUE"""),19600.0)</f>
        <v>19600</v>
      </c>
      <c r="D796" s="1">
        <f>IFERROR(__xludf.DUMMYFUNCTION("""COMPUTED_VALUE"""),18500.0)</f>
        <v>18500</v>
      </c>
      <c r="E796" s="1">
        <f>IFERROR(__xludf.DUMMYFUNCTION("""COMPUTED_VALUE"""),19400.0)</f>
        <v>19400</v>
      </c>
      <c r="F796" s="1">
        <f>IFERROR(__xludf.DUMMYFUNCTION("""COMPUTED_VALUE"""),151941.0)</f>
        <v>151941</v>
      </c>
    </row>
    <row r="797">
      <c r="A797" s="2">
        <f>IFERROR(__xludf.DUMMYFUNCTION("""COMPUTED_VALUE"""),44040.64583333333)</f>
        <v>44040.64583</v>
      </c>
      <c r="B797" s="1">
        <f>IFERROR(__xludf.DUMMYFUNCTION("""COMPUTED_VALUE"""),19750.0)</f>
        <v>19750</v>
      </c>
      <c r="C797" s="1">
        <f>IFERROR(__xludf.DUMMYFUNCTION("""COMPUTED_VALUE"""),19750.0)</f>
        <v>19750</v>
      </c>
      <c r="D797" s="1">
        <f>IFERROR(__xludf.DUMMYFUNCTION("""COMPUTED_VALUE"""),19150.0)</f>
        <v>19150</v>
      </c>
      <c r="E797" s="1">
        <f>IFERROR(__xludf.DUMMYFUNCTION("""COMPUTED_VALUE"""),19275.0)</f>
        <v>19275</v>
      </c>
      <c r="F797" s="1">
        <f>IFERROR(__xludf.DUMMYFUNCTION("""COMPUTED_VALUE"""),105615.0)</f>
        <v>105615</v>
      </c>
    </row>
    <row r="798">
      <c r="A798" s="2">
        <f>IFERROR(__xludf.DUMMYFUNCTION("""COMPUTED_VALUE"""),44041.64583333333)</f>
        <v>44041.64583</v>
      </c>
      <c r="B798" s="1">
        <f>IFERROR(__xludf.DUMMYFUNCTION("""COMPUTED_VALUE"""),19200.0)</f>
        <v>19200</v>
      </c>
      <c r="C798" s="1">
        <f>IFERROR(__xludf.DUMMYFUNCTION("""COMPUTED_VALUE"""),19600.0)</f>
        <v>19600</v>
      </c>
      <c r="D798" s="1">
        <f>IFERROR(__xludf.DUMMYFUNCTION("""COMPUTED_VALUE"""),18625.0)</f>
        <v>18625</v>
      </c>
      <c r="E798" s="1">
        <f>IFERROR(__xludf.DUMMYFUNCTION("""COMPUTED_VALUE"""),19350.0)</f>
        <v>19350</v>
      </c>
      <c r="F798" s="1">
        <f>IFERROR(__xludf.DUMMYFUNCTION("""COMPUTED_VALUE"""),217478.0)</f>
        <v>217478</v>
      </c>
    </row>
    <row r="799">
      <c r="A799" s="2">
        <f>IFERROR(__xludf.DUMMYFUNCTION("""COMPUTED_VALUE"""),44042.64583333333)</f>
        <v>44042.64583</v>
      </c>
      <c r="B799" s="1">
        <f>IFERROR(__xludf.DUMMYFUNCTION("""COMPUTED_VALUE"""),20800.0)</f>
        <v>20800</v>
      </c>
      <c r="C799" s="1">
        <f>IFERROR(__xludf.DUMMYFUNCTION("""COMPUTED_VALUE"""),21000.0)</f>
        <v>21000</v>
      </c>
      <c r="D799" s="1">
        <f>IFERROR(__xludf.DUMMYFUNCTION("""COMPUTED_VALUE"""),19350.0)</f>
        <v>19350</v>
      </c>
      <c r="E799" s="1">
        <f>IFERROR(__xludf.DUMMYFUNCTION("""COMPUTED_VALUE"""),19500.0)</f>
        <v>19500</v>
      </c>
      <c r="F799" s="1">
        <f>IFERROR(__xludf.DUMMYFUNCTION("""COMPUTED_VALUE"""),265209.0)</f>
        <v>265209</v>
      </c>
    </row>
    <row r="800">
      <c r="A800" s="2">
        <f>IFERROR(__xludf.DUMMYFUNCTION("""COMPUTED_VALUE"""),44043.64583333333)</f>
        <v>44043.64583</v>
      </c>
      <c r="B800" s="1">
        <f>IFERROR(__xludf.DUMMYFUNCTION("""COMPUTED_VALUE"""),19550.0)</f>
        <v>19550</v>
      </c>
      <c r="C800" s="1">
        <f>IFERROR(__xludf.DUMMYFUNCTION("""COMPUTED_VALUE"""),20000.0)</f>
        <v>20000</v>
      </c>
      <c r="D800" s="1">
        <f>IFERROR(__xludf.DUMMYFUNCTION("""COMPUTED_VALUE"""),18750.0)</f>
        <v>18750</v>
      </c>
      <c r="E800" s="1">
        <f>IFERROR(__xludf.DUMMYFUNCTION("""COMPUTED_VALUE"""),19400.0)</f>
        <v>19400</v>
      </c>
      <c r="F800" s="1">
        <f>IFERROR(__xludf.DUMMYFUNCTION("""COMPUTED_VALUE"""),128796.0)</f>
        <v>128796</v>
      </c>
    </row>
    <row r="801">
      <c r="A801" s="2">
        <f>IFERROR(__xludf.DUMMYFUNCTION("""COMPUTED_VALUE"""),44046.64583333333)</f>
        <v>44046.64583</v>
      </c>
      <c r="B801" s="1">
        <f>IFERROR(__xludf.DUMMYFUNCTION("""COMPUTED_VALUE"""),19900.0)</f>
        <v>19900</v>
      </c>
      <c r="C801" s="1">
        <f>IFERROR(__xludf.DUMMYFUNCTION("""COMPUTED_VALUE"""),21400.0)</f>
        <v>21400</v>
      </c>
      <c r="D801" s="1">
        <f>IFERROR(__xludf.DUMMYFUNCTION("""COMPUTED_VALUE"""),19450.0)</f>
        <v>19450</v>
      </c>
      <c r="E801" s="1">
        <f>IFERROR(__xludf.DUMMYFUNCTION("""COMPUTED_VALUE"""),20750.0)</f>
        <v>20750</v>
      </c>
      <c r="F801" s="1">
        <f>IFERROR(__xludf.DUMMYFUNCTION("""COMPUTED_VALUE"""),347848.0)</f>
        <v>347848</v>
      </c>
    </row>
    <row r="802">
      <c r="A802" s="2">
        <f>IFERROR(__xludf.DUMMYFUNCTION("""COMPUTED_VALUE"""),44047.64583333333)</f>
        <v>44047.64583</v>
      </c>
      <c r="B802" s="1">
        <f>IFERROR(__xludf.DUMMYFUNCTION("""COMPUTED_VALUE"""),20750.0)</f>
        <v>20750</v>
      </c>
      <c r="C802" s="1">
        <f>IFERROR(__xludf.DUMMYFUNCTION("""COMPUTED_VALUE"""),21850.0)</f>
        <v>21850</v>
      </c>
      <c r="D802" s="1">
        <f>IFERROR(__xludf.DUMMYFUNCTION("""COMPUTED_VALUE"""),20500.0)</f>
        <v>20500</v>
      </c>
      <c r="E802" s="1">
        <f>IFERROR(__xludf.DUMMYFUNCTION("""COMPUTED_VALUE"""),20700.0)</f>
        <v>20700</v>
      </c>
      <c r="F802" s="1">
        <f>IFERROR(__xludf.DUMMYFUNCTION("""COMPUTED_VALUE"""),155761.0)</f>
        <v>155761</v>
      </c>
    </row>
    <row r="803">
      <c r="A803" s="2">
        <f>IFERROR(__xludf.DUMMYFUNCTION("""COMPUTED_VALUE"""),44048.64583333333)</f>
        <v>44048.64583</v>
      </c>
      <c r="B803" s="1">
        <f>IFERROR(__xludf.DUMMYFUNCTION("""COMPUTED_VALUE"""),20900.0)</f>
        <v>20900</v>
      </c>
      <c r="C803" s="1">
        <f>IFERROR(__xludf.DUMMYFUNCTION("""COMPUTED_VALUE"""),21350.0)</f>
        <v>21350</v>
      </c>
      <c r="D803" s="1">
        <f>IFERROR(__xludf.DUMMYFUNCTION("""COMPUTED_VALUE"""),20050.0)</f>
        <v>20050</v>
      </c>
      <c r="E803" s="1">
        <f>IFERROR(__xludf.DUMMYFUNCTION("""COMPUTED_VALUE"""),21350.0)</f>
        <v>21350</v>
      </c>
      <c r="F803" s="1">
        <f>IFERROR(__xludf.DUMMYFUNCTION("""COMPUTED_VALUE"""),115397.0)</f>
        <v>115397</v>
      </c>
    </row>
    <row r="804">
      <c r="A804" s="2">
        <f>IFERROR(__xludf.DUMMYFUNCTION("""COMPUTED_VALUE"""),44049.64583333333)</f>
        <v>44049.64583</v>
      </c>
      <c r="B804" s="1">
        <f>IFERROR(__xludf.DUMMYFUNCTION("""COMPUTED_VALUE"""),21650.0)</f>
        <v>21650</v>
      </c>
      <c r="C804" s="1">
        <f>IFERROR(__xludf.DUMMYFUNCTION("""COMPUTED_VALUE"""),21650.0)</f>
        <v>21650</v>
      </c>
      <c r="D804" s="1">
        <f>IFERROR(__xludf.DUMMYFUNCTION("""COMPUTED_VALUE"""),20800.0)</f>
        <v>20800</v>
      </c>
      <c r="E804" s="1">
        <f>IFERROR(__xludf.DUMMYFUNCTION("""COMPUTED_VALUE"""),21500.0)</f>
        <v>21500</v>
      </c>
      <c r="F804" s="1">
        <f>IFERROR(__xludf.DUMMYFUNCTION("""COMPUTED_VALUE"""),102558.0)</f>
        <v>102558</v>
      </c>
    </row>
    <row r="805">
      <c r="A805" s="2">
        <f>IFERROR(__xludf.DUMMYFUNCTION("""COMPUTED_VALUE"""),44050.64583333333)</f>
        <v>44050.64583</v>
      </c>
      <c r="B805" s="1">
        <f>IFERROR(__xludf.DUMMYFUNCTION("""COMPUTED_VALUE"""),21400.0)</f>
        <v>21400</v>
      </c>
      <c r="C805" s="1">
        <f>IFERROR(__xludf.DUMMYFUNCTION("""COMPUTED_VALUE"""),21950.0)</f>
        <v>21950</v>
      </c>
      <c r="D805" s="1">
        <f>IFERROR(__xludf.DUMMYFUNCTION("""COMPUTED_VALUE"""),21200.0)</f>
        <v>21200</v>
      </c>
      <c r="E805" s="1">
        <f>IFERROR(__xludf.DUMMYFUNCTION("""COMPUTED_VALUE"""),21950.0)</f>
        <v>21950</v>
      </c>
      <c r="F805" s="1">
        <f>IFERROR(__xludf.DUMMYFUNCTION("""COMPUTED_VALUE"""),102220.0)</f>
        <v>102220</v>
      </c>
    </row>
    <row r="806">
      <c r="A806" s="2">
        <f>IFERROR(__xludf.DUMMYFUNCTION("""COMPUTED_VALUE"""),44053.64583333333)</f>
        <v>44053.64583</v>
      </c>
      <c r="B806" s="1">
        <f>IFERROR(__xludf.DUMMYFUNCTION("""COMPUTED_VALUE"""),22000.0)</f>
        <v>22000</v>
      </c>
      <c r="C806" s="1">
        <f>IFERROR(__xludf.DUMMYFUNCTION("""COMPUTED_VALUE"""),23400.0)</f>
        <v>23400</v>
      </c>
      <c r="D806" s="1">
        <f>IFERROR(__xludf.DUMMYFUNCTION("""COMPUTED_VALUE"""),21600.0)</f>
        <v>21600</v>
      </c>
      <c r="E806" s="1">
        <f>IFERROR(__xludf.DUMMYFUNCTION("""COMPUTED_VALUE"""),23400.0)</f>
        <v>23400</v>
      </c>
      <c r="F806" s="1">
        <f>IFERROR(__xludf.DUMMYFUNCTION("""COMPUTED_VALUE"""),146172.0)</f>
        <v>146172</v>
      </c>
    </row>
    <row r="807">
      <c r="A807" s="2">
        <f>IFERROR(__xludf.DUMMYFUNCTION("""COMPUTED_VALUE"""),44054.64583333333)</f>
        <v>44054.64583</v>
      </c>
      <c r="B807" s="1">
        <f>IFERROR(__xludf.DUMMYFUNCTION("""COMPUTED_VALUE"""),23550.0)</f>
        <v>23550</v>
      </c>
      <c r="C807" s="1">
        <f>IFERROR(__xludf.DUMMYFUNCTION("""COMPUTED_VALUE"""),24750.0)</f>
        <v>24750</v>
      </c>
      <c r="D807" s="1">
        <f>IFERROR(__xludf.DUMMYFUNCTION("""COMPUTED_VALUE"""),22650.0)</f>
        <v>22650</v>
      </c>
      <c r="E807" s="1">
        <f>IFERROR(__xludf.DUMMYFUNCTION("""COMPUTED_VALUE"""),23550.0)</f>
        <v>23550</v>
      </c>
      <c r="F807" s="1">
        <f>IFERROR(__xludf.DUMMYFUNCTION("""COMPUTED_VALUE"""),296135.0)</f>
        <v>296135</v>
      </c>
    </row>
    <row r="808">
      <c r="A808" s="2">
        <f>IFERROR(__xludf.DUMMYFUNCTION("""COMPUTED_VALUE"""),44055.64583333333)</f>
        <v>44055.64583</v>
      </c>
      <c r="B808" s="1">
        <f>IFERROR(__xludf.DUMMYFUNCTION("""COMPUTED_VALUE"""),24400.0)</f>
        <v>24400</v>
      </c>
      <c r="C808" s="1">
        <f>IFERROR(__xludf.DUMMYFUNCTION("""COMPUTED_VALUE"""),24400.0)</f>
        <v>24400</v>
      </c>
      <c r="D808" s="1">
        <f>IFERROR(__xludf.DUMMYFUNCTION("""COMPUTED_VALUE"""),22550.0)</f>
        <v>22550</v>
      </c>
      <c r="E808" s="1">
        <f>IFERROR(__xludf.DUMMYFUNCTION("""COMPUTED_VALUE"""),23350.0)</f>
        <v>23350</v>
      </c>
      <c r="F808" s="1">
        <f>IFERROR(__xludf.DUMMYFUNCTION("""COMPUTED_VALUE"""),127675.0)</f>
        <v>127675</v>
      </c>
    </row>
    <row r="809">
      <c r="A809" s="2">
        <f>IFERROR(__xludf.DUMMYFUNCTION("""COMPUTED_VALUE"""),44056.64583333333)</f>
        <v>44056.64583</v>
      </c>
      <c r="B809" s="1">
        <f>IFERROR(__xludf.DUMMYFUNCTION("""COMPUTED_VALUE"""),23700.0)</f>
        <v>23700</v>
      </c>
      <c r="C809" s="1">
        <f>IFERROR(__xludf.DUMMYFUNCTION("""COMPUTED_VALUE"""),23700.0)</f>
        <v>23700</v>
      </c>
      <c r="D809" s="1">
        <f>IFERROR(__xludf.DUMMYFUNCTION("""COMPUTED_VALUE"""),22500.0)</f>
        <v>22500</v>
      </c>
      <c r="E809" s="1">
        <f>IFERROR(__xludf.DUMMYFUNCTION("""COMPUTED_VALUE"""),23100.0)</f>
        <v>23100</v>
      </c>
      <c r="F809" s="1">
        <f>IFERROR(__xludf.DUMMYFUNCTION("""COMPUTED_VALUE"""),97424.0)</f>
        <v>97424</v>
      </c>
    </row>
    <row r="810">
      <c r="A810" s="2">
        <f>IFERROR(__xludf.DUMMYFUNCTION("""COMPUTED_VALUE"""),44057.64583333333)</f>
        <v>44057.64583</v>
      </c>
      <c r="B810" s="1">
        <f>IFERROR(__xludf.DUMMYFUNCTION("""COMPUTED_VALUE"""),22700.0)</f>
        <v>22700</v>
      </c>
      <c r="C810" s="1">
        <f>IFERROR(__xludf.DUMMYFUNCTION("""COMPUTED_VALUE"""),23000.0)</f>
        <v>23000</v>
      </c>
      <c r="D810" s="1">
        <f>IFERROR(__xludf.DUMMYFUNCTION("""COMPUTED_VALUE"""),21600.0)</f>
        <v>21600</v>
      </c>
      <c r="E810" s="1">
        <f>IFERROR(__xludf.DUMMYFUNCTION("""COMPUTED_VALUE"""),22550.0)</f>
        <v>22550</v>
      </c>
      <c r="F810" s="1">
        <f>IFERROR(__xludf.DUMMYFUNCTION("""COMPUTED_VALUE"""),126377.0)</f>
        <v>126377</v>
      </c>
    </row>
    <row r="811">
      <c r="A811" s="2">
        <f>IFERROR(__xludf.DUMMYFUNCTION("""COMPUTED_VALUE"""),44061.64583333333)</f>
        <v>44061.64583</v>
      </c>
      <c r="B811" s="1">
        <f>IFERROR(__xludf.DUMMYFUNCTION("""COMPUTED_VALUE"""),22200.0)</f>
        <v>22200</v>
      </c>
      <c r="C811" s="1">
        <f>IFERROR(__xludf.DUMMYFUNCTION("""COMPUTED_VALUE"""),23000.0)</f>
        <v>23000</v>
      </c>
      <c r="D811" s="1">
        <f>IFERROR(__xludf.DUMMYFUNCTION("""COMPUTED_VALUE"""),20100.0)</f>
        <v>20100</v>
      </c>
      <c r="E811" s="1">
        <f>IFERROR(__xludf.DUMMYFUNCTION("""COMPUTED_VALUE"""),21400.0)</f>
        <v>21400</v>
      </c>
      <c r="F811" s="1">
        <f>IFERROR(__xludf.DUMMYFUNCTION("""COMPUTED_VALUE"""),227512.0)</f>
        <v>227512</v>
      </c>
    </row>
    <row r="812">
      <c r="A812" s="2">
        <f>IFERROR(__xludf.DUMMYFUNCTION("""COMPUTED_VALUE"""),44062.64583333333)</f>
        <v>44062.64583</v>
      </c>
      <c r="B812" s="1">
        <f>IFERROR(__xludf.DUMMYFUNCTION("""COMPUTED_VALUE"""),21400.0)</f>
        <v>21400</v>
      </c>
      <c r="C812" s="1">
        <f>IFERROR(__xludf.DUMMYFUNCTION("""COMPUTED_VALUE"""),21600.0)</f>
        <v>21600</v>
      </c>
      <c r="D812" s="1">
        <f>IFERROR(__xludf.DUMMYFUNCTION("""COMPUTED_VALUE"""),20700.0)</f>
        <v>20700</v>
      </c>
      <c r="E812" s="1">
        <f>IFERROR(__xludf.DUMMYFUNCTION("""COMPUTED_VALUE"""),21550.0)</f>
        <v>21550</v>
      </c>
      <c r="F812" s="1">
        <f>IFERROR(__xludf.DUMMYFUNCTION("""COMPUTED_VALUE"""),106574.0)</f>
        <v>106574</v>
      </c>
    </row>
    <row r="813">
      <c r="A813" s="2">
        <f>IFERROR(__xludf.DUMMYFUNCTION("""COMPUTED_VALUE"""),44063.64583333333)</f>
        <v>44063.64583</v>
      </c>
      <c r="B813" s="1">
        <f>IFERROR(__xludf.DUMMYFUNCTION("""COMPUTED_VALUE"""),20350.0)</f>
        <v>20350</v>
      </c>
      <c r="C813" s="1">
        <f>IFERROR(__xludf.DUMMYFUNCTION("""COMPUTED_VALUE"""),20800.0)</f>
        <v>20800</v>
      </c>
      <c r="D813" s="1">
        <f>IFERROR(__xludf.DUMMYFUNCTION("""COMPUTED_VALUE"""),18250.0)</f>
        <v>18250</v>
      </c>
      <c r="E813" s="1">
        <f>IFERROR(__xludf.DUMMYFUNCTION("""COMPUTED_VALUE"""),18500.0)</f>
        <v>18500</v>
      </c>
      <c r="F813" s="1">
        <f>IFERROR(__xludf.DUMMYFUNCTION("""COMPUTED_VALUE"""),678595.0)</f>
        <v>678595</v>
      </c>
    </row>
    <row r="814">
      <c r="A814" s="2">
        <f>IFERROR(__xludf.DUMMYFUNCTION("""COMPUTED_VALUE"""),44064.64583333333)</f>
        <v>44064.64583</v>
      </c>
      <c r="B814" s="1">
        <f>IFERROR(__xludf.DUMMYFUNCTION("""COMPUTED_VALUE"""),18800.0)</f>
        <v>18800</v>
      </c>
      <c r="C814" s="1">
        <f>IFERROR(__xludf.DUMMYFUNCTION("""COMPUTED_VALUE"""),19450.0)</f>
        <v>19450</v>
      </c>
      <c r="D814" s="1">
        <f>IFERROR(__xludf.DUMMYFUNCTION("""COMPUTED_VALUE"""),18300.0)</f>
        <v>18300</v>
      </c>
      <c r="E814" s="1">
        <f>IFERROR(__xludf.DUMMYFUNCTION("""COMPUTED_VALUE"""),19050.0)</f>
        <v>19050</v>
      </c>
      <c r="F814" s="1">
        <f>IFERROR(__xludf.DUMMYFUNCTION("""COMPUTED_VALUE"""),384179.0)</f>
        <v>384179</v>
      </c>
    </row>
    <row r="815">
      <c r="A815" s="2">
        <f>IFERROR(__xludf.DUMMYFUNCTION("""COMPUTED_VALUE"""),44067.64583333333)</f>
        <v>44067.64583</v>
      </c>
      <c r="B815" s="1">
        <f>IFERROR(__xludf.DUMMYFUNCTION("""COMPUTED_VALUE"""),18600.0)</f>
        <v>18600</v>
      </c>
      <c r="C815" s="1">
        <f>IFERROR(__xludf.DUMMYFUNCTION("""COMPUTED_VALUE"""),19600.0)</f>
        <v>19600</v>
      </c>
      <c r="D815" s="1">
        <f>IFERROR(__xludf.DUMMYFUNCTION("""COMPUTED_VALUE"""),18300.0)</f>
        <v>18300</v>
      </c>
      <c r="E815" s="1">
        <f>IFERROR(__xludf.DUMMYFUNCTION("""COMPUTED_VALUE"""),19400.0)</f>
        <v>19400</v>
      </c>
      <c r="F815" s="1">
        <f>IFERROR(__xludf.DUMMYFUNCTION("""COMPUTED_VALUE"""),340651.0)</f>
        <v>340651</v>
      </c>
    </row>
    <row r="816">
      <c r="A816" s="2">
        <f>IFERROR(__xludf.DUMMYFUNCTION("""COMPUTED_VALUE"""),44068.64583333333)</f>
        <v>44068.64583</v>
      </c>
      <c r="B816" s="1">
        <f>IFERROR(__xludf.DUMMYFUNCTION("""COMPUTED_VALUE"""),19450.0)</f>
        <v>19450</v>
      </c>
      <c r="C816" s="1">
        <f>IFERROR(__xludf.DUMMYFUNCTION("""COMPUTED_VALUE"""),19800.0)</f>
        <v>19800</v>
      </c>
      <c r="D816" s="1">
        <f>IFERROR(__xludf.DUMMYFUNCTION("""COMPUTED_VALUE"""),19250.0)</f>
        <v>19250</v>
      </c>
      <c r="E816" s="1">
        <f>IFERROR(__xludf.DUMMYFUNCTION("""COMPUTED_VALUE"""),19750.0)</f>
        <v>19750</v>
      </c>
      <c r="F816" s="1">
        <f>IFERROR(__xludf.DUMMYFUNCTION("""COMPUTED_VALUE"""),184328.0)</f>
        <v>184328</v>
      </c>
    </row>
    <row r="817">
      <c r="A817" s="2">
        <f>IFERROR(__xludf.DUMMYFUNCTION("""COMPUTED_VALUE"""),44069.64583333333)</f>
        <v>44069.64583</v>
      </c>
      <c r="B817" s="1">
        <f>IFERROR(__xludf.DUMMYFUNCTION("""COMPUTED_VALUE"""),19750.0)</f>
        <v>19750</v>
      </c>
      <c r="C817" s="1">
        <f>IFERROR(__xludf.DUMMYFUNCTION("""COMPUTED_VALUE"""),19750.0)</f>
        <v>19750</v>
      </c>
      <c r="D817" s="1">
        <f>IFERROR(__xludf.DUMMYFUNCTION("""COMPUTED_VALUE"""),19000.0)</f>
        <v>19000</v>
      </c>
      <c r="E817" s="1">
        <f>IFERROR(__xludf.DUMMYFUNCTION("""COMPUTED_VALUE"""),19300.0)</f>
        <v>19300</v>
      </c>
      <c r="F817" s="1">
        <f>IFERROR(__xludf.DUMMYFUNCTION("""COMPUTED_VALUE"""),189541.0)</f>
        <v>189541</v>
      </c>
    </row>
    <row r="818">
      <c r="A818" s="2">
        <f>IFERROR(__xludf.DUMMYFUNCTION("""COMPUTED_VALUE"""),44070.64583333333)</f>
        <v>44070.64583</v>
      </c>
      <c r="B818" s="1">
        <f>IFERROR(__xludf.DUMMYFUNCTION("""COMPUTED_VALUE"""),19300.0)</f>
        <v>19300</v>
      </c>
      <c r="C818" s="1">
        <f>IFERROR(__xludf.DUMMYFUNCTION("""COMPUTED_VALUE"""),19350.0)</f>
        <v>19350</v>
      </c>
      <c r="D818" s="1">
        <f>IFERROR(__xludf.DUMMYFUNCTION("""COMPUTED_VALUE"""),18800.0)</f>
        <v>18800</v>
      </c>
      <c r="E818" s="1">
        <f>IFERROR(__xludf.DUMMYFUNCTION("""COMPUTED_VALUE"""),19100.0)</f>
        <v>19100</v>
      </c>
      <c r="F818" s="1">
        <f>IFERROR(__xludf.DUMMYFUNCTION("""COMPUTED_VALUE"""),157969.0)</f>
        <v>157969</v>
      </c>
    </row>
    <row r="819">
      <c r="A819" s="2">
        <f>IFERROR(__xludf.DUMMYFUNCTION("""COMPUTED_VALUE"""),44071.64583333333)</f>
        <v>44071.64583</v>
      </c>
      <c r="B819" s="1">
        <f>IFERROR(__xludf.DUMMYFUNCTION("""COMPUTED_VALUE"""),18950.0)</f>
        <v>18950</v>
      </c>
      <c r="C819" s="1">
        <f>IFERROR(__xludf.DUMMYFUNCTION("""COMPUTED_VALUE"""),19250.0)</f>
        <v>19250</v>
      </c>
      <c r="D819" s="1">
        <f>IFERROR(__xludf.DUMMYFUNCTION("""COMPUTED_VALUE"""),18300.0)</f>
        <v>18300</v>
      </c>
      <c r="E819" s="1">
        <f>IFERROR(__xludf.DUMMYFUNCTION("""COMPUTED_VALUE"""),18650.0)</f>
        <v>18650</v>
      </c>
      <c r="F819" s="1">
        <f>IFERROR(__xludf.DUMMYFUNCTION("""COMPUTED_VALUE"""),243766.0)</f>
        <v>243766</v>
      </c>
    </row>
    <row r="820">
      <c r="A820" s="2">
        <f>IFERROR(__xludf.DUMMYFUNCTION("""COMPUTED_VALUE"""),44074.64583333333)</f>
        <v>44074.64583</v>
      </c>
      <c r="B820" s="1">
        <f>IFERROR(__xludf.DUMMYFUNCTION("""COMPUTED_VALUE"""),18650.0)</f>
        <v>18650</v>
      </c>
      <c r="C820" s="1">
        <f>IFERROR(__xludf.DUMMYFUNCTION("""COMPUTED_VALUE"""),19450.0)</f>
        <v>19450</v>
      </c>
      <c r="D820" s="1">
        <f>IFERROR(__xludf.DUMMYFUNCTION("""COMPUTED_VALUE"""),18650.0)</f>
        <v>18650</v>
      </c>
      <c r="E820" s="1">
        <f>IFERROR(__xludf.DUMMYFUNCTION("""COMPUTED_VALUE"""),19200.0)</f>
        <v>19200</v>
      </c>
      <c r="F820" s="1">
        <f>IFERROR(__xludf.DUMMYFUNCTION("""COMPUTED_VALUE"""),205520.0)</f>
        <v>205520</v>
      </c>
    </row>
    <row r="821">
      <c r="A821" s="2">
        <f>IFERROR(__xludf.DUMMYFUNCTION("""COMPUTED_VALUE"""),44075.64583333333)</f>
        <v>44075.64583</v>
      </c>
      <c r="B821" s="1">
        <f>IFERROR(__xludf.DUMMYFUNCTION("""COMPUTED_VALUE"""),19200.0)</f>
        <v>19200</v>
      </c>
      <c r="C821" s="1">
        <f>IFERROR(__xludf.DUMMYFUNCTION("""COMPUTED_VALUE"""),19650.0)</f>
        <v>19650</v>
      </c>
      <c r="D821" s="1">
        <f>IFERROR(__xludf.DUMMYFUNCTION("""COMPUTED_VALUE"""),18700.0)</f>
        <v>18700</v>
      </c>
      <c r="E821" s="1">
        <f>IFERROR(__xludf.DUMMYFUNCTION("""COMPUTED_VALUE"""),19650.0)</f>
        <v>19650</v>
      </c>
      <c r="F821" s="1">
        <f>IFERROR(__xludf.DUMMYFUNCTION("""COMPUTED_VALUE"""),125973.0)</f>
        <v>125973</v>
      </c>
    </row>
    <row r="822">
      <c r="A822" s="2">
        <f>IFERROR(__xludf.DUMMYFUNCTION("""COMPUTED_VALUE"""),44076.64583333333)</f>
        <v>44076.64583</v>
      </c>
      <c r="B822" s="1">
        <f>IFERROR(__xludf.DUMMYFUNCTION("""COMPUTED_VALUE"""),19900.0)</f>
        <v>19900</v>
      </c>
      <c r="C822" s="1">
        <f>IFERROR(__xludf.DUMMYFUNCTION("""COMPUTED_VALUE"""),19900.0)</f>
        <v>19900</v>
      </c>
      <c r="D822" s="1">
        <f>IFERROR(__xludf.DUMMYFUNCTION("""COMPUTED_VALUE"""),19500.0)</f>
        <v>19500</v>
      </c>
      <c r="E822" s="1">
        <f>IFERROR(__xludf.DUMMYFUNCTION("""COMPUTED_VALUE"""),19850.0)</f>
        <v>19850</v>
      </c>
      <c r="F822" s="1">
        <f>IFERROR(__xludf.DUMMYFUNCTION("""COMPUTED_VALUE"""),118574.0)</f>
        <v>118574</v>
      </c>
    </row>
    <row r="823">
      <c r="A823" s="2">
        <f>IFERROR(__xludf.DUMMYFUNCTION("""COMPUTED_VALUE"""),44077.64583333333)</f>
        <v>44077.64583</v>
      </c>
      <c r="B823" s="1">
        <f>IFERROR(__xludf.DUMMYFUNCTION("""COMPUTED_VALUE"""),20050.0)</f>
        <v>20050</v>
      </c>
      <c r="C823" s="1">
        <f>IFERROR(__xludf.DUMMYFUNCTION("""COMPUTED_VALUE"""),21000.0)</f>
        <v>21000</v>
      </c>
      <c r="D823" s="1">
        <f>IFERROR(__xludf.DUMMYFUNCTION("""COMPUTED_VALUE"""),19700.0)</f>
        <v>19700</v>
      </c>
      <c r="E823" s="1">
        <f>IFERROR(__xludf.DUMMYFUNCTION("""COMPUTED_VALUE"""),20800.0)</f>
        <v>20800</v>
      </c>
      <c r="F823" s="1">
        <f>IFERROR(__xludf.DUMMYFUNCTION("""COMPUTED_VALUE"""),318332.0)</f>
        <v>318332</v>
      </c>
    </row>
    <row r="824">
      <c r="A824" s="2">
        <f>IFERROR(__xludf.DUMMYFUNCTION("""COMPUTED_VALUE"""),44078.64583333333)</f>
        <v>44078.64583</v>
      </c>
      <c r="B824" s="1">
        <f>IFERROR(__xludf.DUMMYFUNCTION("""COMPUTED_VALUE"""),19600.0)</f>
        <v>19600</v>
      </c>
      <c r="C824" s="1">
        <f>IFERROR(__xludf.DUMMYFUNCTION("""COMPUTED_VALUE"""),20200.0)</f>
        <v>20200</v>
      </c>
      <c r="D824" s="1">
        <f>IFERROR(__xludf.DUMMYFUNCTION("""COMPUTED_VALUE"""),19400.0)</f>
        <v>19400</v>
      </c>
      <c r="E824" s="1">
        <f>IFERROR(__xludf.DUMMYFUNCTION("""COMPUTED_VALUE"""),20000.0)</f>
        <v>20000</v>
      </c>
      <c r="F824" s="1">
        <f>IFERROR(__xludf.DUMMYFUNCTION("""COMPUTED_VALUE"""),351719.0)</f>
        <v>351719</v>
      </c>
    </row>
    <row r="825">
      <c r="A825" s="2">
        <f>IFERROR(__xludf.DUMMYFUNCTION("""COMPUTED_VALUE"""),44081.64583333333)</f>
        <v>44081.64583</v>
      </c>
      <c r="B825" s="1">
        <f>IFERROR(__xludf.DUMMYFUNCTION("""COMPUTED_VALUE"""),20100.0)</f>
        <v>20100</v>
      </c>
      <c r="C825" s="1">
        <f>IFERROR(__xludf.DUMMYFUNCTION("""COMPUTED_VALUE"""),20100.0)</f>
        <v>20100</v>
      </c>
      <c r="D825" s="1">
        <f>IFERROR(__xludf.DUMMYFUNCTION("""COMPUTED_VALUE"""),19200.0)</f>
        <v>19200</v>
      </c>
      <c r="E825" s="1">
        <f>IFERROR(__xludf.DUMMYFUNCTION("""COMPUTED_VALUE"""),19550.0)</f>
        <v>19550</v>
      </c>
      <c r="F825" s="1">
        <f>IFERROR(__xludf.DUMMYFUNCTION("""COMPUTED_VALUE"""),225428.0)</f>
        <v>225428</v>
      </c>
    </row>
    <row r="826">
      <c r="A826" s="2">
        <f>IFERROR(__xludf.DUMMYFUNCTION("""COMPUTED_VALUE"""),44082.64583333333)</f>
        <v>44082.64583</v>
      </c>
      <c r="B826" s="1">
        <f>IFERROR(__xludf.DUMMYFUNCTION("""COMPUTED_VALUE"""),19550.0)</f>
        <v>19550</v>
      </c>
      <c r="C826" s="1">
        <f>IFERROR(__xludf.DUMMYFUNCTION("""COMPUTED_VALUE"""),20450.0)</f>
        <v>20450</v>
      </c>
      <c r="D826" s="1">
        <f>IFERROR(__xludf.DUMMYFUNCTION("""COMPUTED_VALUE"""),19250.0)</f>
        <v>19250</v>
      </c>
      <c r="E826" s="1">
        <f>IFERROR(__xludf.DUMMYFUNCTION("""COMPUTED_VALUE"""),19850.0)</f>
        <v>19850</v>
      </c>
      <c r="F826" s="1">
        <f>IFERROR(__xludf.DUMMYFUNCTION("""COMPUTED_VALUE"""),401848.0)</f>
        <v>401848</v>
      </c>
    </row>
    <row r="827">
      <c r="A827" s="2">
        <f>IFERROR(__xludf.DUMMYFUNCTION("""COMPUTED_VALUE"""),44083.64583333333)</f>
        <v>44083.64583</v>
      </c>
      <c r="B827" s="1">
        <f>IFERROR(__xludf.DUMMYFUNCTION("""COMPUTED_VALUE"""),19350.0)</f>
        <v>19350</v>
      </c>
      <c r="C827" s="1">
        <f>IFERROR(__xludf.DUMMYFUNCTION("""COMPUTED_VALUE"""),19550.0)</f>
        <v>19550</v>
      </c>
      <c r="D827" s="1">
        <f>IFERROR(__xludf.DUMMYFUNCTION("""COMPUTED_VALUE"""),19100.0)</f>
        <v>19100</v>
      </c>
      <c r="E827" s="1">
        <f>IFERROR(__xludf.DUMMYFUNCTION("""COMPUTED_VALUE"""),19300.0)</f>
        <v>19300</v>
      </c>
      <c r="F827" s="1">
        <f>IFERROR(__xludf.DUMMYFUNCTION("""COMPUTED_VALUE"""),212633.0)</f>
        <v>212633</v>
      </c>
    </row>
    <row r="828">
      <c r="A828" s="2">
        <f>IFERROR(__xludf.DUMMYFUNCTION("""COMPUTED_VALUE"""),44084.64583333333)</f>
        <v>44084.64583</v>
      </c>
      <c r="B828" s="1">
        <f>IFERROR(__xludf.DUMMYFUNCTION("""COMPUTED_VALUE"""),19300.0)</f>
        <v>19300</v>
      </c>
      <c r="C828" s="1">
        <f>IFERROR(__xludf.DUMMYFUNCTION("""COMPUTED_VALUE"""),22900.0)</f>
        <v>22900</v>
      </c>
      <c r="D828" s="1">
        <f>IFERROR(__xludf.DUMMYFUNCTION("""COMPUTED_VALUE"""),18950.0)</f>
        <v>18950</v>
      </c>
      <c r="E828" s="1">
        <f>IFERROR(__xludf.DUMMYFUNCTION("""COMPUTED_VALUE"""),20000.0)</f>
        <v>20000</v>
      </c>
      <c r="F828" s="1">
        <f>IFERROR(__xludf.DUMMYFUNCTION("""COMPUTED_VALUE"""),975842.0)</f>
        <v>975842</v>
      </c>
    </row>
    <row r="829">
      <c r="A829" s="2">
        <f>IFERROR(__xludf.DUMMYFUNCTION("""COMPUTED_VALUE"""),44085.64583333333)</f>
        <v>44085.64583</v>
      </c>
      <c r="B829" s="1">
        <f>IFERROR(__xludf.DUMMYFUNCTION("""COMPUTED_VALUE"""),19850.0)</f>
        <v>19850</v>
      </c>
      <c r="C829" s="1">
        <f>IFERROR(__xludf.DUMMYFUNCTION("""COMPUTED_VALUE"""),19900.0)</f>
        <v>19900</v>
      </c>
      <c r="D829" s="1">
        <f>IFERROR(__xludf.DUMMYFUNCTION("""COMPUTED_VALUE"""),19150.0)</f>
        <v>19150</v>
      </c>
      <c r="E829" s="1">
        <f>IFERROR(__xludf.DUMMYFUNCTION("""COMPUTED_VALUE"""),19500.0)</f>
        <v>19500</v>
      </c>
      <c r="F829" s="1">
        <f>IFERROR(__xludf.DUMMYFUNCTION("""COMPUTED_VALUE"""),218545.0)</f>
        <v>218545</v>
      </c>
    </row>
    <row r="830">
      <c r="A830" s="2">
        <f>IFERROR(__xludf.DUMMYFUNCTION("""COMPUTED_VALUE"""),44088.64583333333)</f>
        <v>44088.64583</v>
      </c>
      <c r="B830" s="1">
        <f>IFERROR(__xludf.DUMMYFUNCTION("""COMPUTED_VALUE"""),19600.0)</f>
        <v>19600</v>
      </c>
      <c r="C830" s="1">
        <f>IFERROR(__xludf.DUMMYFUNCTION("""COMPUTED_VALUE"""),19750.0)</f>
        <v>19750</v>
      </c>
      <c r="D830" s="1">
        <f>IFERROR(__xludf.DUMMYFUNCTION("""COMPUTED_VALUE"""),19300.0)</f>
        <v>19300</v>
      </c>
      <c r="E830" s="1">
        <f>IFERROR(__xludf.DUMMYFUNCTION("""COMPUTED_VALUE"""),19450.0)</f>
        <v>19450</v>
      </c>
      <c r="F830" s="1">
        <f>IFERROR(__xludf.DUMMYFUNCTION("""COMPUTED_VALUE"""),165602.0)</f>
        <v>165602</v>
      </c>
    </row>
    <row r="831">
      <c r="A831" s="2">
        <f>IFERROR(__xludf.DUMMYFUNCTION("""COMPUTED_VALUE"""),44089.64583333333)</f>
        <v>44089.64583</v>
      </c>
      <c r="B831" s="1">
        <f>IFERROR(__xludf.DUMMYFUNCTION("""COMPUTED_VALUE"""),19650.0)</f>
        <v>19650</v>
      </c>
      <c r="C831" s="1">
        <f>IFERROR(__xludf.DUMMYFUNCTION("""COMPUTED_VALUE"""),19650.0)</f>
        <v>19650</v>
      </c>
      <c r="D831" s="1">
        <f>IFERROR(__xludf.DUMMYFUNCTION("""COMPUTED_VALUE"""),19100.0)</f>
        <v>19100</v>
      </c>
      <c r="E831" s="1">
        <f>IFERROR(__xludf.DUMMYFUNCTION("""COMPUTED_VALUE"""),19450.0)</f>
        <v>19450</v>
      </c>
      <c r="F831" s="1">
        <f>IFERROR(__xludf.DUMMYFUNCTION("""COMPUTED_VALUE"""),164023.0)</f>
        <v>164023</v>
      </c>
    </row>
    <row r="832">
      <c r="A832" s="2">
        <f>IFERROR(__xludf.DUMMYFUNCTION("""COMPUTED_VALUE"""),44090.64583333333)</f>
        <v>44090.64583</v>
      </c>
      <c r="B832" s="1">
        <f>IFERROR(__xludf.DUMMYFUNCTION("""COMPUTED_VALUE"""),19550.0)</f>
        <v>19550</v>
      </c>
      <c r="C832" s="1">
        <f>IFERROR(__xludf.DUMMYFUNCTION("""COMPUTED_VALUE"""),19550.0)</f>
        <v>19550</v>
      </c>
      <c r="D832" s="1">
        <f>IFERROR(__xludf.DUMMYFUNCTION("""COMPUTED_VALUE"""),18950.0)</f>
        <v>18950</v>
      </c>
      <c r="E832" s="1">
        <f>IFERROR(__xludf.DUMMYFUNCTION("""COMPUTED_VALUE"""),19300.0)</f>
        <v>19300</v>
      </c>
      <c r="F832" s="1">
        <f>IFERROR(__xludf.DUMMYFUNCTION("""COMPUTED_VALUE"""),175757.0)</f>
        <v>175757</v>
      </c>
    </row>
    <row r="833">
      <c r="A833" s="2">
        <f>IFERROR(__xludf.DUMMYFUNCTION("""COMPUTED_VALUE"""),44091.64583333333)</f>
        <v>44091.64583</v>
      </c>
      <c r="B833" s="1">
        <f>IFERROR(__xludf.DUMMYFUNCTION("""COMPUTED_VALUE"""),19300.0)</f>
        <v>19300</v>
      </c>
      <c r="C833" s="1">
        <f>IFERROR(__xludf.DUMMYFUNCTION("""COMPUTED_VALUE"""),19350.0)</f>
        <v>19350</v>
      </c>
      <c r="D833" s="1">
        <f>IFERROR(__xludf.DUMMYFUNCTION("""COMPUTED_VALUE"""),18000.0)</f>
        <v>18000</v>
      </c>
      <c r="E833" s="1">
        <f>IFERROR(__xludf.DUMMYFUNCTION("""COMPUTED_VALUE"""),18600.0)</f>
        <v>18600</v>
      </c>
      <c r="F833" s="1">
        <f>IFERROR(__xludf.DUMMYFUNCTION("""COMPUTED_VALUE"""),396033.0)</f>
        <v>396033</v>
      </c>
    </row>
    <row r="834">
      <c r="A834" s="2">
        <f>IFERROR(__xludf.DUMMYFUNCTION("""COMPUTED_VALUE"""),44092.64583333333)</f>
        <v>44092.64583</v>
      </c>
      <c r="B834" s="1">
        <f>IFERROR(__xludf.DUMMYFUNCTION("""COMPUTED_VALUE"""),18450.0)</f>
        <v>18450</v>
      </c>
      <c r="C834" s="1">
        <f>IFERROR(__xludf.DUMMYFUNCTION("""COMPUTED_VALUE"""),18600.0)</f>
        <v>18600</v>
      </c>
      <c r="D834" s="1">
        <f>IFERROR(__xludf.DUMMYFUNCTION("""COMPUTED_VALUE"""),17650.0)</f>
        <v>17650</v>
      </c>
      <c r="E834" s="1">
        <f>IFERROR(__xludf.DUMMYFUNCTION("""COMPUTED_VALUE"""),18400.0)</f>
        <v>18400</v>
      </c>
      <c r="F834" s="1">
        <f>IFERROR(__xludf.DUMMYFUNCTION("""COMPUTED_VALUE"""),216185.0)</f>
        <v>216185</v>
      </c>
    </row>
    <row r="835">
      <c r="A835" s="2">
        <f>IFERROR(__xludf.DUMMYFUNCTION("""COMPUTED_VALUE"""),44095.64583333333)</f>
        <v>44095.64583</v>
      </c>
      <c r="B835" s="1">
        <f>IFERROR(__xludf.DUMMYFUNCTION("""COMPUTED_VALUE"""),18400.0)</f>
        <v>18400</v>
      </c>
      <c r="C835" s="1">
        <f>IFERROR(__xludf.DUMMYFUNCTION("""COMPUTED_VALUE"""),18400.0)</f>
        <v>18400</v>
      </c>
      <c r="D835" s="1">
        <f>IFERROR(__xludf.DUMMYFUNCTION("""COMPUTED_VALUE"""),16950.0)</f>
        <v>16950</v>
      </c>
      <c r="E835" s="1">
        <f>IFERROR(__xludf.DUMMYFUNCTION("""COMPUTED_VALUE"""),17450.0)</f>
        <v>17450</v>
      </c>
      <c r="F835" s="1">
        <f>IFERROR(__xludf.DUMMYFUNCTION("""COMPUTED_VALUE"""),252959.0)</f>
        <v>252959</v>
      </c>
    </row>
    <row r="836">
      <c r="A836" s="2">
        <f>IFERROR(__xludf.DUMMYFUNCTION("""COMPUTED_VALUE"""),44096.64583333333)</f>
        <v>44096.64583</v>
      </c>
      <c r="B836" s="1">
        <f>IFERROR(__xludf.DUMMYFUNCTION("""COMPUTED_VALUE"""),17600.0)</f>
        <v>17600</v>
      </c>
      <c r="C836" s="1">
        <f>IFERROR(__xludf.DUMMYFUNCTION("""COMPUTED_VALUE"""),17600.0)</f>
        <v>17600</v>
      </c>
      <c r="D836" s="1">
        <f>IFERROR(__xludf.DUMMYFUNCTION("""COMPUTED_VALUE"""),16300.0)</f>
        <v>16300</v>
      </c>
      <c r="E836" s="1">
        <f>IFERROR(__xludf.DUMMYFUNCTION("""COMPUTED_VALUE"""),17200.0)</f>
        <v>17200</v>
      </c>
      <c r="F836" s="1">
        <f>IFERROR(__xludf.DUMMYFUNCTION("""COMPUTED_VALUE"""),299728.0)</f>
        <v>299728</v>
      </c>
    </row>
    <row r="837">
      <c r="A837" s="2">
        <f>IFERROR(__xludf.DUMMYFUNCTION("""COMPUTED_VALUE"""),44097.64583333333)</f>
        <v>44097.64583</v>
      </c>
      <c r="B837" s="1">
        <f>IFERROR(__xludf.DUMMYFUNCTION("""COMPUTED_VALUE"""),17250.0)</f>
        <v>17250</v>
      </c>
      <c r="C837" s="1">
        <f>IFERROR(__xludf.DUMMYFUNCTION("""COMPUTED_VALUE"""),17850.0)</f>
        <v>17850</v>
      </c>
      <c r="D837" s="1">
        <f>IFERROR(__xludf.DUMMYFUNCTION("""COMPUTED_VALUE"""),16650.0)</f>
        <v>16650</v>
      </c>
      <c r="E837" s="1">
        <f>IFERROR(__xludf.DUMMYFUNCTION("""COMPUTED_VALUE"""),17750.0)</f>
        <v>17750</v>
      </c>
      <c r="F837" s="1">
        <f>IFERROR(__xludf.DUMMYFUNCTION("""COMPUTED_VALUE"""),124819.0)</f>
        <v>124819</v>
      </c>
    </row>
    <row r="838">
      <c r="A838" s="2">
        <f>IFERROR(__xludf.DUMMYFUNCTION("""COMPUTED_VALUE"""),44098.64583333333)</f>
        <v>44098.64583</v>
      </c>
      <c r="B838" s="1">
        <f>IFERROR(__xludf.DUMMYFUNCTION("""COMPUTED_VALUE"""),17050.0)</f>
        <v>17050</v>
      </c>
      <c r="C838" s="1">
        <f>IFERROR(__xludf.DUMMYFUNCTION("""COMPUTED_VALUE"""),17350.0)</f>
        <v>17350</v>
      </c>
      <c r="D838" s="1">
        <f>IFERROR(__xludf.DUMMYFUNCTION("""COMPUTED_VALUE"""),16450.0)</f>
        <v>16450</v>
      </c>
      <c r="E838" s="1">
        <f>IFERROR(__xludf.DUMMYFUNCTION("""COMPUTED_VALUE"""),16750.0)</f>
        <v>16750</v>
      </c>
      <c r="F838" s="1">
        <f>IFERROR(__xludf.DUMMYFUNCTION("""COMPUTED_VALUE"""),147384.0)</f>
        <v>147384</v>
      </c>
    </row>
    <row r="839">
      <c r="A839" s="2">
        <f>IFERROR(__xludf.DUMMYFUNCTION("""COMPUTED_VALUE"""),44099.64583333333)</f>
        <v>44099.64583</v>
      </c>
      <c r="B839" s="1">
        <f>IFERROR(__xludf.DUMMYFUNCTION("""COMPUTED_VALUE"""),16900.0)</f>
        <v>16900</v>
      </c>
      <c r="C839" s="1">
        <f>IFERROR(__xludf.DUMMYFUNCTION("""COMPUTED_VALUE"""),17200.0)</f>
        <v>17200</v>
      </c>
      <c r="D839" s="1">
        <f>IFERROR(__xludf.DUMMYFUNCTION("""COMPUTED_VALUE"""),16150.0)</f>
        <v>16150</v>
      </c>
      <c r="E839" s="1">
        <f>IFERROR(__xludf.DUMMYFUNCTION("""COMPUTED_VALUE"""),17100.0)</f>
        <v>17100</v>
      </c>
      <c r="F839" s="1">
        <f>IFERROR(__xludf.DUMMYFUNCTION("""COMPUTED_VALUE"""),94370.0)</f>
        <v>94370</v>
      </c>
    </row>
    <row r="840">
      <c r="A840" s="2">
        <f>IFERROR(__xludf.DUMMYFUNCTION("""COMPUTED_VALUE"""),44102.64583333333)</f>
        <v>44102.64583</v>
      </c>
      <c r="B840" s="1">
        <f>IFERROR(__xludf.DUMMYFUNCTION("""COMPUTED_VALUE"""),17250.0)</f>
        <v>17250</v>
      </c>
      <c r="C840" s="1">
        <f>IFERROR(__xludf.DUMMYFUNCTION("""COMPUTED_VALUE"""),17800.0)</f>
        <v>17800</v>
      </c>
      <c r="D840" s="1">
        <f>IFERROR(__xludf.DUMMYFUNCTION("""COMPUTED_VALUE"""),17050.0)</f>
        <v>17050</v>
      </c>
      <c r="E840" s="1">
        <f>IFERROR(__xludf.DUMMYFUNCTION("""COMPUTED_VALUE"""),17800.0)</f>
        <v>17800</v>
      </c>
      <c r="F840" s="1">
        <f>IFERROR(__xludf.DUMMYFUNCTION("""COMPUTED_VALUE"""),61302.0)</f>
        <v>61302</v>
      </c>
    </row>
    <row r="841">
      <c r="A841" s="2">
        <f>IFERROR(__xludf.DUMMYFUNCTION("""COMPUTED_VALUE"""),44103.64583333333)</f>
        <v>44103.64583</v>
      </c>
      <c r="B841" s="1">
        <f>IFERROR(__xludf.DUMMYFUNCTION("""COMPUTED_VALUE"""),17800.0)</f>
        <v>17800</v>
      </c>
      <c r="C841" s="1">
        <f>IFERROR(__xludf.DUMMYFUNCTION("""COMPUTED_VALUE"""),17900.0)</f>
        <v>17900</v>
      </c>
      <c r="D841" s="1">
        <f>IFERROR(__xludf.DUMMYFUNCTION("""COMPUTED_VALUE"""),17500.0)</f>
        <v>17500</v>
      </c>
      <c r="E841" s="1">
        <f>IFERROR(__xludf.DUMMYFUNCTION("""COMPUTED_VALUE"""),17800.0)</f>
        <v>17800</v>
      </c>
      <c r="F841" s="1">
        <f>IFERROR(__xludf.DUMMYFUNCTION("""COMPUTED_VALUE"""),41929.0)</f>
        <v>41929</v>
      </c>
    </row>
    <row r="842">
      <c r="A842" s="2">
        <f>IFERROR(__xludf.DUMMYFUNCTION("""COMPUTED_VALUE"""),44109.64583333333)</f>
        <v>44109.64583</v>
      </c>
      <c r="B842" s="1">
        <f>IFERROR(__xludf.DUMMYFUNCTION("""COMPUTED_VALUE"""),17800.0)</f>
        <v>17800</v>
      </c>
      <c r="C842" s="1">
        <f>IFERROR(__xludf.DUMMYFUNCTION("""COMPUTED_VALUE"""),18150.0)</f>
        <v>18150</v>
      </c>
      <c r="D842" s="1">
        <f>IFERROR(__xludf.DUMMYFUNCTION("""COMPUTED_VALUE"""),17450.0)</f>
        <v>17450</v>
      </c>
      <c r="E842" s="1">
        <f>IFERROR(__xludf.DUMMYFUNCTION("""COMPUTED_VALUE"""),18150.0)</f>
        <v>18150</v>
      </c>
      <c r="F842" s="1">
        <f>IFERROR(__xludf.DUMMYFUNCTION("""COMPUTED_VALUE"""),90946.0)</f>
        <v>90946</v>
      </c>
    </row>
    <row r="843">
      <c r="A843" s="2">
        <f>IFERROR(__xludf.DUMMYFUNCTION("""COMPUTED_VALUE"""),44110.64583333333)</f>
        <v>44110.64583</v>
      </c>
      <c r="B843" s="1">
        <f>IFERROR(__xludf.DUMMYFUNCTION("""COMPUTED_VALUE"""),18250.0)</f>
        <v>18250</v>
      </c>
      <c r="C843" s="1">
        <f>IFERROR(__xludf.DUMMYFUNCTION("""COMPUTED_VALUE"""),18250.0)</f>
        <v>18250</v>
      </c>
      <c r="D843" s="1">
        <f>IFERROR(__xludf.DUMMYFUNCTION("""COMPUTED_VALUE"""),17850.0)</f>
        <v>17850</v>
      </c>
      <c r="E843" s="1">
        <f>IFERROR(__xludf.DUMMYFUNCTION("""COMPUTED_VALUE"""),18000.0)</f>
        <v>18000</v>
      </c>
      <c r="F843" s="1">
        <f>IFERROR(__xludf.DUMMYFUNCTION("""COMPUTED_VALUE"""),60198.0)</f>
        <v>60198</v>
      </c>
    </row>
    <row r="844">
      <c r="A844" s="2">
        <f>IFERROR(__xludf.DUMMYFUNCTION("""COMPUTED_VALUE"""),44111.64583333333)</f>
        <v>44111.64583</v>
      </c>
      <c r="B844" s="1">
        <f>IFERROR(__xludf.DUMMYFUNCTION("""COMPUTED_VALUE"""),17950.0)</f>
        <v>17950</v>
      </c>
      <c r="C844" s="1">
        <f>IFERROR(__xludf.DUMMYFUNCTION("""COMPUTED_VALUE"""),18750.0)</f>
        <v>18750</v>
      </c>
      <c r="D844" s="1">
        <f>IFERROR(__xludf.DUMMYFUNCTION("""COMPUTED_VALUE"""),17800.0)</f>
        <v>17800</v>
      </c>
      <c r="E844" s="1">
        <f>IFERROR(__xludf.DUMMYFUNCTION("""COMPUTED_VALUE"""),18000.0)</f>
        <v>18000</v>
      </c>
      <c r="F844" s="1">
        <f>IFERROR(__xludf.DUMMYFUNCTION("""COMPUTED_VALUE"""),115878.0)</f>
        <v>115878</v>
      </c>
    </row>
    <row r="845">
      <c r="A845" s="2">
        <f>IFERROR(__xludf.DUMMYFUNCTION("""COMPUTED_VALUE"""),44112.64583333333)</f>
        <v>44112.64583</v>
      </c>
      <c r="B845" s="1">
        <f>IFERROR(__xludf.DUMMYFUNCTION("""COMPUTED_VALUE"""),18200.0)</f>
        <v>18200</v>
      </c>
      <c r="C845" s="1">
        <f>IFERROR(__xludf.DUMMYFUNCTION("""COMPUTED_VALUE"""),18200.0)</f>
        <v>18200</v>
      </c>
      <c r="D845" s="1">
        <f>IFERROR(__xludf.DUMMYFUNCTION("""COMPUTED_VALUE"""),17650.0)</f>
        <v>17650</v>
      </c>
      <c r="E845" s="1">
        <f>IFERROR(__xludf.DUMMYFUNCTION("""COMPUTED_VALUE"""),17850.0)</f>
        <v>17850</v>
      </c>
      <c r="F845" s="1">
        <f>IFERROR(__xludf.DUMMYFUNCTION("""COMPUTED_VALUE"""),82846.0)</f>
        <v>82846</v>
      </c>
    </row>
    <row r="846">
      <c r="A846" s="2">
        <f>IFERROR(__xludf.DUMMYFUNCTION("""COMPUTED_VALUE"""),44116.64583333333)</f>
        <v>44116.64583</v>
      </c>
      <c r="B846" s="1">
        <f>IFERROR(__xludf.DUMMYFUNCTION("""COMPUTED_VALUE"""),17850.0)</f>
        <v>17850</v>
      </c>
      <c r="C846" s="1">
        <f>IFERROR(__xludf.DUMMYFUNCTION("""COMPUTED_VALUE"""),18000.0)</f>
        <v>18000</v>
      </c>
      <c r="D846" s="1">
        <f>IFERROR(__xludf.DUMMYFUNCTION("""COMPUTED_VALUE"""),17500.0)</f>
        <v>17500</v>
      </c>
      <c r="E846" s="1">
        <f>IFERROR(__xludf.DUMMYFUNCTION("""COMPUTED_VALUE"""),17500.0)</f>
        <v>17500</v>
      </c>
      <c r="F846" s="1">
        <f>IFERROR(__xludf.DUMMYFUNCTION("""COMPUTED_VALUE"""),67089.0)</f>
        <v>67089</v>
      </c>
    </row>
    <row r="847">
      <c r="A847" s="2">
        <f>IFERROR(__xludf.DUMMYFUNCTION("""COMPUTED_VALUE"""),44117.64583333333)</f>
        <v>44117.64583</v>
      </c>
      <c r="B847" s="1">
        <f>IFERROR(__xludf.DUMMYFUNCTION("""COMPUTED_VALUE"""),17650.0)</f>
        <v>17650</v>
      </c>
      <c r="C847" s="1">
        <f>IFERROR(__xludf.DUMMYFUNCTION("""COMPUTED_VALUE"""),17900.0)</f>
        <v>17900</v>
      </c>
      <c r="D847" s="1">
        <f>IFERROR(__xludf.DUMMYFUNCTION("""COMPUTED_VALUE"""),16900.0)</f>
        <v>16900</v>
      </c>
      <c r="E847" s="1">
        <f>IFERROR(__xludf.DUMMYFUNCTION("""COMPUTED_VALUE"""),17250.0)</f>
        <v>17250</v>
      </c>
      <c r="F847" s="1">
        <f>IFERROR(__xludf.DUMMYFUNCTION("""COMPUTED_VALUE"""),166193.0)</f>
        <v>166193</v>
      </c>
    </row>
    <row r="848">
      <c r="A848" s="2">
        <f>IFERROR(__xludf.DUMMYFUNCTION("""COMPUTED_VALUE"""),44118.64583333333)</f>
        <v>44118.64583</v>
      </c>
      <c r="B848" s="1">
        <f>IFERROR(__xludf.DUMMYFUNCTION("""COMPUTED_VALUE"""),17100.0)</f>
        <v>17100</v>
      </c>
      <c r="C848" s="1">
        <f>IFERROR(__xludf.DUMMYFUNCTION("""COMPUTED_VALUE"""),17200.0)</f>
        <v>17200</v>
      </c>
      <c r="D848" s="1">
        <f>IFERROR(__xludf.DUMMYFUNCTION("""COMPUTED_VALUE"""),16300.0)</f>
        <v>16300</v>
      </c>
      <c r="E848" s="1">
        <f>IFERROR(__xludf.DUMMYFUNCTION("""COMPUTED_VALUE"""),16650.0)</f>
        <v>16650</v>
      </c>
      <c r="F848" s="1">
        <f>IFERROR(__xludf.DUMMYFUNCTION("""COMPUTED_VALUE"""),293889.0)</f>
        <v>293889</v>
      </c>
    </row>
    <row r="849">
      <c r="A849" s="2">
        <f>IFERROR(__xludf.DUMMYFUNCTION("""COMPUTED_VALUE"""),44119.64583333333)</f>
        <v>44119.64583</v>
      </c>
      <c r="B849" s="1">
        <f>IFERROR(__xludf.DUMMYFUNCTION("""COMPUTED_VALUE"""),16400.0)</f>
        <v>16400</v>
      </c>
      <c r="C849" s="1">
        <f>IFERROR(__xludf.DUMMYFUNCTION("""COMPUTED_VALUE"""),16550.0)</f>
        <v>16550</v>
      </c>
      <c r="D849" s="1">
        <f>IFERROR(__xludf.DUMMYFUNCTION("""COMPUTED_VALUE"""),15650.0)</f>
        <v>15650</v>
      </c>
      <c r="E849" s="1">
        <f>IFERROR(__xludf.DUMMYFUNCTION("""COMPUTED_VALUE"""),16300.0)</f>
        <v>16300</v>
      </c>
      <c r="F849" s="1">
        <f>IFERROR(__xludf.DUMMYFUNCTION("""COMPUTED_VALUE"""),136602.0)</f>
        <v>136602</v>
      </c>
    </row>
    <row r="850">
      <c r="A850" s="2">
        <f>IFERROR(__xludf.DUMMYFUNCTION("""COMPUTED_VALUE"""),44120.64583333333)</f>
        <v>44120.64583</v>
      </c>
      <c r="B850" s="1">
        <f>IFERROR(__xludf.DUMMYFUNCTION("""COMPUTED_VALUE"""),16300.0)</f>
        <v>16300</v>
      </c>
      <c r="C850" s="1">
        <f>IFERROR(__xludf.DUMMYFUNCTION("""COMPUTED_VALUE"""),16300.0)</f>
        <v>16300</v>
      </c>
      <c r="D850" s="1">
        <f>IFERROR(__xludf.DUMMYFUNCTION("""COMPUTED_VALUE"""),15550.0)</f>
        <v>15550</v>
      </c>
      <c r="E850" s="1">
        <f>IFERROR(__xludf.DUMMYFUNCTION("""COMPUTED_VALUE"""),16200.0)</f>
        <v>16200</v>
      </c>
      <c r="F850" s="1">
        <f>IFERROR(__xludf.DUMMYFUNCTION("""COMPUTED_VALUE"""),123698.0)</f>
        <v>123698</v>
      </c>
    </row>
    <row r="851">
      <c r="A851" s="2">
        <f>IFERROR(__xludf.DUMMYFUNCTION("""COMPUTED_VALUE"""),44123.64583333333)</f>
        <v>44123.64583</v>
      </c>
      <c r="B851" s="1">
        <f>IFERROR(__xludf.DUMMYFUNCTION("""COMPUTED_VALUE"""),16200.0)</f>
        <v>16200</v>
      </c>
      <c r="C851" s="1">
        <f>IFERROR(__xludf.DUMMYFUNCTION("""COMPUTED_VALUE"""),16300.0)</f>
        <v>16300</v>
      </c>
      <c r="D851" s="1">
        <f>IFERROR(__xludf.DUMMYFUNCTION("""COMPUTED_VALUE"""),15700.0)</f>
        <v>15700</v>
      </c>
      <c r="E851" s="1">
        <f>IFERROR(__xludf.DUMMYFUNCTION("""COMPUTED_VALUE"""),15800.0)</f>
        <v>15800</v>
      </c>
      <c r="F851" s="1">
        <f>IFERROR(__xludf.DUMMYFUNCTION("""COMPUTED_VALUE"""),80637.0)</f>
        <v>80637</v>
      </c>
    </row>
    <row r="852">
      <c r="A852" s="2">
        <f>IFERROR(__xludf.DUMMYFUNCTION("""COMPUTED_VALUE"""),44124.64583333333)</f>
        <v>44124.64583</v>
      </c>
      <c r="B852" s="1">
        <f>IFERROR(__xludf.DUMMYFUNCTION("""COMPUTED_VALUE"""),15500.0)</f>
        <v>15500</v>
      </c>
      <c r="C852" s="1">
        <f>IFERROR(__xludf.DUMMYFUNCTION("""COMPUTED_VALUE"""),16250.0)</f>
        <v>16250</v>
      </c>
      <c r="D852" s="1">
        <f>IFERROR(__xludf.DUMMYFUNCTION("""COMPUTED_VALUE"""),15200.0)</f>
        <v>15200</v>
      </c>
      <c r="E852" s="1">
        <f>IFERROR(__xludf.DUMMYFUNCTION("""COMPUTED_VALUE"""),16250.0)</f>
        <v>16250</v>
      </c>
      <c r="F852" s="1">
        <f>IFERROR(__xludf.DUMMYFUNCTION("""COMPUTED_VALUE"""),100286.0)</f>
        <v>100286</v>
      </c>
    </row>
    <row r="853">
      <c r="A853" s="2">
        <f>IFERROR(__xludf.DUMMYFUNCTION("""COMPUTED_VALUE"""),44125.64583333333)</f>
        <v>44125.64583</v>
      </c>
      <c r="B853" s="1">
        <f>IFERROR(__xludf.DUMMYFUNCTION("""COMPUTED_VALUE"""),16400.0)</f>
        <v>16400</v>
      </c>
      <c r="C853" s="1">
        <f>IFERROR(__xludf.DUMMYFUNCTION("""COMPUTED_VALUE"""),16400.0)</f>
        <v>16400</v>
      </c>
      <c r="D853" s="1">
        <f>IFERROR(__xludf.DUMMYFUNCTION("""COMPUTED_VALUE"""),15750.0)</f>
        <v>15750</v>
      </c>
      <c r="E853" s="1">
        <f>IFERROR(__xludf.DUMMYFUNCTION("""COMPUTED_VALUE"""),16400.0)</f>
        <v>16400</v>
      </c>
      <c r="F853" s="1">
        <f>IFERROR(__xludf.DUMMYFUNCTION("""COMPUTED_VALUE"""),74598.0)</f>
        <v>74598</v>
      </c>
    </row>
    <row r="854">
      <c r="A854" s="2">
        <f>IFERROR(__xludf.DUMMYFUNCTION("""COMPUTED_VALUE"""),44126.64583333333)</f>
        <v>44126.64583</v>
      </c>
      <c r="B854" s="1">
        <f>IFERROR(__xludf.DUMMYFUNCTION("""COMPUTED_VALUE"""),16150.0)</f>
        <v>16150</v>
      </c>
      <c r="C854" s="1">
        <f>IFERROR(__xludf.DUMMYFUNCTION("""COMPUTED_VALUE"""),16200.0)</f>
        <v>16200</v>
      </c>
      <c r="D854" s="1">
        <f>IFERROR(__xludf.DUMMYFUNCTION("""COMPUTED_VALUE"""),15850.0)</f>
        <v>15850</v>
      </c>
      <c r="E854" s="1">
        <f>IFERROR(__xludf.DUMMYFUNCTION("""COMPUTED_VALUE"""),16100.0)</f>
        <v>16100</v>
      </c>
      <c r="F854" s="1">
        <f>IFERROR(__xludf.DUMMYFUNCTION("""COMPUTED_VALUE"""),58276.0)</f>
        <v>58276</v>
      </c>
    </row>
    <row r="855">
      <c r="A855" s="2">
        <f>IFERROR(__xludf.DUMMYFUNCTION("""COMPUTED_VALUE"""),44127.64583333333)</f>
        <v>44127.64583</v>
      </c>
      <c r="B855" s="1">
        <f>IFERROR(__xludf.DUMMYFUNCTION("""COMPUTED_VALUE"""),15950.0)</f>
        <v>15950</v>
      </c>
      <c r="C855" s="1">
        <f>IFERROR(__xludf.DUMMYFUNCTION("""COMPUTED_VALUE"""),16050.0)</f>
        <v>16050</v>
      </c>
      <c r="D855" s="1">
        <f>IFERROR(__xludf.DUMMYFUNCTION("""COMPUTED_VALUE"""),15450.0)</f>
        <v>15450</v>
      </c>
      <c r="E855" s="1">
        <f>IFERROR(__xludf.DUMMYFUNCTION("""COMPUTED_VALUE"""),15750.0)</f>
        <v>15750</v>
      </c>
      <c r="F855" s="1">
        <f>IFERROR(__xludf.DUMMYFUNCTION("""COMPUTED_VALUE"""),101922.0)</f>
        <v>101922</v>
      </c>
    </row>
    <row r="856">
      <c r="A856" s="2">
        <f>IFERROR(__xludf.DUMMYFUNCTION("""COMPUTED_VALUE"""),44130.64583333333)</f>
        <v>44130.64583</v>
      </c>
      <c r="B856" s="1">
        <f>IFERROR(__xludf.DUMMYFUNCTION("""COMPUTED_VALUE"""),15550.0)</f>
        <v>15550</v>
      </c>
      <c r="C856" s="1">
        <f>IFERROR(__xludf.DUMMYFUNCTION("""COMPUTED_VALUE"""),15700.0)</f>
        <v>15700</v>
      </c>
      <c r="D856" s="1">
        <f>IFERROR(__xludf.DUMMYFUNCTION("""COMPUTED_VALUE"""),14750.0)</f>
        <v>14750</v>
      </c>
      <c r="E856" s="1">
        <f>IFERROR(__xludf.DUMMYFUNCTION("""COMPUTED_VALUE"""),14950.0)</f>
        <v>14950</v>
      </c>
      <c r="F856" s="1">
        <f>IFERROR(__xludf.DUMMYFUNCTION("""COMPUTED_VALUE"""),125971.0)</f>
        <v>125971</v>
      </c>
    </row>
    <row r="857">
      <c r="A857" s="2">
        <f>IFERROR(__xludf.DUMMYFUNCTION("""COMPUTED_VALUE"""),44131.64583333333)</f>
        <v>44131.64583</v>
      </c>
      <c r="B857" s="1">
        <f>IFERROR(__xludf.DUMMYFUNCTION("""COMPUTED_VALUE"""),14500.0)</f>
        <v>14500</v>
      </c>
      <c r="C857" s="1">
        <f>IFERROR(__xludf.DUMMYFUNCTION("""COMPUTED_VALUE"""),15250.0)</f>
        <v>15250</v>
      </c>
      <c r="D857" s="1">
        <f>IFERROR(__xludf.DUMMYFUNCTION("""COMPUTED_VALUE"""),14500.0)</f>
        <v>14500</v>
      </c>
      <c r="E857" s="1">
        <f>IFERROR(__xludf.DUMMYFUNCTION("""COMPUTED_VALUE"""),15050.0)</f>
        <v>15050</v>
      </c>
      <c r="F857" s="1">
        <f>IFERROR(__xludf.DUMMYFUNCTION("""COMPUTED_VALUE"""),121511.0)</f>
        <v>121511</v>
      </c>
    </row>
    <row r="858">
      <c r="A858" s="2">
        <f>IFERROR(__xludf.DUMMYFUNCTION("""COMPUTED_VALUE"""),44132.64583333333)</f>
        <v>44132.64583</v>
      </c>
      <c r="B858" s="1">
        <f>IFERROR(__xludf.DUMMYFUNCTION("""COMPUTED_VALUE"""),14950.0)</f>
        <v>14950</v>
      </c>
      <c r="C858" s="1">
        <f>IFERROR(__xludf.DUMMYFUNCTION("""COMPUTED_VALUE"""),15950.0)</f>
        <v>15950</v>
      </c>
      <c r="D858" s="1">
        <f>IFERROR(__xludf.DUMMYFUNCTION("""COMPUTED_VALUE"""),14950.0)</f>
        <v>14950</v>
      </c>
      <c r="E858" s="1">
        <f>IFERROR(__xludf.DUMMYFUNCTION("""COMPUTED_VALUE"""),15800.0)</f>
        <v>15800</v>
      </c>
      <c r="F858" s="1">
        <f>IFERROR(__xludf.DUMMYFUNCTION("""COMPUTED_VALUE"""),83724.0)</f>
        <v>83724</v>
      </c>
    </row>
    <row r="859">
      <c r="A859" s="2">
        <f>IFERROR(__xludf.DUMMYFUNCTION("""COMPUTED_VALUE"""),44133.64583333333)</f>
        <v>44133.64583</v>
      </c>
      <c r="B859" s="1">
        <f>IFERROR(__xludf.DUMMYFUNCTION("""COMPUTED_VALUE"""),15350.0)</f>
        <v>15350</v>
      </c>
      <c r="C859" s="1">
        <f>IFERROR(__xludf.DUMMYFUNCTION("""COMPUTED_VALUE"""),15900.0)</f>
        <v>15900</v>
      </c>
      <c r="D859" s="1">
        <f>IFERROR(__xludf.DUMMYFUNCTION("""COMPUTED_VALUE"""),15100.0)</f>
        <v>15100</v>
      </c>
      <c r="E859" s="1">
        <f>IFERROR(__xludf.DUMMYFUNCTION("""COMPUTED_VALUE"""),15700.0)</f>
        <v>15700</v>
      </c>
      <c r="F859" s="1">
        <f>IFERROR(__xludf.DUMMYFUNCTION("""COMPUTED_VALUE"""),64724.0)</f>
        <v>64724</v>
      </c>
    </row>
    <row r="860">
      <c r="A860" s="2">
        <f>IFERROR(__xludf.DUMMYFUNCTION("""COMPUTED_VALUE"""),44134.64583333333)</f>
        <v>44134.64583</v>
      </c>
      <c r="B860" s="1">
        <f>IFERROR(__xludf.DUMMYFUNCTION("""COMPUTED_VALUE"""),15500.0)</f>
        <v>15500</v>
      </c>
      <c r="C860" s="1">
        <f>IFERROR(__xludf.DUMMYFUNCTION("""COMPUTED_VALUE"""),16400.0)</f>
        <v>16400</v>
      </c>
      <c r="D860" s="1">
        <f>IFERROR(__xludf.DUMMYFUNCTION("""COMPUTED_VALUE"""),15200.0)</f>
        <v>15200</v>
      </c>
      <c r="E860" s="1">
        <f>IFERROR(__xludf.DUMMYFUNCTION("""COMPUTED_VALUE"""),15400.0)</f>
        <v>15400</v>
      </c>
      <c r="F860" s="1">
        <f>IFERROR(__xludf.DUMMYFUNCTION("""COMPUTED_VALUE"""),99006.0)</f>
        <v>99006</v>
      </c>
    </row>
    <row r="861">
      <c r="A861" s="2">
        <f>IFERROR(__xludf.DUMMYFUNCTION("""COMPUTED_VALUE"""),44137.64583333333)</f>
        <v>44137.64583</v>
      </c>
      <c r="B861" s="1">
        <f>IFERROR(__xludf.DUMMYFUNCTION("""COMPUTED_VALUE"""),15500.0)</f>
        <v>15500</v>
      </c>
      <c r="C861" s="1">
        <f>IFERROR(__xludf.DUMMYFUNCTION("""COMPUTED_VALUE"""),16200.0)</f>
        <v>16200</v>
      </c>
      <c r="D861" s="1">
        <f>IFERROR(__xludf.DUMMYFUNCTION("""COMPUTED_VALUE"""),15400.0)</f>
        <v>15400</v>
      </c>
      <c r="E861" s="1">
        <f>IFERROR(__xludf.DUMMYFUNCTION("""COMPUTED_VALUE"""),15900.0)</f>
        <v>15900</v>
      </c>
      <c r="F861" s="1">
        <f>IFERROR(__xludf.DUMMYFUNCTION("""COMPUTED_VALUE"""),59644.0)</f>
        <v>59644</v>
      </c>
    </row>
    <row r="862">
      <c r="A862" s="2">
        <f>IFERROR(__xludf.DUMMYFUNCTION("""COMPUTED_VALUE"""),44138.64583333333)</f>
        <v>44138.64583</v>
      </c>
      <c r="B862" s="1">
        <f>IFERROR(__xludf.DUMMYFUNCTION("""COMPUTED_VALUE"""),15900.0)</f>
        <v>15900</v>
      </c>
      <c r="C862" s="1">
        <f>IFERROR(__xludf.DUMMYFUNCTION("""COMPUTED_VALUE"""),16300.0)</f>
        <v>16300</v>
      </c>
      <c r="D862" s="1">
        <f>IFERROR(__xludf.DUMMYFUNCTION("""COMPUTED_VALUE"""),15900.0)</f>
        <v>15900</v>
      </c>
      <c r="E862" s="1">
        <f>IFERROR(__xludf.DUMMYFUNCTION("""COMPUTED_VALUE"""),16100.0)</f>
        <v>16100</v>
      </c>
      <c r="F862" s="1">
        <f>IFERROR(__xludf.DUMMYFUNCTION("""COMPUTED_VALUE"""),72307.0)</f>
        <v>72307</v>
      </c>
    </row>
    <row r="863">
      <c r="A863" s="2">
        <f>IFERROR(__xludf.DUMMYFUNCTION("""COMPUTED_VALUE"""),44139.64583333333)</f>
        <v>44139.64583</v>
      </c>
      <c r="B863" s="1">
        <f>IFERROR(__xludf.DUMMYFUNCTION("""COMPUTED_VALUE"""),16300.0)</f>
        <v>16300</v>
      </c>
      <c r="C863" s="1">
        <f>IFERROR(__xludf.DUMMYFUNCTION("""COMPUTED_VALUE"""),17500.0)</f>
        <v>17500</v>
      </c>
      <c r="D863" s="1">
        <f>IFERROR(__xludf.DUMMYFUNCTION("""COMPUTED_VALUE"""),16200.0)</f>
        <v>16200</v>
      </c>
      <c r="E863" s="1">
        <f>IFERROR(__xludf.DUMMYFUNCTION("""COMPUTED_VALUE"""),17500.0)</f>
        <v>17500</v>
      </c>
      <c r="F863" s="1">
        <f>IFERROR(__xludf.DUMMYFUNCTION("""COMPUTED_VALUE"""),256148.0)</f>
        <v>256148</v>
      </c>
    </row>
    <row r="864">
      <c r="A864" s="2">
        <f>IFERROR(__xludf.DUMMYFUNCTION("""COMPUTED_VALUE"""),44140.64583333333)</f>
        <v>44140.64583</v>
      </c>
      <c r="B864" s="1">
        <f>IFERROR(__xludf.DUMMYFUNCTION("""COMPUTED_VALUE"""),17400.0)</f>
        <v>17400</v>
      </c>
      <c r="C864" s="1">
        <f>IFERROR(__xludf.DUMMYFUNCTION("""COMPUTED_VALUE"""),17950.0)</f>
        <v>17950</v>
      </c>
      <c r="D864" s="1">
        <f>IFERROR(__xludf.DUMMYFUNCTION("""COMPUTED_VALUE"""),17150.0)</f>
        <v>17150</v>
      </c>
      <c r="E864" s="1">
        <f>IFERROR(__xludf.DUMMYFUNCTION("""COMPUTED_VALUE"""),17850.0)</f>
        <v>17850</v>
      </c>
      <c r="F864" s="1">
        <f>IFERROR(__xludf.DUMMYFUNCTION("""COMPUTED_VALUE"""),193717.0)</f>
        <v>193717</v>
      </c>
    </row>
    <row r="865">
      <c r="A865" s="2">
        <f>IFERROR(__xludf.DUMMYFUNCTION("""COMPUTED_VALUE"""),44141.64583333333)</f>
        <v>44141.64583</v>
      </c>
      <c r="B865" s="1">
        <f>IFERROR(__xludf.DUMMYFUNCTION("""COMPUTED_VALUE"""),17950.0)</f>
        <v>17950</v>
      </c>
      <c r="C865" s="1">
        <f>IFERROR(__xludf.DUMMYFUNCTION("""COMPUTED_VALUE"""),17950.0)</f>
        <v>17950</v>
      </c>
      <c r="D865" s="1">
        <f>IFERROR(__xludf.DUMMYFUNCTION("""COMPUTED_VALUE"""),17400.0)</f>
        <v>17400</v>
      </c>
      <c r="E865" s="1">
        <f>IFERROR(__xludf.DUMMYFUNCTION("""COMPUTED_VALUE"""),17600.0)</f>
        <v>17600</v>
      </c>
      <c r="F865" s="1">
        <f>IFERROR(__xludf.DUMMYFUNCTION("""COMPUTED_VALUE"""),131838.0)</f>
        <v>131838</v>
      </c>
    </row>
    <row r="866">
      <c r="A866" s="2">
        <f>IFERROR(__xludf.DUMMYFUNCTION("""COMPUTED_VALUE"""),44144.64583333333)</f>
        <v>44144.64583</v>
      </c>
      <c r="B866" s="1">
        <f>IFERROR(__xludf.DUMMYFUNCTION("""COMPUTED_VALUE"""),17850.0)</f>
        <v>17850</v>
      </c>
      <c r="C866" s="1">
        <f>IFERROR(__xludf.DUMMYFUNCTION("""COMPUTED_VALUE"""),17850.0)</f>
        <v>17850</v>
      </c>
      <c r="D866" s="1">
        <f>IFERROR(__xludf.DUMMYFUNCTION("""COMPUTED_VALUE"""),17300.0)</f>
        <v>17300</v>
      </c>
      <c r="E866" s="1">
        <f>IFERROR(__xludf.DUMMYFUNCTION("""COMPUTED_VALUE"""),17750.0)</f>
        <v>17750</v>
      </c>
      <c r="F866" s="1">
        <f>IFERROR(__xludf.DUMMYFUNCTION("""COMPUTED_VALUE"""),98443.0)</f>
        <v>98443</v>
      </c>
    </row>
    <row r="867">
      <c r="A867" s="2">
        <f>IFERROR(__xludf.DUMMYFUNCTION("""COMPUTED_VALUE"""),44145.64583333333)</f>
        <v>44145.64583</v>
      </c>
      <c r="B867" s="1">
        <f>IFERROR(__xludf.DUMMYFUNCTION("""COMPUTED_VALUE"""),17850.0)</f>
        <v>17850</v>
      </c>
      <c r="C867" s="1">
        <f>IFERROR(__xludf.DUMMYFUNCTION("""COMPUTED_VALUE"""),18200.0)</f>
        <v>18200</v>
      </c>
      <c r="D867" s="1">
        <f>IFERROR(__xludf.DUMMYFUNCTION("""COMPUTED_VALUE"""),17550.0)</f>
        <v>17550</v>
      </c>
      <c r="E867" s="1">
        <f>IFERROR(__xludf.DUMMYFUNCTION("""COMPUTED_VALUE"""),17800.0)</f>
        <v>17800</v>
      </c>
      <c r="F867" s="1">
        <f>IFERROR(__xludf.DUMMYFUNCTION("""COMPUTED_VALUE"""),125920.0)</f>
        <v>125920</v>
      </c>
    </row>
    <row r="868">
      <c r="A868" s="2">
        <f>IFERROR(__xludf.DUMMYFUNCTION("""COMPUTED_VALUE"""),44146.64583333333)</f>
        <v>44146.64583</v>
      </c>
      <c r="B868" s="1">
        <f>IFERROR(__xludf.DUMMYFUNCTION("""COMPUTED_VALUE"""),17950.0)</f>
        <v>17950</v>
      </c>
      <c r="C868" s="1">
        <f>IFERROR(__xludf.DUMMYFUNCTION("""COMPUTED_VALUE"""),18100.0)</f>
        <v>18100</v>
      </c>
      <c r="D868" s="1">
        <f>IFERROR(__xludf.DUMMYFUNCTION("""COMPUTED_VALUE"""),17500.0)</f>
        <v>17500</v>
      </c>
      <c r="E868" s="1">
        <f>IFERROR(__xludf.DUMMYFUNCTION("""COMPUTED_VALUE"""),17600.0)</f>
        <v>17600</v>
      </c>
      <c r="F868" s="1">
        <f>IFERROR(__xludf.DUMMYFUNCTION("""COMPUTED_VALUE"""),47096.0)</f>
        <v>47096</v>
      </c>
    </row>
    <row r="869">
      <c r="A869" s="2">
        <f>IFERROR(__xludf.DUMMYFUNCTION("""COMPUTED_VALUE"""),44147.64583333333)</f>
        <v>44147.64583</v>
      </c>
      <c r="B869" s="1">
        <f>IFERROR(__xludf.DUMMYFUNCTION("""COMPUTED_VALUE"""),17750.0)</f>
        <v>17750</v>
      </c>
      <c r="C869" s="1">
        <f>IFERROR(__xludf.DUMMYFUNCTION("""COMPUTED_VALUE"""),17750.0)</f>
        <v>17750</v>
      </c>
      <c r="D869" s="1">
        <f>IFERROR(__xludf.DUMMYFUNCTION("""COMPUTED_VALUE"""),16900.0)</f>
        <v>16900</v>
      </c>
      <c r="E869" s="1">
        <f>IFERROR(__xludf.DUMMYFUNCTION("""COMPUTED_VALUE"""),17100.0)</f>
        <v>17100</v>
      </c>
      <c r="F869" s="1">
        <f>IFERROR(__xludf.DUMMYFUNCTION("""COMPUTED_VALUE"""),145859.0)</f>
        <v>145859</v>
      </c>
    </row>
    <row r="870">
      <c r="A870" s="2">
        <f>IFERROR(__xludf.DUMMYFUNCTION("""COMPUTED_VALUE"""),44148.64583333333)</f>
        <v>44148.64583</v>
      </c>
      <c r="B870" s="1">
        <f>IFERROR(__xludf.DUMMYFUNCTION("""COMPUTED_VALUE"""),17100.0)</f>
        <v>17100</v>
      </c>
      <c r="C870" s="1">
        <f>IFERROR(__xludf.DUMMYFUNCTION("""COMPUTED_VALUE"""),18000.0)</f>
        <v>18000</v>
      </c>
      <c r="D870" s="1">
        <f>IFERROR(__xludf.DUMMYFUNCTION("""COMPUTED_VALUE"""),16800.0)</f>
        <v>16800</v>
      </c>
      <c r="E870" s="1">
        <f>IFERROR(__xludf.DUMMYFUNCTION("""COMPUTED_VALUE"""),18000.0)</f>
        <v>18000</v>
      </c>
      <c r="F870" s="1">
        <f>IFERROR(__xludf.DUMMYFUNCTION("""COMPUTED_VALUE"""),269046.0)</f>
        <v>269046</v>
      </c>
    </row>
    <row r="871">
      <c r="A871" s="2">
        <f>IFERROR(__xludf.DUMMYFUNCTION("""COMPUTED_VALUE"""),44151.64583333333)</f>
        <v>44151.64583</v>
      </c>
      <c r="B871" s="1">
        <f>IFERROR(__xludf.DUMMYFUNCTION("""COMPUTED_VALUE"""),17950.0)</f>
        <v>17950</v>
      </c>
      <c r="C871" s="1">
        <f>IFERROR(__xludf.DUMMYFUNCTION("""COMPUTED_VALUE"""),18000.0)</f>
        <v>18000</v>
      </c>
      <c r="D871" s="1">
        <f>IFERROR(__xludf.DUMMYFUNCTION("""COMPUTED_VALUE"""),17450.0)</f>
        <v>17450</v>
      </c>
      <c r="E871" s="1">
        <f>IFERROR(__xludf.DUMMYFUNCTION("""COMPUTED_VALUE"""),17800.0)</f>
        <v>17800</v>
      </c>
      <c r="F871" s="1">
        <f>IFERROR(__xludf.DUMMYFUNCTION("""COMPUTED_VALUE"""),293368.0)</f>
        <v>293368</v>
      </c>
    </row>
    <row r="872">
      <c r="A872" s="2">
        <f>IFERROR(__xludf.DUMMYFUNCTION("""COMPUTED_VALUE"""),44152.64583333333)</f>
        <v>44152.64583</v>
      </c>
      <c r="B872" s="1">
        <f>IFERROR(__xludf.DUMMYFUNCTION("""COMPUTED_VALUE"""),17750.0)</f>
        <v>17750</v>
      </c>
      <c r="C872" s="1">
        <f>IFERROR(__xludf.DUMMYFUNCTION("""COMPUTED_VALUE"""),17750.0)</f>
        <v>17750</v>
      </c>
      <c r="D872" s="1">
        <f>IFERROR(__xludf.DUMMYFUNCTION("""COMPUTED_VALUE"""),17350.0)</f>
        <v>17350</v>
      </c>
      <c r="E872" s="1">
        <f>IFERROR(__xludf.DUMMYFUNCTION("""COMPUTED_VALUE"""),17500.0)</f>
        <v>17500</v>
      </c>
      <c r="F872" s="1">
        <f>IFERROR(__xludf.DUMMYFUNCTION("""COMPUTED_VALUE"""),124863.0)</f>
        <v>124863</v>
      </c>
    </row>
    <row r="873">
      <c r="A873" s="2">
        <f>IFERROR(__xludf.DUMMYFUNCTION("""COMPUTED_VALUE"""),44153.64583333333)</f>
        <v>44153.64583</v>
      </c>
      <c r="B873" s="1">
        <f>IFERROR(__xludf.DUMMYFUNCTION("""COMPUTED_VALUE"""),17500.0)</f>
        <v>17500</v>
      </c>
      <c r="C873" s="1">
        <f>IFERROR(__xludf.DUMMYFUNCTION("""COMPUTED_VALUE"""),17600.0)</f>
        <v>17600</v>
      </c>
      <c r="D873" s="1">
        <f>IFERROR(__xludf.DUMMYFUNCTION("""COMPUTED_VALUE"""),17000.0)</f>
        <v>17000</v>
      </c>
      <c r="E873" s="1">
        <f>IFERROR(__xludf.DUMMYFUNCTION("""COMPUTED_VALUE"""),17150.0)</f>
        <v>17150</v>
      </c>
      <c r="F873" s="1">
        <f>IFERROR(__xludf.DUMMYFUNCTION("""COMPUTED_VALUE"""),142562.0)</f>
        <v>142562</v>
      </c>
    </row>
    <row r="874">
      <c r="A874" s="2">
        <f>IFERROR(__xludf.DUMMYFUNCTION("""COMPUTED_VALUE"""),44154.64583333333)</f>
        <v>44154.64583</v>
      </c>
      <c r="B874" s="1">
        <f>IFERROR(__xludf.DUMMYFUNCTION("""COMPUTED_VALUE"""),17000.0)</f>
        <v>17000</v>
      </c>
      <c r="C874" s="1">
        <f>IFERROR(__xludf.DUMMYFUNCTION("""COMPUTED_VALUE"""),17200.0)</f>
        <v>17200</v>
      </c>
      <c r="D874" s="1">
        <f>IFERROR(__xludf.DUMMYFUNCTION("""COMPUTED_VALUE"""),16700.0)</f>
        <v>16700</v>
      </c>
      <c r="E874" s="1">
        <f>IFERROR(__xludf.DUMMYFUNCTION("""COMPUTED_VALUE"""),16900.0)</f>
        <v>16900</v>
      </c>
      <c r="F874" s="1">
        <f>IFERROR(__xludf.DUMMYFUNCTION("""COMPUTED_VALUE"""),156183.0)</f>
        <v>156183</v>
      </c>
    </row>
    <row r="875">
      <c r="A875" s="2">
        <f>IFERROR(__xludf.DUMMYFUNCTION("""COMPUTED_VALUE"""),44155.64583333333)</f>
        <v>44155.64583</v>
      </c>
      <c r="B875" s="1">
        <f>IFERROR(__xludf.DUMMYFUNCTION("""COMPUTED_VALUE"""),17050.0)</f>
        <v>17050</v>
      </c>
      <c r="C875" s="1">
        <f>IFERROR(__xludf.DUMMYFUNCTION("""COMPUTED_VALUE"""),17400.0)</f>
        <v>17400</v>
      </c>
      <c r="D875" s="1">
        <f>IFERROR(__xludf.DUMMYFUNCTION("""COMPUTED_VALUE"""),16900.0)</f>
        <v>16900</v>
      </c>
      <c r="E875" s="1">
        <f>IFERROR(__xludf.DUMMYFUNCTION("""COMPUTED_VALUE"""),17400.0)</f>
        <v>17400</v>
      </c>
      <c r="F875" s="1">
        <f>IFERROR(__xludf.DUMMYFUNCTION("""COMPUTED_VALUE"""),101992.0)</f>
        <v>101992</v>
      </c>
    </row>
    <row r="876">
      <c r="A876" s="2">
        <f>IFERROR(__xludf.DUMMYFUNCTION("""COMPUTED_VALUE"""),44158.64583333333)</f>
        <v>44158.64583</v>
      </c>
      <c r="B876" s="1">
        <f>IFERROR(__xludf.DUMMYFUNCTION("""COMPUTED_VALUE"""),17350.0)</f>
        <v>17350</v>
      </c>
      <c r="C876" s="1">
        <f>IFERROR(__xludf.DUMMYFUNCTION("""COMPUTED_VALUE"""),17650.0)</f>
        <v>17650</v>
      </c>
      <c r="D876" s="1">
        <f>IFERROR(__xludf.DUMMYFUNCTION("""COMPUTED_VALUE"""),17100.0)</f>
        <v>17100</v>
      </c>
      <c r="E876" s="1">
        <f>IFERROR(__xludf.DUMMYFUNCTION("""COMPUTED_VALUE"""),17100.0)</f>
        <v>17100</v>
      </c>
      <c r="F876" s="1">
        <f>IFERROR(__xludf.DUMMYFUNCTION("""COMPUTED_VALUE"""),139815.0)</f>
        <v>139815</v>
      </c>
    </row>
    <row r="877">
      <c r="A877" s="2">
        <f>IFERROR(__xludf.DUMMYFUNCTION("""COMPUTED_VALUE"""),44159.64583333333)</f>
        <v>44159.64583</v>
      </c>
      <c r="B877" s="1">
        <f>IFERROR(__xludf.DUMMYFUNCTION("""COMPUTED_VALUE"""),17250.0)</f>
        <v>17250</v>
      </c>
      <c r="C877" s="1">
        <f>IFERROR(__xludf.DUMMYFUNCTION("""COMPUTED_VALUE"""),17700.0)</f>
        <v>17700</v>
      </c>
      <c r="D877" s="1">
        <f>IFERROR(__xludf.DUMMYFUNCTION("""COMPUTED_VALUE"""),17050.0)</f>
        <v>17050</v>
      </c>
      <c r="E877" s="1">
        <f>IFERROR(__xludf.DUMMYFUNCTION("""COMPUTED_VALUE"""),17150.0)</f>
        <v>17150</v>
      </c>
      <c r="F877" s="1">
        <f>IFERROR(__xludf.DUMMYFUNCTION("""COMPUTED_VALUE"""),239726.0)</f>
        <v>239726</v>
      </c>
    </row>
    <row r="878">
      <c r="A878" s="2">
        <f>IFERROR(__xludf.DUMMYFUNCTION("""COMPUTED_VALUE"""),44160.64583333333)</f>
        <v>44160.64583</v>
      </c>
      <c r="B878" s="1">
        <f>IFERROR(__xludf.DUMMYFUNCTION("""COMPUTED_VALUE"""),17450.0)</f>
        <v>17450</v>
      </c>
      <c r="C878" s="1">
        <f>IFERROR(__xludf.DUMMYFUNCTION("""COMPUTED_VALUE"""),17500.0)</f>
        <v>17500</v>
      </c>
      <c r="D878" s="1">
        <f>IFERROR(__xludf.DUMMYFUNCTION("""COMPUTED_VALUE"""),16900.0)</f>
        <v>16900</v>
      </c>
      <c r="E878" s="1">
        <f>IFERROR(__xludf.DUMMYFUNCTION("""COMPUTED_VALUE"""),17100.0)</f>
        <v>17100</v>
      </c>
      <c r="F878" s="1">
        <f>IFERROR(__xludf.DUMMYFUNCTION("""COMPUTED_VALUE"""),181259.0)</f>
        <v>181259</v>
      </c>
    </row>
    <row r="879">
      <c r="A879" s="2">
        <f>IFERROR(__xludf.DUMMYFUNCTION("""COMPUTED_VALUE"""),44161.64583333333)</f>
        <v>44161.64583</v>
      </c>
      <c r="B879" s="1">
        <f>IFERROR(__xludf.DUMMYFUNCTION("""COMPUTED_VALUE"""),17500.0)</f>
        <v>17500</v>
      </c>
      <c r="C879" s="1">
        <f>IFERROR(__xludf.DUMMYFUNCTION("""COMPUTED_VALUE"""),17500.0)</f>
        <v>17500</v>
      </c>
      <c r="D879" s="1">
        <f>IFERROR(__xludf.DUMMYFUNCTION("""COMPUTED_VALUE"""),17200.0)</f>
        <v>17200</v>
      </c>
      <c r="E879" s="1">
        <f>IFERROR(__xludf.DUMMYFUNCTION("""COMPUTED_VALUE"""),17350.0)</f>
        <v>17350</v>
      </c>
      <c r="F879" s="1">
        <f>IFERROR(__xludf.DUMMYFUNCTION("""COMPUTED_VALUE"""),111533.0)</f>
        <v>111533</v>
      </c>
    </row>
    <row r="880">
      <c r="A880" s="2">
        <f>IFERROR(__xludf.DUMMYFUNCTION("""COMPUTED_VALUE"""),44162.64583333333)</f>
        <v>44162.64583</v>
      </c>
      <c r="B880" s="1">
        <f>IFERROR(__xludf.DUMMYFUNCTION("""COMPUTED_VALUE"""),17350.0)</f>
        <v>17350</v>
      </c>
      <c r="C880" s="1">
        <f>IFERROR(__xludf.DUMMYFUNCTION("""COMPUTED_VALUE"""),18350.0)</f>
        <v>18350</v>
      </c>
      <c r="D880" s="1">
        <f>IFERROR(__xludf.DUMMYFUNCTION("""COMPUTED_VALUE"""),17350.0)</f>
        <v>17350</v>
      </c>
      <c r="E880" s="1">
        <f>IFERROR(__xludf.DUMMYFUNCTION("""COMPUTED_VALUE"""),18000.0)</f>
        <v>18000</v>
      </c>
      <c r="F880" s="1">
        <f>IFERROR(__xludf.DUMMYFUNCTION("""COMPUTED_VALUE"""),442176.0)</f>
        <v>442176</v>
      </c>
    </row>
    <row r="881">
      <c r="A881" s="2">
        <f>IFERROR(__xludf.DUMMYFUNCTION("""COMPUTED_VALUE"""),44165.64583333333)</f>
        <v>44165.64583</v>
      </c>
      <c r="B881" s="1">
        <f>IFERROR(__xludf.DUMMYFUNCTION("""COMPUTED_VALUE"""),17950.0)</f>
        <v>17950</v>
      </c>
      <c r="C881" s="1">
        <f>IFERROR(__xludf.DUMMYFUNCTION("""COMPUTED_VALUE"""),18150.0)</f>
        <v>18150</v>
      </c>
      <c r="D881" s="1">
        <f>IFERROR(__xludf.DUMMYFUNCTION("""COMPUTED_VALUE"""),17350.0)</f>
        <v>17350</v>
      </c>
      <c r="E881" s="1">
        <f>IFERROR(__xludf.DUMMYFUNCTION("""COMPUTED_VALUE"""),17550.0)</f>
        <v>17550</v>
      </c>
      <c r="F881" s="1">
        <f>IFERROR(__xludf.DUMMYFUNCTION("""COMPUTED_VALUE"""),240079.0)</f>
        <v>240079</v>
      </c>
    </row>
    <row r="882">
      <c r="A882" s="2">
        <f>IFERROR(__xludf.DUMMYFUNCTION("""COMPUTED_VALUE"""),44166.64583333333)</f>
        <v>44166.64583</v>
      </c>
      <c r="B882" s="1">
        <f>IFERROR(__xludf.DUMMYFUNCTION("""COMPUTED_VALUE"""),17550.0)</f>
        <v>17550</v>
      </c>
      <c r="C882" s="1">
        <f>IFERROR(__xludf.DUMMYFUNCTION("""COMPUTED_VALUE"""),17700.0)</f>
        <v>17700</v>
      </c>
      <c r="D882" s="1">
        <f>IFERROR(__xludf.DUMMYFUNCTION("""COMPUTED_VALUE"""),17300.0)</f>
        <v>17300</v>
      </c>
      <c r="E882" s="1">
        <f>IFERROR(__xludf.DUMMYFUNCTION("""COMPUTED_VALUE"""),17600.0)</f>
        <v>17600</v>
      </c>
      <c r="F882" s="1">
        <f>IFERROR(__xludf.DUMMYFUNCTION("""COMPUTED_VALUE"""),140707.0)</f>
        <v>140707</v>
      </c>
    </row>
    <row r="883">
      <c r="A883" s="2">
        <f>IFERROR(__xludf.DUMMYFUNCTION("""COMPUTED_VALUE"""),44167.64583333333)</f>
        <v>44167.64583</v>
      </c>
      <c r="B883" s="1">
        <f>IFERROR(__xludf.DUMMYFUNCTION("""COMPUTED_VALUE"""),17600.0)</f>
        <v>17600</v>
      </c>
      <c r="C883" s="1">
        <f>IFERROR(__xludf.DUMMYFUNCTION("""COMPUTED_VALUE"""),17600.0)</f>
        <v>17600</v>
      </c>
      <c r="D883" s="1">
        <f>IFERROR(__xludf.DUMMYFUNCTION("""COMPUTED_VALUE"""),17350.0)</f>
        <v>17350</v>
      </c>
      <c r="E883" s="1">
        <f>IFERROR(__xludf.DUMMYFUNCTION("""COMPUTED_VALUE"""),17600.0)</f>
        <v>17600</v>
      </c>
      <c r="F883" s="1">
        <f>IFERROR(__xludf.DUMMYFUNCTION("""COMPUTED_VALUE"""),150635.0)</f>
        <v>150635</v>
      </c>
    </row>
    <row r="884">
      <c r="A884" s="2">
        <f>IFERROR(__xludf.DUMMYFUNCTION("""COMPUTED_VALUE"""),44168.64583333333)</f>
        <v>44168.64583</v>
      </c>
      <c r="B884" s="1">
        <f>IFERROR(__xludf.DUMMYFUNCTION("""COMPUTED_VALUE"""),17600.0)</f>
        <v>17600</v>
      </c>
      <c r="C884" s="1">
        <f>IFERROR(__xludf.DUMMYFUNCTION("""COMPUTED_VALUE"""),17700.0)</f>
        <v>17700</v>
      </c>
      <c r="D884" s="1">
        <f>IFERROR(__xludf.DUMMYFUNCTION("""COMPUTED_VALUE"""),17300.0)</f>
        <v>17300</v>
      </c>
      <c r="E884" s="1">
        <f>IFERROR(__xludf.DUMMYFUNCTION("""COMPUTED_VALUE"""),17350.0)</f>
        <v>17350</v>
      </c>
      <c r="F884" s="1">
        <f>IFERROR(__xludf.DUMMYFUNCTION("""COMPUTED_VALUE"""),142125.0)</f>
        <v>142125</v>
      </c>
    </row>
    <row r="885">
      <c r="A885" s="2">
        <f>IFERROR(__xludf.DUMMYFUNCTION("""COMPUTED_VALUE"""),44169.64583333333)</f>
        <v>44169.64583</v>
      </c>
      <c r="B885" s="1">
        <f>IFERROR(__xludf.DUMMYFUNCTION("""COMPUTED_VALUE"""),17350.0)</f>
        <v>17350</v>
      </c>
      <c r="C885" s="1">
        <f>IFERROR(__xludf.DUMMYFUNCTION("""COMPUTED_VALUE"""),17400.0)</f>
        <v>17400</v>
      </c>
      <c r="D885" s="1">
        <f>IFERROR(__xludf.DUMMYFUNCTION("""COMPUTED_VALUE"""),16900.0)</f>
        <v>16900</v>
      </c>
      <c r="E885" s="1">
        <f>IFERROR(__xludf.DUMMYFUNCTION("""COMPUTED_VALUE"""),16950.0)</f>
        <v>16950</v>
      </c>
      <c r="F885" s="1">
        <f>IFERROR(__xludf.DUMMYFUNCTION("""COMPUTED_VALUE"""),224054.0)</f>
        <v>224054</v>
      </c>
    </row>
    <row r="886">
      <c r="A886" s="2">
        <f>IFERROR(__xludf.DUMMYFUNCTION("""COMPUTED_VALUE"""),44172.64583333333)</f>
        <v>44172.64583</v>
      </c>
      <c r="B886" s="1">
        <f>IFERROR(__xludf.DUMMYFUNCTION("""COMPUTED_VALUE"""),16950.0)</f>
        <v>16950</v>
      </c>
      <c r="C886" s="1">
        <f>IFERROR(__xludf.DUMMYFUNCTION("""COMPUTED_VALUE"""),17300.0)</f>
        <v>17300</v>
      </c>
      <c r="D886" s="1">
        <f>IFERROR(__xludf.DUMMYFUNCTION("""COMPUTED_VALUE"""),16850.0)</f>
        <v>16850</v>
      </c>
      <c r="E886" s="1">
        <f>IFERROR(__xludf.DUMMYFUNCTION("""COMPUTED_VALUE"""),17100.0)</f>
        <v>17100</v>
      </c>
      <c r="F886" s="1">
        <f>IFERROR(__xludf.DUMMYFUNCTION("""COMPUTED_VALUE"""),92781.0)</f>
        <v>92781</v>
      </c>
    </row>
    <row r="887">
      <c r="A887" s="2">
        <f>IFERROR(__xludf.DUMMYFUNCTION("""COMPUTED_VALUE"""),44173.64583333333)</f>
        <v>44173.64583</v>
      </c>
      <c r="B887" s="1">
        <f>IFERROR(__xludf.DUMMYFUNCTION("""COMPUTED_VALUE"""),17100.0)</f>
        <v>17100</v>
      </c>
      <c r="C887" s="1">
        <f>IFERROR(__xludf.DUMMYFUNCTION("""COMPUTED_VALUE"""),17350.0)</f>
        <v>17350</v>
      </c>
      <c r="D887" s="1">
        <f>IFERROR(__xludf.DUMMYFUNCTION("""COMPUTED_VALUE"""),16750.0)</f>
        <v>16750</v>
      </c>
      <c r="E887" s="1">
        <f>IFERROR(__xludf.DUMMYFUNCTION("""COMPUTED_VALUE"""),16850.0)</f>
        <v>16850</v>
      </c>
      <c r="F887" s="1">
        <f>IFERROR(__xludf.DUMMYFUNCTION("""COMPUTED_VALUE"""),135580.0)</f>
        <v>135580</v>
      </c>
    </row>
    <row r="888">
      <c r="A888" s="2">
        <f>IFERROR(__xludf.DUMMYFUNCTION("""COMPUTED_VALUE"""),44174.64583333333)</f>
        <v>44174.64583</v>
      </c>
      <c r="B888" s="1">
        <f>IFERROR(__xludf.DUMMYFUNCTION("""COMPUTED_VALUE"""),16850.0)</f>
        <v>16850</v>
      </c>
      <c r="C888" s="1">
        <f>IFERROR(__xludf.DUMMYFUNCTION("""COMPUTED_VALUE"""),17250.0)</f>
        <v>17250</v>
      </c>
      <c r="D888" s="1">
        <f>IFERROR(__xludf.DUMMYFUNCTION("""COMPUTED_VALUE"""),16800.0)</f>
        <v>16800</v>
      </c>
      <c r="E888" s="1">
        <f>IFERROR(__xludf.DUMMYFUNCTION("""COMPUTED_VALUE"""),17100.0)</f>
        <v>17100</v>
      </c>
      <c r="F888" s="1">
        <f>IFERROR(__xludf.DUMMYFUNCTION("""COMPUTED_VALUE"""),128248.0)</f>
        <v>128248</v>
      </c>
    </row>
    <row r="889">
      <c r="A889" s="2">
        <f>IFERROR(__xludf.DUMMYFUNCTION("""COMPUTED_VALUE"""),44175.64583333333)</f>
        <v>44175.64583</v>
      </c>
      <c r="B889" s="1">
        <f>IFERROR(__xludf.DUMMYFUNCTION("""COMPUTED_VALUE"""),16900.0)</f>
        <v>16900</v>
      </c>
      <c r="C889" s="1">
        <f>IFERROR(__xludf.DUMMYFUNCTION("""COMPUTED_VALUE"""),17150.0)</f>
        <v>17150</v>
      </c>
      <c r="D889" s="1">
        <f>IFERROR(__xludf.DUMMYFUNCTION("""COMPUTED_VALUE"""),16850.0)</f>
        <v>16850</v>
      </c>
      <c r="E889" s="1">
        <f>IFERROR(__xludf.DUMMYFUNCTION("""COMPUTED_VALUE"""),17000.0)</f>
        <v>17000</v>
      </c>
      <c r="F889" s="1">
        <f>IFERROR(__xludf.DUMMYFUNCTION("""COMPUTED_VALUE"""),78345.0)</f>
        <v>78345</v>
      </c>
    </row>
    <row r="890">
      <c r="A890" s="2">
        <f>IFERROR(__xludf.DUMMYFUNCTION("""COMPUTED_VALUE"""),44176.64583333333)</f>
        <v>44176.64583</v>
      </c>
      <c r="B890" s="1">
        <f>IFERROR(__xludf.DUMMYFUNCTION("""COMPUTED_VALUE"""),17150.0)</f>
        <v>17150</v>
      </c>
      <c r="C890" s="1">
        <f>IFERROR(__xludf.DUMMYFUNCTION("""COMPUTED_VALUE"""),17600.0)</f>
        <v>17600</v>
      </c>
      <c r="D890" s="1">
        <f>IFERROR(__xludf.DUMMYFUNCTION("""COMPUTED_VALUE"""),17100.0)</f>
        <v>17100</v>
      </c>
      <c r="E890" s="1">
        <f>IFERROR(__xludf.DUMMYFUNCTION("""COMPUTED_VALUE"""),17400.0)</f>
        <v>17400</v>
      </c>
      <c r="F890" s="1">
        <f>IFERROR(__xludf.DUMMYFUNCTION("""COMPUTED_VALUE"""),170084.0)</f>
        <v>170084</v>
      </c>
    </row>
    <row r="891">
      <c r="A891" s="2">
        <f>IFERROR(__xludf.DUMMYFUNCTION("""COMPUTED_VALUE"""),44179.64583333333)</f>
        <v>44179.64583</v>
      </c>
      <c r="B891" s="1">
        <f>IFERROR(__xludf.DUMMYFUNCTION("""COMPUTED_VALUE"""),17400.0)</f>
        <v>17400</v>
      </c>
      <c r="C891" s="1">
        <f>IFERROR(__xludf.DUMMYFUNCTION("""COMPUTED_VALUE"""),17400.0)</f>
        <v>17400</v>
      </c>
      <c r="D891" s="1">
        <f>IFERROR(__xludf.DUMMYFUNCTION("""COMPUTED_VALUE"""),16850.0)</f>
        <v>16850</v>
      </c>
      <c r="E891" s="1">
        <f>IFERROR(__xludf.DUMMYFUNCTION("""COMPUTED_VALUE"""),16900.0)</f>
        <v>16900</v>
      </c>
      <c r="F891" s="1">
        <f>IFERROR(__xludf.DUMMYFUNCTION("""COMPUTED_VALUE"""),141935.0)</f>
        <v>141935</v>
      </c>
    </row>
    <row r="892">
      <c r="A892" s="2">
        <f>IFERROR(__xludf.DUMMYFUNCTION("""COMPUTED_VALUE"""),44180.64583333333)</f>
        <v>44180.64583</v>
      </c>
      <c r="B892" s="1">
        <f>IFERROR(__xludf.DUMMYFUNCTION("""COMPUTED_VALUE"""),16900.0)</f>
        <v>16900</v>
      </c>
      <c r="C892" s="1">
        <f>IFERROR(__xludf.DUMMYFUNCTION("""COMPUTED_VALUE"""),17600.0)</f>
        <v>17600</v>
      </c>
      <c r="D892" s="1">
        <f>IFERROR(__xludf.DUMMYFUNCTION("""COMPUTED_VALUE"""),16750.0)</f>
        <v>16750</v>
      </c>
      <c r="E892" s="1">
        <f>IFERROR(__xludf.DUMMYFUNCTION("""COMPUTED_VALUE"""),17450.0)</f>
        <v>17450</v>
      </c>
      <c r="F892" s="1">
        <f>IFERROR(__xludf.DUMMYFUNCTION("""COMPUTED_VALUE"""),203837.0)</f>
        <v>203837</v>
      </c>
    </row>
    <row r="893">
      <c r="A893" s="2">
        <f>IFERROR(__xludf.DUMMYFUNCTION("""COMPUTED_VALUE"""),44181.64583333333)</f>
        <v>44181.64583</v>
      </c>
      <c r="B893" s="1">
        <f>IFERROR(__xludf.DUMMYFUNCTION("""COMPUTED_VALUE"""),17650.0)</f>
        <v>17650</v>
      </c>
      <c r="C893" s="1">
        <f>IFERROR(__xludf.DUMMYFUNCTION("""COMPUTED_VALUE"""),19250.0)</f>
        <v>19250</v>
      </c>
      <c r="D893" s="1">
        <f>IFERROR(__xludf.DUMMYFUNCTION("""COMPUTED_VALUE"""),17450.0)</f>
        <v>17450</v>
      </c>
      <c r="E893" s="1">
        <f>IFERROR(__xludf.DUMMYFUNCTION("""COMPUTED_VALUE"""),19200.0)</f>
        <v>19200</v>
      </c>
      <c r="F893" s="1">
        <f>IFERROR(__xludf.DUMMYFUNCTION("""COMPUTED_VALUE"""),989245.0)</f>
        <v>989245</v>
      </c>
    </row>
    <row r="894">
      <c r="A894" s="2">
        <f>IFERROR(__xludf.DUMMYFUNCTION("""COMPUTED_VALUE"""),44182.64583333333)</f>
        <v>44182.64583</v>
      </c>
      <c r="B894" s="1">
        <f>IFERROR(__xludf.DUMMYFUNCTION("""COMPUTED_VALUE"""),19200.0)</f>
        <v>19200</v>
      </c>
      <c r="C894" s="1">
        <f>IFERROR(__xludf.DUMMYFUNCTION("""COMPUTED_VALUE"""),19850.0)</f>
        <v>19850</v>
      </c>
      <c r="D894" s="1">
        <f>IFERROR(__xludf.DUMMYFUNCTION("""COMPUTED_VALUE"""),19100.0)</f>
        <v>19100</v>
      </c>
      <c r="E894" s="1">
        <f>IFERROR(__xludf.DUMMYFUNCTION("""COMPUTED_VALUE"""),19600.0)</f>
        <v>19600</v>
      </c>
      <c r="F894" s="1">
        <f>IFERROR(__xludf.DUMMYFUNCTION("""COMPUTED_VALUE"""),570074.0)</f>
        <v>570074</v>
      </c>
    </row>
    <row r="895">
      <c r="A895" s="2">
        <f>IFERROR(__xludf.DUMMYFUNCTION("""COMPUTED_VALUE"""),44183.64583333333)</f>
        <v>44183.64583</v>
      </c>
      <c r="B895" s="1">
        <f>IFERROR(__xludf.DUMMYFUNCTION("""COMPUTED_VALUE"""),19700.0)</f>
        <v>19700</v>
      </c>
      <c r="C895" s="1">
        <f>IFERROR(__xludf.DUMMYFUNCTION("""COMPUTED_VALUE"""),19700.0)</f>
        <v>19700</v>
      </c>
      <c r="D895" s="1">
        <f>IFERROR(__xludf.DUMMYFUNCTION("""COMPUTED_VALUE"""),18900.0)</f>
        <v>18900</v>
      </c>
      <c r="E895" s="1">
        <f>IFERROR(__xludf.DUMMYFUNCTION("""COMPUTED_VALUE"""),19050.0)</f>
        <v>19050</v>
      </c>
      <c r="F895" s="1">
        <f>IFERROR(__xludf.DUMMYFUNCTION("""COMPUTED_VALUE"""),266367.0)</f>
        <v>266367</v>
      </c>
    </row>
    <row r="896">
      <c r="A896" s="2">
        <f>IFERROR(__xludf.DUMMYFUNCTION("""COMPUTED_VALUE"""),44186.64583333333)</f>
        <v>44186.64583</v>
      </c>
      <c r="B896" s="1">
        <f>IFERROR(__xludf.DUMMYFUNCTION("""COMPUTED_VALUE"""),19350.0)</f>
        <v>19350</v>
      </c>
      <c r="C896" s="1">
        <f>IFERROR(__xludf.DUMMYFUNCTION("""COMPUTED_VALUE"""),19350.0)</f>
        <v>19350</v>
      </c>
      <c r="D896" s="1">
        <f>IFERROR(__xludf.DUMMYFUNCTION("""COMPUTED_VALUE"""),18500.0)</f>
        <v>18500</v>
      </c>
      <c r="E896" s="1">
        <f>IFERROR(__xludf.DUMMYFUNCTION("""COMPUTED_VALUE"""),19100.0)</f>
        <v>19100</v>
      </c>
      <c r="F896" s="1">
        <f>IFERROR(__xludf.DUMMYFUNCTION("""COMPUTED_VALUE"""),215771.0)</f>
        <v>215771</v>
      </c>
    </row>
    <row r="897">
      <c r="A897" s="2">
        <f>IFERROR(__xludf.DUMMYFUNCTION("""COMPUTED_VALUE"""),44187.64583333333)</f>
        <v>44187.64583</v>
      </c>
      <c r="B897" s="1">
        <f>IFERROR(__xludf.DUMMYFUNCTION("""COMPUTED_VALUE"""),19100.0)</f>
        <v>19100</v>
      </c>
      <c r="C897" s="1">
        <f>IFERROR(__xludf.DUMMYFUNCTION("""COMPUTED_VALUE"""),19200.0)</f>
        <v>19200</v>
      </c>
      <c r="D897" s="1">
        <f>IFERROR(__xludf.DUMMYFUNCTION("""COMPUTED_VALUE"""),17950.0)</f>
        <v>17950</v>
      </c>
      <c r="E897" s="1">
        <f>IFERROR(__xludf.DUMMYFUNCTION("""COMPUTED_VALUE"""),18300.0)</f>
        <v>18300</v>
      </c>
      <c r="F897" s="1">
        <f>IFERROR(__xludf.DUMMYFUNCTION("""COMPUTED_VALUE"""),249194.0)</f>
        <v>249194</v>
      </c>
    </row>
    <row r="898">
      <c r="A898" s="2">
        <f>IFERROR(__xludf.DUMMYFUNCTION("""COMPUTED_VALUE"""),44188.64583333333)</f>
        <v>44188.64583</v>
      </c>
      <c r="B898" s="1">
        <f>IFERROR(__xludf.DUMMYFUNCTION("""COMPUTED_VALUE"""),18350.0)</f>
        <v>18350</v>
      </c>
      <c r="C898" s="1">
        <f>IFERROR(__xludf.DUMMYFUNCTION("""COMPUTED_VALUE"""),18500.0)</f>
        <v>18500</v>
      </c>
      <c r="D898" s="1">
        <f>IFERROR(__xludf.DUMMYFUNCTION("""COMPUTED_VALUE"""),17700.0)</f>
        <v>17700</v>
      </c>
      <c r="E898" s="1">
        <f>IFERROR(__xludf.DUMMYFUNCTION("""COMPUTED_VALUE"""),18200.0)</f>
        <v>18200</v>
      </c>
      <c r="F898" s="1">
        <f>IFERROR(__xludf.DUMMYFUNCTION("""COMPUTED_VALUE"""),192665.0)</f>
        <v>192665</v>
      </c>
    </row>
    <row r="899">
      <c r="A899" s="2">
        <f>IFERROR(__xludf.DUMMYFUNCTION("""COMPUTED_VALUE"""),44189.64583333333)</f>
        <v>44189.64583</v>
      </c>
      <c r="B899" s="1">
        <f>IFERROR(__xludf.DUMMYFUNCTION("""COMPUTED_VALUE"""),18400.0)</f>
        <v>18400</v>
      </c>
      <c r="C899" s="1">
        <f>IFERROR(__xludf.DUMMYFUNCTION("""COMPUTED_VALUE"""),18400.0)</f>
        <v>18400</v>
      </c>
      <c r="D899" s="1">
        <f>IFERROR(__xludf.DUMMYFUNCTION("""COMPUTED_VALUE"""),18000.0)</f>
        <v>18000</v>
      </c>
      <c r="E899" s="1">
        <f>IFERROR(__xludf.DUMMYFUNCTION("""COMPUTED_VALUE"""),18150.0)</f>
        <v>18150</v>
      </c>
      <c r="F899" s="1">
        <f>IFERROR(__xludf.DUMMYFUNCTION("""COMPUTED_VALUE"""),146635.0)</f>
        <v>146635</v>
      </c>
    </row>
    <row r="900">
      <c r="A900" s="2">
        <f>IFERROR(__xludf.DUMMYFUNCTION("""COMPUTED_VALUE"""),44193.64583333333)</f>
        <v>44193.64583</v>
      </c>
      <c r="B900" s="1">
        <f>IFERROR(__xludf.DUMMYFUNCTION("""COMPUTED_VALUE"""),18150.0)</f>
        <v>18150</v>
      </c>
      <c r="C900" s="1">
        <f>IFERROR(__xludf.DUMMYFUNCTION("""COMPUTED_VALUE"""),18650.0)</f>
        <v>18650</v>
      </c>
      <c r="D900" s="1">
        <f>IFERROR(__xludf.DUMMYFUNCTION("""COMPUTED_VALUE"""),17950.0)</f>
        <v>17950</v>
      </c>
      <c r="E900" s="1">
        <f>IFERROR(__xludf.DUMMYFUNCTION("""COMPUTED_VALUE"""),18350.0)</f>
        <v>18350</v>
      </c>
      <c r="F900" s="1">
        <f>IFERROR(__xludf.DUMMYFUNCTION("""COMPUTED_VALUE"""),194890.0)</f>
        <v>194890</v>
      </c>
    </row>
    <row r="901">
      <c r="A901" s="2">
        <f>IFERROR(__xludf.DUMMYFUNCTION("""COMPUTED_VALUE"""),44194.64583333333)</f>
        <v>44194.64583</v>
      </c>
      <c r="B901" s="1">
        <f>IFERROR(__xludf.DUMMYFUNCTION("""COMPUTED_VALUE"""),18800.0)</f>
        <v>18800</v>
      </c>
      <c r="C901" s="1">
        <f>IFERROR(__xludf.DUMMYFUNCTION("""COMPUTED_VALUE"""),19600.0)</f>
        <v>19600</v>
      </c>
      <c r="D901" s="1">
        <f>IFERROR(__xludf.DUMMYFUNCTION("""COMPUTED_VALUE"""),18600.0)</f>
        <v>18600</v>
      </c>
      <c r="E901" s="1">
        <f>IFERROR(__xludf.DUMMYFUNCTION("""COMPUTED_VALUE"""),19550.0)</f>
        <v>19550</v>
      </c>
      <c r="F901" s="1">
        <f>IFERROR(__xludf.DUMMYFUNCTION("""COMPUTED_VALUE"""),376236.0)</f>
        <v>376236</v>
      </c>
    </row>
    <row r="902">
      <c r="A902" s="2">
        <f>IFERROR(__xludf.DUMMYFUNCTION("""COMPUTED_VALUE"""),44195.64583333333)</f>
        <v>44195.64583</v>
      </c>
      <c r="B902" s="1">
        <f>IFERROR(__xludf.DUMMYFUNCTION("""COMPUTED_VALUE"""),19350.0)</f>
        <v>19350</v>
      </c>
      <c r="C902" s="1">
        <f>IFERROR(__xludf.DUMMYFUNCTION("""COMPUTED_VALUE"""),19900.0)</f>
        <v>19900</v>
      </c>
      <c r="D902" s="1">
        <f>IFERROR(__xludf.DUMMYFUNCTION("""COMPUTED_VALUE"""),19200.0)</f>
        <v>19200</v>
      </c>
      <c r="E902" s="1">
        <f>IFERROR(__xludf.DUMMYFUNCTION("""COMPUTED_VALUE"""),19900.0)</f>
        <v>19900</v>
      </c>
      <c r="F902" s="1">
        <f>IFERROR(__xludf.DUMMYFUNCTION("""COMPUTED_VALUE"""),294170.0)</f>
        <v>294170</v>
      </c>
    </row>
    <row r="903">
      <c r="A903" s="2">
        <f>IFERROR(__xludf.DUMMYFUNCTION("""COMPUTED_VALUE"""),44200.64583333333)</f>
        <v>44200.64583</v>
      </c>
      <c r="B903" s="1">
        <f>IFERROR(__xludf.DUMMYFUNCTION("""COMPUTED_VALUE"""),19750.0)</f>
        <v>19750</v>
      </c>
      <c r="C903" s="1">
        <f>IFERROR(__xludf.DUMMYFUNCTION("""COMPUTED_VALUE"""),20300.0)</f>
        <v>20300</v>
      </c>
      <c r="D903" s="1">
        <f>IFERROR(__xludf.DUMMYFUNCTION("""COMPUTED_VALUE"""),19550.0)</f>
        <v>19550</v>
      </c>
      <c r="E903" s="1">
        <f>IFERROR(__xludf.DUMMYFUNCTION("""COMPUTED_VALUE"""),19850.0)</f>
        <v>19850</v>
      </c>
      <c r="F903" s="1">
        <f>IFERROR(__xludf.DUMMYFUNCTION("""COMPUTED_VALUE"""),276440.0)</f>
        <v>276440</v>
      </c>
    </row>
    <row r="904">
      <c r="A904" s="2">
        <f>IFERROR(__xludf.DUMMYFUNCTION("""COMPUTED_VALUE"""),44201.64583333333)</f>
        <v>44201.64583</v>
      </c>
      <c r="B904" s="1">
        <f>IFERROR(__xludf.DUMMYFUNCTION("""COMPUTED_VALUE"""),19600.0)</f>
        <v>19600</v>
      </c>
      <c r="C904" s="1">
        <f>IFERROR(__xludf.DUMMYFUNCTION("""COMPUTED_VALUE"""),19950.0)</f>
        <v>19950</v>
      </c>
      <c r="D904" s="1">
        <f>IFERROR(__xludf.DUMMYFUNCTION("""COMPUTED_VALUE"""),19100.0)</f>
        <v>19100</v>
      </c>
      <c r="E904" s="1">
        <f>IFERROR(__xludf.DUMMYFUNCTION("""COMPUTED_VALUE"""),19600.0)</f>
        <v>19600</v>
      </c>
      <c r="F904" s="1">
        <f>IFERROR(__xludf.DUMMYFUNCTION("""COMPUTED_VALUE"""),275406.0)</f>
        <v>275406</v>
      </c>
    </row>
    <row r="905">
      <c r="A905" s="2">
        <f>IFERROR(__xludf.DUMMYFUNCTION("""COMPUTED_VALUE"""),44202.64583333333)</f>
        <v>44202.64583</v>
      </c>
      <c r="B905" s="1">
        <f>IFERROR(__xludf.DUMMYFUNCTION("""COMPUTED_VALUE"""),19800.0)</f>
        <v>19800</v>
      </c>
      <c r="C905" s="1">
        <f>IFERROR(__xludf.DUMMYFUNCTION("""COMPUTED_VALUE"""),20000.0)</f>
        <v>20000</v>
      </c>
      <c r="D905" s="1">
        <f>IFERROR(__xludf.DUMMYFUNCTION("""COMPUTED_VALUE"""),18600.0)</f>
        <v>18600</v>
      </c>
      <c r="E905" s="1">
        <f>IFERROR(__xludf.DUMMYFUNCTION("""COMPUTED_VALUE"""),19000.0)</f>
        <v>19000</v>
      </c>
      <c r="F905" s="1">
        <f>IFERROR(__xludf.DUMMYFUNCTION("""COMPUTED_VALUE"""),408056.0)</f>
        <v>408056</v>
      </c>
    </row>
    <row r="906">
      <c r="A906" s="2">
        <f>IFERROR(__xludf.DUMMYFUNCTION("""COMPUTED_VALUE"""),44203.64583333333)</f>
        <v>44203.64583</v>
      </c>
      <c r="B906" s="1">
        <f>IFERROR(__xludf.DUMMYFUNCTION("""COMPUTED_VALUE"""),19050.0)</f>
        <v>19050</v>
      </c>
      <c r="C906" s="1">
        <f>IFERROR(__xludf.DUMMYFUNCTION("""COMPUTED_VALUE"""),19550.0)</f>
        <v>19550</v>
      </c>
      <c r="D906" s="1">
        <f>IFERROR(__xludf.DUMMYFUNCTION("""COMPUTED_VALUE"""),18800.0)</f>
        <v>18800</v>
      </c>
      <c r="E906" s="1">
        <f>IFERROR(__xludf.DUMMYFUNCTION("""COMPUTED_VALUE"""),19550.0)</f>
        <v>19550</v>
      </c>
      <c r="F906" s="1">
        <f>IFERROR(__xludf.DUMMYFUNCTION("""COMPUTED_VALUE"""),237327.0)</f>
        <v>237327</v>
      </c>
    </row>
    <row r="907">
      <c r="A907" s="2">
        <f>IFERROR(__xludf.DUMMYFUNCTION("""COMPUTED_VALUE"""),44204.64583333333)</f>
        <v>44204.64583</v>
      </c>
      <c r="B907" s="1">
        <f>IFERROR(__xludf.DUMMYFUNCTION("""COMPUTED_VALUE"""),19550.0)</f>
        <v>19550</v>
      </c>
      <c r="C907" s="1">
        <f>IFERROR(__xludf.DUMMYFUNCTION("""COMPUTED_VALUE"""),19700.0)</f>
        <v>19700</v>
      </c>
      <c r="D907" s="1">
        <f>IFERROR(__xludf.DUMMYFUNCTION("""COMPUTED_VALUE"""),19050.0)</f>
        <v>19050</v>
      </c>
      <c r="E907" s="1">
        <f>IFERROR(__xludf.DUMMYFUNCTION("""COMPUTED_VALUE"""),19500.0)</f>
        <v>19500</v>
      </c>
      <c r="F907" s="1">
        <f>IFERROR(__xludf.DUMMYFUNCTION("""COMPUTED_VALUE"""),428689.0)</f>
        <v>428689</v>
      </c>
    </row>
    <row r="908">
      <c r="A908" s="2">
        <f>IFERROR(__xludf.DUMMYFUNCTION("""COMPUTED_VALUE"""),44207.64583333333)</f>
        <v>44207.64583</v>
      </c>
      <c r="B908" s="1">
        <f>IFERROR(__xludf.DUMMYFUNCTION("""COMPUTED_VALUE"""),19500.0)</f>
        <v>19500</v>
      </c>
      <c r="C908" s="1">
        <f>IFERROR(__xludf.DUMMYFUNCTION("""COMPUTED_VALUE"""),19700.0)</f>
        <v>19700</v>
      </c>
      <c r="D908" s="1">
        <f>IFERROR(__xludf.DUMMYFUNCTION("""COMPUTED_VALUE"""),18800.0)</f>
        <v>18800</v>
      </c>
      <c r="E908" s="1">
        <f>IFERROR(__xludf.DUMMYFUNCTION("""COMPUTED_VALUE"""),19150.0)</f>
        <v>19150</v>
      </c>
      <c r="F908" s="1">
        <f>IFERROR(__xludf.DUMMYFUNCTION("""COMPUTED_VALUE"""),271337.0)</f>
        <v>271337</v>
      </c>
    </row>
    <row r="909">
      <c r="A909" s="2">
        <f>IFERROR(__xludf.DUMMYFUNCTION("""COMPUTED_VALUE"""),44208.64583333333)</f>
        <v>44208.64583</v>
      </c>
      <c r="B909" s="1">
        <f>IFERROR(__xludf.DUMMYFUNCTION("""COMPUTED_VALUE"""),19000.0)</f>
        <v>19000</v>
      </c>
      <c r="C909" s="1">
        <f>IFERROR(__xludf.DUMMYFUNCTION("""COMPUTED_VALUE"""),19250.0)</f>
        <v>19250</v>
      </c>
      <c r="D909" s="1">
        <f>IFERROR(__xludf.DUMMYFUNCTION("""COMPUTED_VALUE"""),18650.0)</f>
        <v>18650</v>
      </c>
      <c r="E909" s="1">
        <f>IFERROR(__xludf.DUMMYFUNCTION("""COMPUTED_VALUE"""),19100.0)</f>
        <v>19100</v>
      </c>
      <c r="F909" s="1">
        <f>IFERROR(__xludf.DUMMYFUNCTION("""COMPUTED_VALUE"""),214360.0)</f>
        <v>214360</v>
      </c>
    </row>
    <row r="910">
      <c r="A910" s="2">
        <f>IFERROR(__xludf.DUMMYFUNCTION("""COMPUTED_VALUE"""),44209.64583333333)</f>
        <v>44209.64583</v>
      </c>
      <c r="B910" s="1">
        <f>IFERROR(__xludf.DUMMYFUNCTION("""COMPUTED_VALUE"""),19350.0)</f>
        <v>19350</v>
      </c>
      <c r="C910" s="1">
        <f>IFERROR(__xludf.DUMMYFUNCTION("""COMPUTED_VALUE"""),19350.0)</f>
        <v>19350</v>
      </c>
      <c r="D910" s="1">
        <f>IFERROR(__xludf.DUMMYFUNCTION("""COMPUTED_VALUE"""),18650.0)</f>
        <v>18650</v>
      </c>
      <c r="E910" s="1">
        <f>IFERROR(__xludf.DUMMYFUNCTION("""COMPUTED_VALUE"""),19200.0)</f>
        <v>19200</v>
      </c>
      <c r="F910" s="1">
        <f>IFERROR(__xludf.DUMMYFUNCTION("""COMPUTED_VALUE"""),198531.0)</f>
        <v>198531</v>
      </c>
    </row>
    <row r="911">
      <c r="A911" s="2">
        <f>IFERROR(__xludf.DUMMYFUNCTION("""COMPUTED_VALUE"""),44210.64583333333)</f>
        <v>44210.64583</v>
      </c>
      <c r="B911" s="1">
        <f>IFERROR(__xludf.DUMMYFUNCTION("""COMPUTED_VALUE"""),19000.0)</f>
        <v>19000</v>
      </c>
      <c r="C911" s="1">
        <f>IFERROR(__xludf.DUMMYFUNCTION("""COMPUTED_VALUE"""),19500.0)</f>
        <v>19500</v>
      </c>
      <c r="D911" s="1">
        <f>IFERROR(__xludf.DUMMYFUNCTION("""COMPUTED_VALUE"""),18850.0)</f>
        <v>18850</v>
      </c>
      <c r="E911" s="1">
        <f>IFERROR(__xludf.DUMMYFUNCTION("""COMPUTED_VALUE"""),19200.0)</f>
        <v>19200</v>
      </c>
      <c r="F911" s="1">
        <f>IFERROR(__xludf.DUMMYFUNCTION("""COMPUTED_VALUE"""),181636.0)</f>
        <v>181636</v>
      </c>
    </row>
    <row r="912">
      <c r="A912" s="2">
        <f>IFERROR(__xludf.DUMMYFUNCTION("""COMPUTED_VALUE"""),44211.64583333333)</f>
        <v>44211.64583</v>
      </c>
      <c r="B912" s="1">
        <f>IFERROR(__xludf.DUMMYFUNCTION("""COMPUTED_VALUE"""),19350.0)</f>
        <v>19350</v>
      </c>
      <c r="C912" s="1">
        <f>IFERROR(__xludf.DUMMYFUNCTION("""COMPUTED_VALUE"""),19350.0)</f>
        <v>19350</v>
      </c>
      <c r="D912" s="1">
        <f>IFERROR(__xludf.DUMMYFUNCTION("""COMPUTED_VALUE"""),18700.0)</f>
        <v>18700</v>
      </c>
      <c r="E912" s="1">
        <f>IFERROR(__xludf.DUMMYFUNCTION("""COMPUTED_VALUE"""),18750.0)</f>
        <v>18750</v>
      </c>
      <c r="F912" s="1">
        <f>IFERROR(__xludf.DUMMYFUNCTION("""COMPUTED_VALUE"""),168052.0)</f>
        <v>168052</v>
      </c>
    </row>
    <row r="913">
      <c r="A913" s="2">
        <f>IFERROR(__xludf.DUMMYFUNCTION("""COMPUTED_VALUE"""),44214.64583333333)</f>
        <v>44214.64583</v>
      </c>
      <c r="B913" s="1">
        <f>IFERROR(__xludf.DUMMYFUNCTION("""COMPUTED_VALUE"""),18600.0)</f>
        <v>18600</v>
      </c>
      <c r="C913" s="1">
        <f>IFERROR(__xludf.DUMMYFUNCTION("""COMPUTED_VALUE"""),18600.0)</f>
        <v>18600</v>
      </c>
      <c r="D913" s="1">
        <f>IFERROR(__xludf.DUMMYFUNCTION("""COMPUTED_VALUE"""),17950.0)</f>
        <v>17950</v>
      </c>
      <c r="E913" s="1">
        <f>IFERROR(__xludf.DUMMYFUNCTION("""COMPUTED_VALUE"""),17950.0)</f>
        <v>17950</v>
      </c>
      <c r="F913" s="1">
        <f>IFERROR(__xludf.DUMMYFUNCTION("""COMPUTED_VALUE"""),279651.0)</f>
        <v>279651</v>
      </c>
    </row>
    <row r="914">
      <c r="A914" s="2">
        <f>IFERROR(__xludf.DUMMYFUNCTION("""COMPUTED_VALUE"""),44215.64583333333)</f>
        <v>44215.64583</v>
      </c>
      <c r="B914" s="1">
        <f>IFERROR(__xludf.DUMMYFUNCTION("""COMPUTED_VALUE"""),17950.0)</f>
        <v>17950</v>
      </c>
      <c r="C914" s="1">
        <f>IFERROR(__xludf.DUMMYFUNCTION("""COMPUTED_VALUE"""),18700.0)</f>
        <v>18700</v>
      </c>
      <c r="D914" s="1">
        <f>IFERROR(__xludf.DUMMYFUNCTION("""COMPUTED_VALUE"""),17750.0)</f>
        <v>17750</v>
      </c>
      <c r="E914" s="1">
        <f>IFERROR(__xludf.DUMMYFUNCTION("""COMPUTED_VALUE"""),18700.0)</f>
        <v>18700</v>
      </c>
      <c r="F914" s="1">
        <f>IFERROR(__xludf.DUMMYFUNCTION("""COMPUTED_VALUE"""),165763.0)</f>
        <v>165763</v>
      </c>
    </row>
    <row r="915">
      <c r="A915" s="2">
        <f>IFERROR(__xludf.DUMMYFUNCTION("""COMPUTED_VALUE"""),44216.64583333333)</f>
        <v>44216.64583</v>
      </c>
      <c r="B915" s="1">
        <f>IFERROR(__xludf.DUMMYFUNCTION("""COMPUTED_VALUE"""),18700.0)</f>
        <v>18700</v>
      </c>
      <c r="C915" s="1">
        <f>IFERROR(__xludf.DUMMYFUNCTION("""COMPUTED_VALUE"""),19650.0)</f>
        <v>19650</v>
      </c>
      <c r="D915" s="1">
        <f>IFERROR(__xludf.DUMMYFUNCTION("""COMPUTED_VALUE"""),18700.0)</f>
        <v>18700</v>
      </c>
      <c r="E915" s="1">
        <f>IFERROR(__xludf.DUMMYFUNCTION("""COMPUTED_VALUE"""),19500.0)</f>
        <v>19500</v>
      </c>
      <c r="F915" s="1">
        <f>IFERROR(__xludf.DUMMYFUNCTION("""COMPUTED_VALUE"""),339577.0)</f>
        <v>339577</v>
      </c>
    </row>
    <row r="916">
      <c r="A916" s="2">
        <f>IFERROR(__xludf.DUMMYFUNCTION("""COMPUTED_VALUE"""),44217.64583333333)</f>
        <v>44217.64583</v>
      </c>
      <c r="B916" s="1">
        <f>IFERROR(__xludf.DUMMYFUNCTION("""COMPUTED_VALUE"""),23050.0)</f>
        <v>23050</v>
      </c>
      <c r="C916" s="1">
        <f>IFERROR(__xludf.DUMMYFUNCTION("""COMPUTED_VALUE"""),25350.0)</f>
        <v>25350</v>
      </c>
      <c r="D916" s="1">
        <f>IFERROR(__xludf.DUMMYFUNCTION("""COMPUTED_VALUE"""),21750.0)</f>
        <v>21750</v>
      </c>
      <c r="E916" s="1">
        <f>IFERROR(__xludf.DUMMYFUNCTION("""COMPUTED_VALUE"""),25350.0)</f>
        <v>25350</v>
      </c>
      <c r="F916" s="1">
        <f>IFERROR(__xludf.DUMMYFUNCTION("""COMPUTED_VALUE"""),2642389.0)</f>
        <v>2642389</v>
      </c>
    </row>
    <row r="917">
      <c r="A917" s="2">
        <f>IFERROR(__xludf.DUMMYFUNCTION("""COMPUTED_VALUE"""),44218.64583333333)</f>
        <v>44218.64583</v>
      </c>
      <c r="B917" s="1">
        <f>IFERROR(__xludf.DUMMYFUNCTION("""COMPUTED_VALUE"""),24600.0)</f>
        <v>24600</v>
      </c>
      <c r="C917" s="1">
        <f>IFERROR(__xludf.DUMMYFUNCTION("""COMPUTED_VALUE"""),24950.0)</f>
        <v>24950</v>
      </c>
      <c r="D917" s="1">
        <f>IFERROR(__xludf.DUMMYFUNCTION("""COMPUTED_VALUE"""),21300.0)</f>
        <v>21300</v>
      </c>
      <c r="E917" s="1">
        <f>IFERROR(__xludf.DUMMYFUNCTION("""COMPUTED_VALUE"""),21300.0)</f>
        <v>21300</v>
      </c>
      <c r="F917" s="1">
        <f>IFERROR(__xludf.DUMMYFUNCTION("""COMPUTED_VALUE"""),3342833.0)</f>
        <v>3342833</v>
      </c>
    </row>
    <row r="918">
      <c r="A918" s="2">
        <f>IFERROR(__xludf.DUMMYFUNCTION("""COMPUTED_VALUE"""),44221.64583333333)</f>
        <v>44221.64583</v>
      </c>
      <c r="B918" s="1">
        <f>IFERROR(__xludf.DUMMYFUNCTION("""COMPUTED_VALUE"""),21350.0)</f>
        <v>21350</v>
      </c>
      <c r="C918" s="1">
        <f>IFERROR(__xludf.DUMMYFUNCTION("""COMPUTED_VALUE"""),22650.0)</f>
        <v>22650</v>
      </c>
      <c r="D918" s="1">
        <f>IFERROR(__xludf.DUMMYFUNCTION("""COMPUTED_VALUE"""),21300.0)</f>
        <v>21300</v>
      </c>
      <c r="E918" s="1">
        <f>IFERROR(__xludf.DUMMYFUNCTION("""COMPUTED_VALUE"""),22050.0)</f>
        <v>22050</v>
      </c>
      <c r="F918" s="1">
        <f>IFERROR(__xludf.DUMMYFUNCTION("""COMPUTED_VALUE"""),925940.0)</f>
        <v>925940</v>
      </c>
    </row>
    <row r="919">
      <c r="A919" s="2">
        <f>IFERROR(__xludf.DUMMYFUNCTION("""COMPUTED_VALUE"""),44222.64583333333)</f>
        <v>44222.64583</v>
      </c>
      <c r="B919" s="1">
        <f>IFERROR(__xludf.DUMMYFUNCTION("""COMPUTED_VALUE"""),21900.0)</f>
        <v>21900</v>
      </c>
      <c r="C919" s="1">
        <f>IFERROR(__xludf.DUMMYFUNCTION("""COMPUTED_VALUE"""),23000.0)</f>
        <v>23000</v>
      </c>
      <c r="D919" s="1">
        <f>IFERROR(__xludf.DUMMYFUNCTION("""COMPUTED_VALUE"""),21850.0)</f>
        <v>21850</v>
      </c>
      <c r="E919" s="1">
        <f>IFERROR(__xludf.DUMMYFUNCTION("""COMPUTED_VALUE"""),21900.0)</f>
        <v>21900</v>
      </c>
      <c r="F919" s="1">
        <f>IFERROR(__xludf.DUMMYFUNCTION("""COMPUTED_VALUE"""),1109451.0)</f>
        <v>1109451</v>
      </c>
    </row>
    <row r="920">
      <c r="A920" s="2">
        <f>IFERROR(__xludf.DUMMYFUNCTION("""COMPUTED_VALUE"""),44223.64583333333)</f>
        <v>44223.64583</v>
      </c>
      <c r="B920" s="1">
        <f>IFERROR(__xludf.DUMMYFUNCTION("""COMPUTED_VALUE"""),22200.0)</f>
        <v>22200</v>
      </c>
      <c r="C920" s="1">
        <f>IFERROR(__xludf.DUMMYFUNCTION("""COMPUTED_VALUE"""),22900.0)</f>
        <v>22900</v>
      </c>
      <c r="D920" s="1">
        <f>IFERROR(__xludf.DUMMYFUNCTION("""COMPUTED_VALUE"""),21750.0)</f>
        <v>21750</v>
      </c>
      <c r="E920" s="1">
        <f>IFERROR(__xludf.DUMMYFUNCTION("""COMPUTED_VALUE"""),21950.0)</f>
        <v>21950</v>
      </c>
      <c r="F920" s="1">
        <f>IFERROR(__xludf.DUMMYFUNCTION("""COMPUTED_VALUE"""),384922.0)</f>
        <v>384922</v>
      </c>
    </row>
    <row r="921">
      <c r="A921" s="2">
        <f>IFERROR(__xludf.DUMMYFUNCTION("""COMPUTED_VALUE"""),44224.64583333333)</f>
        <v>44224.64583</v>
      </c>
      <c r="B921" s="1">
        <f>IFERROR(__xludf.DUMMYFUNCTION("""COMPUTED_VALUE"""),21300.0)</f>
        <v>21300</v>
      </c>
      <c r="C921" s="1">
        <f>IFERROR(__xludf.DUMMYFUNCTION("""COMPUTED_VALUE"""),21450.0)</f>
        <v>21450</v>
      </c>
      <c r="D921" s="1">
        <f>IFERROR(__xludf.DUMMYFUNCTION("""COMPUTED_VALUE"""),20550.0)</f>
        <v>20550</v>
      </c>
      <c r="E921" s="1">
        <f>IFERROR(__xludf.DUMMYFUNCTION("""COMPUTED_VALUE"""),21000.0)</f>
        <v>21000</v>
      </c>
      <c r="F921" s="1">
        <f>IFERROR(__xludf.DUMMYFUNCTION("""COMPUTED_VALUE"""),332316.0)</f>
        <v>332316</v>
      </c>
    </row>
    <row r="922">
      <c r="A922" s="2">
        <f>IFERROR(__xludf.DUMMYFUNCTION("""COMPUTED_VALUE"""),44225.64583333333)</f>
        <v>44225.64583</v>
      </c>
      <c r="B922" s="1">
        <f>IFERROR(__xludf.DUMMYFUNCTION("""COMPUTED_VALUE"""),21400.0)</f>
        <v>21400</v>
      </c>
      <c r="C922" s="1">
        <f>IFERROR(__xludf.DUMMYFUNCTION("""COMPUTED_VALUE"""),21450.0)</f>
        <v>21450</v>
      </c>
      <c r="D922" s="1">
        <f>IFERROR(__xludf.DUMMYFUNCTION("""COMPUTED_VALUE"""),19400.0)</f>
        <v>19400</v>
      </c>
      <c r="E922" s="1">
        <f>IFERROR(__xludf.DUMMYFUNCTION("""COMPUTED_VALUE"""),20100.0)</f>
        <v>20100</v>
      </c>
      <c r="F922" s="1">
        <f>IFERROR(__xludf.DUMMYFUNCTION("""COMPUTED_VALUE"""),253857.0)</f>
        <v>253857</v>
      </c>
    </row>
    <row r="923">
      <c r="A923" s="2">
        <f>IFERROR(__xludf.DUMMYFUNCTION("""COMPUTED_VALUE"""),44228.64583333333)</f>
        <v>44228.64583</v>
      </c>
      <c r="B923" s="1">
        <f>IFERROR(__xludf.DUMMYFUNCTION("""COMPUTED_VALUE"""),19650.0)</f>
        <v>19650</v>
      </c>
      <c r="C923" s="1">
        <f>IFERROR(__xludf.DUMMYFUNCTION("""COMPUTED_VALUE"""),20600.0)</f>
        <v>20600</v>
      </c>
      <c r="D923" s="1">
        <f>IFERROR(__xludf.DUMMYFUNCTION("""COMPUTED_VALUE"""),19350.0)</f>
        <v>19350</v>
      </c>
      <c r="E923" s="1">
        <f>IFERROR(__xludf.DUMMYFUNCTION("""COMPUTED_VALUE"""),20600.0)</f>
        <v>20600</v>
      </c>
      <c r="F923" s="1">
        <f>IFERROR(__xludf.DUMMYFUNCTION("""COMPUTED_VALUE"""),190014.0)</f>
        <v>190014</v>
      </c>
    </row>
    <row r="924">
      <c r="A924" s="2">
        <f>IFERROR(__xludf.DUMMYFUNCTION("""COMPUTED_VALUE"""),44229.64583333333)</f>
        <v>44229.64583</v>
      </c>
      <c r="B924" s="1">
        <f>IFERROR(__xludf.DUMMYFUNCTION("""COMPUTED_VALUE"""),20700.0)</f>
        <v>20700</v>
      </c>
      <c r="C924" s="1">
        <f>IFERROR(__xludf.DUMMYFUNCTION("""COMPUTED_VALUE"""),21050.0)</f>
        <v>21050</v>
      </c>
      <c r="D924" s="1">
        <f>IFERROR(__xludf.DUMMYFUNCTION("""COMPUTED_VALUE"""),20150.0)</f>
        <v>20150</v>
      </c>
      <c r="E924" s="1">
        <f>IFERROR(__xludf.DUMMYFUNCTION("""COMPUTED_VALUE"""),20600.0)</f>
        <v>20600</v>
      </c>
      <c r="F924" s="1">
        <f>IFERROR(__xludf.DUMMYFUNCTION("""COMPUTED_VALUE"""),227441.0)</f>
        <v>227441</v>
      </c>
    </row>
    <row r="925">
      <c r="A925" s="2">
        <f>IFERROR(__xludf.DUMMYFUNCTION("""COMPUTED_VALUE"""),44230.64583333333)</f>
        <v>44230.64583</v>
      </c>
      <c r="B925" s="1">
        <f>IFERROR(__xludf.DUMMYFUNCTION("""COMPUTED_VALUE"""),20800.0)</f>
        <v>20800</v>
      </c>
      <c r="C925" s="1">
        <f>IFERROR(__xludf.DUMMYFUNCTION("""COMPUTED_VALUE"""),20800.0)</f>
        <v>20800</v>
      </c>
      <c r="D925" s="1">
        <f>IFERROR(__xludf.DUMMYFUNCTION("""COMPUTED_VALUE"""),20100.0)</f>
        <v>20100</v>
      </c>
      <c r="E925" s="1">
        <f>IFERROR(__xludf.DUMMYFUNCTION("""COMPUTED_VALUE"""),20800.0)</f>
        <v>20800</v>
      </c>
      <c r="F925" s="1">
        <f>IFERROR(__xludf.DUMMYFUNCTION("""COMPUTED_VALUE"""),242290.0)</f>
        <v>242290</v>
      </c>
    </row>
    <row r="926">
      <c r="A926" s="2">
        <f>IFERROR(__xludf.DUMMYFUNCTION("""COMPUTED_VALUE"""),44231.64583333333)</f>
        <v>44231.64583</v>
      </c>
      <c r="B926" s="1">
        <f>IFERROR(__xludf.DUMMYFUNCTION("""COMPUTED_VALUE"""),20700.0)</f>
        <v>20700</v>
      </c>
      <c r="C926" s="1">
        <f>IFERROR(__xludf.DUMMYFUNCTION("""COMPUTED_VALUE"""),21300.0)</f>
        <v>21300</v>
      </c>
      <c r="D926" s="1">
        <f>IFERROR(__xludf.DUMMYFUNCTION("""COMPUTED_VALUE"""),20300.0)</f>
        <v>20300</v>
      </c>
      <c r="E926" s="1">
        <f>IFERROR(__xludf.DUMMYFUNCTION("""COMPUTED_VALUE"""),21000.0)</f>
        <v>21000</v>
      </c>
      <c r="F926" s="1">
        <f>IFERROR(__xludf.DUMMYFUNCTION("""COMPUTED_VALUE"""),227525.0)</f>
        <v>227525</v>
      </c>
    </row>
    <row r="927">
      <c r="A927" s="2">
        <f>IFERROR(__xludf.DUMMYFUNCTION("""COMPUTED_VALUE"""),44232.64583333333)</f>
        <v>44232.64583</v>
      </c>
      <c r="B927" s="1">
        <f>IFERROR(__xludf.DUMMYFUNCTION("""COMPUTED_VALUE"""),21150.0)</f>
        <v>21150</v>
      </c>
      <c r="C927" s="1">
        <f>IFERROR(__xludf.DUMMYFUNCTION("""COMPUTED_VALUE"""),21600.0)</f>
        <v>21600</v>
      </c>
      <c r="D927" s="1">
        <f>IFERROR(__xludf.DUMMYFUNCTION("""COMPUTED_VALUE"""),20850.0)</f>
        <v>20850</v>
      </c>
      <c r="E927" s="1">
        <f>IFERROR(__xludf.DUMMYFUNCTION("""COMPUTED_VALUE"""),21350.0)</f>
        <v>21350</v>
      </c>
      <c r="F927" s="1">
        <f>IFERROR(__xludf.DUMMYFUNCTION("""COMPUTED_VALUE"""),194474.0)</f>
        <v>194474</v>
      </c>
    </row>
    <row r="928">
      <c r="A928" s="2">
        <f>IFERROR(__xludf.DUMMYFUNCTION("""COMPUTED_VALUE"""),44235.64583333333)</f>
        <v>44235.64583</v>
      </c>
      <c r="B928" s="1">
        <f>IFERROR(__xludf.DUMMYFUNCTION("""COMPUTED_VALUE"""),21250.0)</f>
        <v>21250</v>
      </c>
      <c r="C928" s="1">
        <f>IFERROR(__xludf.DUMMYFUNCTION("""COMPUTED_VALUE"""),21350.0)</f>
        <v>21350</v>
      </c>
      <c r="D928" s="1">
        <f>IFERROR(__xludf.DUMMYFUNCTION("""COMPUTED_VALUE"""),20650.0)</f>
        <v>20650</v>
      </c>
      <c r="E928" s="1">
        <f>IFERROR(__xludf.DUMMYFUNCTION("""COMPUTED_VALUE"""),20850.0)</f>
        <v>20850</v>
      </c>
      <c r="F928" s="1">
        <f>IFERROR(__xludf.DUMMYFUNCTION("""COMPUTED_VALUE"""),124765.0)</f>
        <v>124765</v>
      </c>
    </row>
    <row r="929">
      <c r="A929" s="2">
        <f>IFERROR(__xludf.DUMMYFUNCTION("""COMPUTED_VALUE"""),44236.64583333333)</f>
        <v>44236.64583</v>
      </c>
      <c r="B929" s="1">
        <f>IFERROR(__xludf.DUMMYFUNCTION("""COMPUTED_VALUE"""),20950.0)</f>
        <v>20950</v>
      </c>
      <c r="C929" s="1">
        <f>IFERROR(__xludf.DUMMYFUNCTION("""COMPUTED_VALUE"""),21850.0)</f>
        <v>21850</v>
      </c>
      <c r="D929" s="1">
        <f>IFERROR(__xludf.DUMMYFUNCTION("""COMPUTED_VALUE"""),20650.0)</f>
        <v>20650</v>
      </c>
      <c r="E929" s="1">
        <f>IFERROR(__xludf.DUMMYFUNCTION("""COMPUTED_VALUE"""),21800.0)</f>
        <v>21800</v>
      </c>
      <c r="F929" s="1">
        <f>IFERROR(__xludf.DUMMYFUNCTION("""COMPUTED_VALUE"""),224712.0)</f>
        <v>224712</v>
      </c>
    </row>
    <row r="930">
      <c r="A930" s="2">
        <f>IFERROR(__xludf.DUMMYFUNCTION("""COMPUTED_VALUE"""),44237.64583333333)</f>
        <v>44237.64583</v>
      </c>
      <c r="B930" s="1">
        <f>IFERROR(__xludf.DUMMYFUNCTION("""COMPUTED_VALUE"""),21700.0)</f>
        <v>21700</v>
      </c>
      <c r="C930" s="1">
        <f>IFERROR(__xludf.DUMMYFUNCTION("""COMPUTED_VALUE"""),21800.0)</f>
        <v>21800</v>
      </c>
      <c r="D930" s="1">
        <f>IFERROR(__xludf.DUMMYFUNCTION("""COMPUTED_VALUE"""),21100.0)</f>
        <v>21100</v>
      </c>
      <c r="E930" s="1">
        <f>IFERROR(__xludf.DUMMYFUNCTION("""COMPUTED_VALUE"""),21800.0)</f>
        <v>21800</v>
      </c>
      <c r="F930" s="1">
        <f>IFERROR(__xludf.DUMMYFUNCTION("""COMPUTED_VALUE"""),161471.0)</f>
        <v>161471</v>
      </c>
    </row>
    <row r="931">
      <c r="A931" s="2">
        <f>IFERROR(__xludf.DUMMYFUNCTION("""COMPUTED_VALUE"""),44242.64583333333)</f>
        <v>44242.64583</v>
      </c>
      <c r="B931" s="1">
        <f>IFERROR(__xludf.DUMMYFUNCTION("""COMPUTED_VALUE"""),21800.0)</f>
        <v>21800</v>
      </c>
      <c r="C931" s="1">
        <f>IFERROR(__xludf.DUMMYFUNCTION("""COMPUTED_VALUE"""),22200.0)</f>
        <v>22200</v>
      </c>
      <c r="D931" s="1">
        <f>IFERROR(__xludf.DUMMYFUNCTION("""COMPUTED_VALUE"""),21450.0)</f>
        <v>21450</v>
      </c>
      <c r="E931" s="1">
        <f>IFERROR(__xludf.DUMMYFUNCTION("""COMPUTED_VALUE"""),22100.0)</f>
        <v>22100</v>
      </c>
      <c r="F931" s="1">
        <f>IFERROR(__xludf.DUMMYFUNCTION("""COMPUTED_VALUE"""),192977.0)</f>
        <v>192977</v>
      </c>
    </row>
    <row r="932">
      <c r="A932" s="2">
        <f>IFERROR(__xludf.DUMMYFUNCTION("""COMPUTED_VALUE"""),44243.64583333333)</f>
        <v>44243.64583</v>
      </c>
      <c r="B932" s="1">
        <f>IFERROR(__xludf.DUMMYFUNCTION("""COMPUTED_VALUE"""),22100.0)</f>
        <v>22100</v>
      </c>
      <c r="C932" s="1">
        <f>IFERROR(__xludf.DUMMYFUNCTION("""COMPUTED_VALUE"""),22350.0)</f>
        <v>22350</v>
      </c>
      <c r="D932" s="1">
        <f>IFERROR(__xludf.DUMMYFUNCTION("""COMPUTED_VALUE"""),21700.0)</f>
        <v>21700</v>
      </c>
      <c r="E932" s="1">
        <f>IFERROR(__xludf.DUMMYFUNCTION("""COMPUTED_VALUE"""),22050.0)</f>
        <v>22050</v>
      </c>
      <c r="F932" s="1">
        <f>IFERROR(__xludf.DUMMYFUNCTION("""COMPUTED_VALUE"""),173016.0)</f>
        <v>173016</v>
      </c>
    </row>
    <row r="933">
      <c r="A933" s="2">
        <f>IFERROR(__xludf.DUMMYFUNCTION("""COMPUTED_VALUE"""),44244.64583333333)</f>
        <v>44244.64583</v>
      </c>
      <c r="B933" s="1">
        <f>IFERROR(__xludf.DUMMYFUNCTION("""COMPUTED_VALUE"""),22000.0)</f>
        <v>22000</v>
      </c>
      <c r="C933" s="1">
        <f>IFERROR(__xludf.DUMMYFUNCTION("""COMPUTED_VALUE"""),22000.0)</f>
        <v>22000</v>
      </c>
      <c r="D933" s="1">
        <f>IFERROR(__xludf.DUMMYFUNCTION("""COMPUTED_VALUE"""),21450.0)</f>
        <v>21450</v>
      </c>
      <c r="E933" s="1">
        <f>IFERROR(__xludf.DUMMYFUNCTION("""COMPUTED_VALUE"""),21850.0)</f>
        <v>21850</v>
      </c>
      <c r="F933" s="1">
        <f>IFERROR(__xludf.DUMMYFUNCTION("""COMPUTED_VALUE"""),222132.0)</f>
        <v>222132</v>
      </c>
    </row>
    <row r="934">
      <c r="A934" s="2">
        <f>IFERROR(__xludf.DUMMYFUNCTION("""COMPUTED_VALUE"""),44245.64583333333)</f>
        <v>44245.64583</v>
      </c>
      <c r="B934" s="1">
        <f>IFERROR(__xludf.DUMMYFUNCTION("""COMPUTED_VALUE"""),21850.0)</f>
        <v>21850</v>
      </c>
      <c r="C934" s="1">
        <f>IFERROR(__xludf.DUMMYFUNCTION("""COMPUTED_VALUE"""),21900.0)</f>
        <v>21900</v>
      </c>
      <c r="D934" s="1">
        <f>IFERROR(__xludf.DUMMYFUNCTION("""COMPUTED_VALUE"""),21400.0)</f>
        <v>21400</v>
      </c>
      <c r="E934" s="1">
        <f>IFERROR(__xludf.DUMMYFUNCTION("""COMPUTED_VALUE"""),21500.0)</f>
        <v>21500</v>
      </c>
      <c r="F934" s="1">
        <f>IFERROR(__xludf.DUMMYFUNCTION("""COMPUTED_VALUE"""),99479.0)</f>
        <v>99479</v>
      </c>
    </row>
    <row r="935">
      <c r="A935" s="2">
        <f>IFERROR(__xludf.DUMMYFUNCTION("""COMPUTED_VALUE"""),44246.64583333333)</f>
        <v>44246.64583</v>
      </c>
      <c r="B935" s="1">
        <f>IFERROR(__xludf.DUMMYFUNCTION("""COMPUTED_VALUE"""),21400.0)</f>
        <v>21400</v>
      </c>
      <c r="C935" s="1">
        <f>IFERROR(__xludf.DUMMYFUNCTION("""COMPUTED_VALUE"""),21500.0)</f>
        <v>21500</v>
      </c>
      <c r="D935" s="1">
        <f>IFERROR(__xludf.DUMMYFUNCTION("""COMPUTED_VALUE"""),20550.0)</f>
        <v>20550</v>
      </c>
      <c r="E935" s="1">
        <f>IFERROR(__xludf.DUMMYFUNCTION("""COMPUTED_VALUE"""),21250.0)</f>
        <v>21250</v>
      </c>
      <c r="F935" s="1">
        <f>IFERROR(__xludf.DUMMYFUNCTION("""COMPUTED_VALUE"""),157443.0)</f>
        <v>157443</v>
      </c>
    </row>
    <row r="936">
      <c r="A936" s="2">
        <f>IFERROR(__xludf.DUMMYFUNCTION("""COMPUTED_VALUE"""),44249.64583333333)</f>
        <v>44249.64583</v>
      </c>
      <c r="B936" s="1">
        <f>IFERROR(__xludf.DUMMYFUNCTION("""COMPUTED_VALUE"""),21100.0)</f>
        <v>21100</v>
      </c>
      <c r="C936" s="1">
        <f>IFERROR(__xludf.DUMMYFUNCTION("""COMPUTED_VALUE"""),21500.0)</f>
        <v>21500</v>
      </c>
      <c r="D936" s="1">
        <f>IFERROR(__xludf.DUMMYFUNCTION("""COMPUTED_VALUE"""),20500.0)</f>
        <v>20500</v>
      </c>
      <c r="E936" s="1">
        <f>IFERROR(__xludf.DUMMYFUNCTION("""COMPUTED_VALUE"""),20500.0)</f>
        <v>20500</v>
      </c>
      <c r="F936" s="1">
        <f>IFERROR(__xludf.DUMMYFUNCTION("""COMPUTED_VALUE"""),84892.0)</f>
        <v>84892</v>
      </c>
    </row>
    <row r="937">
      <c r="A937" s="2">
        <f>IFERROR(__xludf.DUMMYFUNCTION("""COMPUTED_VALUE"""),44250.64583333333)</f>
        <v>44250.64583</v>
      </c>
      <c r="B937" s="1">
        <f>IFERROR(__xludf.DUMMYFUNCTION("""COMPUTED_VALUE"""),20300.0)</f>
        <v>20300</v>
      </c>
      <c r="C937" s="1">
        <f>IFERROR(__xludf.DUMMYFUNCTION("""COMPUTED_VALUE"""),20350.0)</f>
        <v>20350</v>
      </c>
      <c r="D937" s="1">
        <f>IFERROR(__xludf.DUMMYFUNCTION("""COMPUTED_VALUE"""),19850.0)</f>
        <v>19850</v>
      </c>
      <c r="E937" s="1">
        <f>IFERROR(__xludf.DUMMYFUNCTION("""COMPUTED_VALUE"""),20250.0)</f>
        <v>20250</v>
      </c>
      <c r="F937" s="1">
        <f>IFERROR(__xludf.DUMMYFUNCTION("""COMPUTED_VALUE"""),111666.0)</f>
        <v>111666</v>
      </c>
    </row>
    <row r="938">
      <c r="A938" s="2">
        <f>IFERROR(__xludf.DUMMYFUNCTION("""COMPUTED_VALUE"""),44251.64583333333)</f>
        <v>44251.64583</v>
      </c>
      <c r="B938" s="1">
        <f>IFERROR(__xludf.DUMMYFUNCTION("""COMPUTED_VALUE"""),20050.0)</f>
        <v>20050</v>
      </c>
      <c r="C938" s="1">
        <f>IFERROR(__xludf.DUMMYFUNCTION("""COMPUTED_VALUE"""),20150.0)</f>
        <v>20150</v>
      </c>
      <c r="D938" s="1">
        <f>IFERROR(__xludf.DUMMYFUNCTION("""COMPUTED_VALUE"""),19000.0)</f>
        <v>19000</v>
      </c>
      <c r="E938" s="1">
        <f>IFERROR(__xludf.DUMMYFUNCTION("""COMPUTED_VALUE"""),19250.0)</f>
        <v>19250</v>
      </c>
      <c r="F938" s="1">
        <f>IFERROR(__xludf.DUMMYFUNCTION("""COMPUTED_VALUE"""),135454.0)</f>
        <v>135454</v>
      </c>
    </row>
    <row r="939">
      <c r="A939" s="2">
        <f>IFERROR(__xludf.DUMMYFUNCTION("""COMPUTED_VALUE"""),44252.64583333333)</f>
        <v>44252.64583</v>
      </c>
      <c r="B939" s="1">
        <f>IFERROR(__xludf.DUMMYFUNCTION("""COMPUTED_VALUE"""),19700.0)</f>
        <v>19700</v>
      </c>
      <c r="C939" s="1">
        <f>IFERROR(__xludf.DUMMYFUNCTION("""COMPUTED_VALUE"""),20100.0)</f>
        <v>20100</v>
      </c>
      <c r="D939" s="1">
        <f>IFERROR(__xludf.DUMMYFUNCTION("""COMPUTED_VALUE"""),19350.0)</f>
        <v>19350</v>
      </c>
      <c r="E939" s="1">
        <f>IFERROR(__xludf.DUMMYFUNCTION("""COMPUTED_VALUE"""),20100.0)</f>
        <v>20100</v>
      </c>
      <c r="F939" s="1">
        <f>IFERROR(__xludf.DUMMYFUNCTION("""COMPUTED_VALUE"""),74075.0)</f>
        <v>74075</v>
      </c>
    </row>
    <row r="940">
      <c r="A940" s="2">
        <f>IFERROR(__xludf.DUMMYFUNCTION("""COMPUTED_VALUE"""),44253.64583333333)</f>
        <v>44253.64583</v>
      </c>
      <c r="B940" s="1">
        <f>IFERROR(__xludf.DUMMYFUNCTION("""COMPUTED_VALUE"""),19300.0)</f>
        <v>19300</v>
      </c>
      <c r="C940" s="1">
        <f>IFERROR(__xludf.DUMMYFUNCTION("""COMPUTED_VALUE"""),19700.0)</f>
        <v>19700</v>
      </c>
      <c r="D940" s="1">
        <f>IFERROR(__xludf.DUMMYFUNCTION("""COMPUTED_VALUE"""),18850.0)</f>
        <v>18850</v>
      </c>
      <c r="E940" s="1">
        <f>IFERROR(__xludf.DUMMYFUNCTION("""COMPUTED_VALUE"""),19500.0)</f>
        <v>19500</v>
      </c>
      <c r="F940" s="1">
        <f>IFERROR(__xludf.DUMMYFUNCTION("""COMPUTED_VALUE"""),166556.0)</f>
        <v>166556</v>
      </c>
    </row>
    <row r="941">
      <c r="A941" s="2">
        <f>IFERROR(__xludf.DUMMYFUNCTION("""COMPUTED_VALUE"""),44257.64583333333)</f>
        <v>44257.64583</v>
      </c>
      <c r="B941" s="1">
        <f>IFERROR(__xludf.DUMMYFUNCTION("""COMPUTED_VALUE"""),19600.0)</f>
        <v>19600</v>
      </c>
      <c r="C941" s="1">
        <f>IFERROR(__xludf.DUMMYFUNCTION("""COMPUTED_VALUE"""),19850.0)</f>
        <v>19850</v>
      </c>
      <c r="D941" s="1">
        <f>IFERROR(__xludf.DUMMYFUNCTION("""COMPUTED_VALUE"""),18700.0)</f>
        <v>18700</v>
      </c>
      <c r="E941" s="1">
        <f>IFERROR(__xludf.DUMMYFUNCTION("""COMPUTED_VALUE"""),19000.0)</f>
        <v>19000</v>
      </c>
      <c r="F941" s="1">
        <f>IFERROR(__xludf.DUMMYFUNCTION("""COMPUTED_VALUE"""),104975.0)</f>
        <v>104975</v>
      </c>
    </row>
    <row r="942">
      <c r="A942" s="2">
        <f>IFERROR(__xludf.DUMMYFUNCTION("""COMPUTED_VALUE"""),44258.64583333333)</f>
        <v>44258.64583</v>
      </c>
      <c r="B942" s="1">
        <f>IFERROR(__xludf.DUMMYFUNCTION("""COMPUTED_VALUE"""),18700.0)</f>
        <v>18700</v>
      </c>
      <c r="C942" s="1">
        <f>IFERROR(__xludf.DUMMYFUNCTION("""COMPUTED_VALUE"""),19050.0)</f>
        <v>19050</v>
      </c>
      <c r="D942" s="1">
        <f>IFERROR(__xludf.DUMMYFUNCTION("""COMPUTED_VALUE"""),18500.0)</f>
        <v>18500</v>
      </c>
      <c r="E942" s="1">
        <f>IFERROR(__xludf.DUMMYFUNCTION("""COMPUTED_VALUE"""),18950.0)</f>
        <v>18950</v>
      </c>
      <c r="F942" s="1">
        <f>IFERROR(__xludf.DUMMYFUNCTION("""COMPUTED_VALUE"""),144751.0)</f>
        <v>144751</v>
      </c>
    </row>
    <row r="943">
      <c r="A943" s="2">
        <f>IFERROR(__xludf.DUMMYFUNCTION("""COMPUTED_VALUE"""),44259.64583333333)</f>
        <v>44259.64583</v>
      </c>
      <c r="B943" s="1">
        <f>IFERROR(__xludf.DUMMYFUNCTION("""COMPUTED_VALUE"""),18750.0)</f>
        <v>18750</v>
      </c>
      <c r="C943" s="1">
        <f>IFERROR(__xludf.DUMMYFUNCTION("""COMPUTED_VALUE"""),19000.0)</f>
        <v>19000</v>
      </c>
      <c r="D943" s="1">
        <f>IFERROR(__xludf.DUMMYFUNCTION("""COMPUTED_VALUE"""),18400.0)</f>
        <v>18400</v>
      </c>
      <c r="E943" s="1">
        <f>IFERROR(__xludf.DUMMYFUNCTION("""COMPUTED_VALUE"""),18950.0)</f>
        <v>18950</v>
      </c>
      <c r="F943" s="1">
        <f>IFERROR(__xludf.DUMMYFUNCTION("""COMPUTED_VALUE"""),95878.0)</f>
        <v>95878</v>
      </c>
    </row>
    <row r="944">
      <c r="A944" s="2">
        <f>IFERROR(__xludf.DUMMYFUNCTION("""COMPUTED_VALUE"""),44260.64583333333)</f>
        <v>44260.64583</v>
      </c>
      <c r="B944" s="1">
        <f>IFERROR(__xludf.DUMMYFUNCTION("""COMPUTED_VALUE"""),18450.0)</f>
        <v>18450</v>
      </c>
      <c r="C944" s="1">
        <f>IFERROR(__xludf.DUMMYFUNCTION("""COMPUTED_VALUE"""),19450.0)</f>
        <v>19450</v>
      </c>
      <c r="D944" s="1">
        <f>IFERROR(__xludf.DUMMYFUNCTION("""COMPUTED_VALUE"""),18450.0)</f>
        <v>18450</v>
      </c>
      <c r="E944" s="1">
        <f>IFERROR(__xludf.DUMMYFUNCTION("""COMPUTED_VALUE"""),19300.0)</f>
        <v>19300</v>
      </c>
      <c r="F944" s="1">
        <f>IFERROR(__xludf.DUMMYFUNCTION("""COMPUTED_VALUE"""),74028.0)</f>
        <v>74028</v>
      </c>
    </row>
    <row r="945">
      <c r="A945" s="2">
        <f>IFERROR(__xludf.DUMMYFUNCTION("""COMPUTED_VALUE"""),44263.64583333333)</f>
        <v>44263.64583</v>
      </c>
      <c r="B945" s="1">
        <f>IFERROR(__xludf.DUMMYFUNCTION("""COMPUTED_VALUE"""),19150.0)</f>
        <v>19150</v>
      </c>
      <c r="C945" s="1">
        <f>IFERROR(__xludf.DUMMYFUNCTION("""COMPUTED_VALUE"""),19500.0)</f>
        <v>19500</v>
      </c>
      <c r="D945" s="1">
        <f>IFERROR(__xludf.DUMMYFUNCTION("""COMPUTED_VALUE"""),18800.0)</f>
        <v>18800</v>
      </c>
      <c r="E945" s="1">
        <f>IFERROR(__xludf.DUMMYFUNCTION("""COMPUTED_VALUE"""),18800.0)</f>
        <v>18800</v>
      </c>
      <c r="F945" s="1">
        <f>IFERROR(__xludf.DUMMYFUNCTION("""COMPUTED_VALUE"""),65146.0)</f>
        <v>65146</v>
      </c>
    </row>
    <row r="946">
      <c r="A946" s="2">
        <f>IFERROR(__xludf.DUMMYFUNCTION("""COMPUTED_VALUE"""),44264.64583333333)</f>
        <v>44264.64583</v>
      </c>
      <c r="B946" s="1">
        <f>IFERROR(__xludf.DUMMYFUNCTION("""COMPUTED_VALUE"""),18500.0)</f>
        <v>18500</v>
      </c>
      <c r="C946" s="1">
        <f>IFERROR(__xludf.DUMMYFUNCTION("""COMPUTED_VALUE"""),19000.0)</f>
        <v>19000</v>
      </c>
      <c r="D946" s="1">
        <f>IFERROR(__xludf.DUMMYFUNCTION("""COMPUTED_VALUE"""),18000.0)</f>
        <v>18000</v>
      </c>
      <c r="E946" s="1">
        <f>IFERROR(__xludf.DUMMYFUNCTION("""COMPUTED_VALUE"""),18750.0)</f>
        <v>18750</v>
      </c>
      <c r="F946" s="1">
        <f>IFERROR(__xludf.DUMMYFUNCTION("""COMPUTED_VALUE"""),103784.0)</f>
        <v>103784</v>
      </c>
    </row>
    <row r="947">
      <c r="A947" s="2">
        <f>IFERROR(__xludf.DUMMYFUNCTION("""COMPUTED_VALUE"""),44265.64583333333)</f>
        <v>44265.64583</v>
      </c>
      <c r="B947" s="1">
        <f>IFERROR(__xludf.DUMMYFUNCTION("""COMPUTED_VALUE"""),19000.0)</f>
        <v>19000</v>
      </c>
      <c r="C947" s="1">
        <f>IFERROR(__xludf.DUMMYFUNCTION("""COMPUTED_VALUE"""),19250.0)</f>
        <v>19250</v>
      </c>
      <c r="D947" s="1">
        <f>IFERROR(__xludf.DUMMYFUNCTION("""COMPUTED_VALUE"""),18650.0)</f>
        <v>18650</v>
      </c>
      <c r="E947" s="1">
        <f>IFERROR(__xludf.DUMMYFUNCTION("""COMPUTED_VALUE"""),18650.0)</f>
        <v>18650</v>
      </c>
      <c r="F947" s="1">
        <f>IFERROR(__xludf.DUMMYFUNCTION("""COMPUTED_VALUE"""),50648.0)</f>
        <v>50648</v>
      </c>
    </row>
    <row r="948">
      <c r="A948" s="2">
        <f>IFERROR(__xludf.DUMMYFUNCTION("""COMPUTED_VALUE"""),44266.64583333333)</f>
        <v>44266.64583</v>
      </c>
      <c r="B948" s="1">
        <f>IFERROR(__xludf.DUMMYFUNCTION("""COMPUTED_VALUE"""),18500.0)</f>
        <v>18500</v>
      </c>
      <c r="C948" s="1">
        <f>IFERROR(__xludf.DUMMYFUNCTION("""COMPUTED_VALUE"""),19100.0)</f>
        <v>19100</v>
      </c>
      <c r="D948" s="1">
        <f>IFERROR(__xludf.DUMMYFUNCTION("""COMPUTED_VALUE"""),18500.0)</f>
        <v>18500</v>
      </c>
      <c r="E948" s="1">
        <f>IFERROR(__xludf.DUMMYFUNCTION("""COMPUTED_VALUE"""),19100.0)</f>
        <v>19100</v>
      </c>
      <c r="F948" s="1">
        <f>IFERROR(__xludf.DUMMYFUNCTION("""COMPUTED_VALUE"""),35706.0)</f>
        <v>35706</v>
      </c>
    </row>
    <row r="949">
      <c r="A949" s="2">
        <f>IFERROR(__xludf.DUMMYFUNCTION("""COMPUTED_VALUE"""),44267.64583333333)</f>
        <v>44267.64583</v>
      </c>
      <c r="B949" s="1">
        <f>IFERROR(__xludf.DUMMYFUNCTION("""COMPUTED_VALUE"""),19300.0)</f>
        <v>19300</v>
      </c>
      <c r="C949" s="1">
        <f>IFERROR(__xludf.DUMMYFUNCTION("""COMPUTED_VALUE"""),19300.0)</f>
        <v>19300</v>
      </c>
      <c r="D949" s="1">
        <f>IFERROR(__xludf.DUMMYFUNCTION("""COMPUTED_VALUE"""),19050.0)</f>
        <v>19050</v>
      </c>
      <c r="E949" s="1">
        <f>IFERROR(__xludf.DUMMYFUNCTION("""COMPUTED_VALUE"""),19250.0)</f>
        <v>19250</v>
      </c>
      <c r="F949" s="1">
        <f>IFERROR(__xludf.DUMMYFUNCTION("""COMPUTED_VALUE"""),41849.0)</f>
        <v>41849</v>
      </c>
    </row>
    <row r="950">
      <c r="A950" s="2">
        <f>IFERROR(__xludf.DUMMYFUNCTION("""COMPUTED_VALUE"""),44270.64583333333)</f>
        <v>44270.64583</v>
      </c>
      <c r="B950" s="1">
        <f>IFERROR(__xludf.DUMMYFUNCTION("""COMPUTED_VALUE"""),19250.0)</f>
        <v>19250</v>
      </c>
      <c r="C950" s="1">
        <f>IFERROR(__xludf.DUMMYFUNCTION("""COMPUTED_VALUE"""),19400.0)</f>
        <v>19400</v>
      </c>
      <c r="D950" s="1">
        <f>IFERROR(__xludf.DUMMYFUNCTION("""COMPUTED_VALUE"""),18900.0)</f>
        <v>18900</v>
      </c>
      <c r="E950" s="1">
        <f>IFERROR(__xludf.DUMMYFUNCTION("""COMPUTED_VALUE"""),19350.0)</f>
        <v>19350</v>
      </c>
      <c r="F950" s="1">
        <f>IFERROR(__xludf.DUMMYFUNCTION("""COMPUTED_VALUE"""),77907.0)</f>
        <v>77907</v>
      </c>
    </row>
    <row r="951">
      <c r="A951" s="2">
        <f>IFERROR(__xludf.DUMMYFUNCTION("""COMPUTED_VALUE"""),44271.64583333333)</f>
        <v>44271.64583</v>
      </c>
      <c r="B951" s="1">
        <f>IFERROR(__xludf.DUMMYFUNCTION("""COMPUTED_VALUE"""),19350.0)</f>
        <v>19350</v>
      </c>
      <c r="C951" s="1">
        <f>IFERROR(__xludf.DUMMYFUNCTION("""COMPUTED_VALUE"""),19500.0)</f>
        <v>19500</v>
      </c>
      <c r="D951" s="1">
        <f>IFERROR(__xludf.DUMMYFUNCTION("""COMPUTED_VALUE"""),19150.0)</f>
        <v>19150</v>
      </c>
      <c r="E951" s="1">
        <f>IFERROR(__xludf.DUMMYFUNCTION("""COMPUTED_VALUE"""),19350.0)</f>
        <v>19350</v>
      </c>
      <c r="F951" s="1">
        <f>IFERROR(__xludf.DUMMYFUNCTION("""COMPUTED_VALUE"""),72956.0)</f>
        <v>72956</v>
      </c>
    </row>
    <row r="952">
      <c r="A952" s="2">
        <f>IFERROR(__xludf.DUMMYFUNCTION("""COMPUTED_VALUE"""),44272.64583333333)</f>
        <v>44272.64583</v>
      </c>
      <c r="B952" s="1">
        <f>IFERROR(__xludf.DUMMYFUNCTION("""COMPUTED_VALUE"""),19250.0)</f>
        <v>19250</v>
      </c>
      <c r="C952" s="1">
        <f>IFERROR(__xludf.DUMMYFUNCTION("""COMPUTED_VALUE"""),19250.0)</f>
        <v>19250</v>
      </c>
      <c r="D952" s="1">
        <f>IFERROR(__xludf.DUMMYFUNCTION("""COMPUTED_VALUE"""),18950.0)</f>
        <v>18950</v>
      </c>
      <c r="E952" s="1">
        <f>IFERROR(__xludf.DUMMYFUNCTION("""COMPUTED_VALUE"""),19250.0)</f>
        <v>19250</v>
      </c>
      <c r="F952" s="1">
        <f>IFERROR(__xludf.DUMMYFUNCTION("""COMPUTED_VALUE"""),119924.0)</f>
        <v>119924</v>
      </c>
    </row>
    <row r="953">
      <c r="A953" s="2">
        <f>IFERROR(__xludf.DUMMYFUNCTION("""COMPUTED_VALUE"""),44273.64583333333)</f>
        <v>44273.64583</v>
      </c>
      <c r="B953" s="1">
        <f>IFERROR(__xludf.DUMMYFUNCTION("""COMPUTED_VALUE"""),19150.0)</f>
        <v>19150</v>
      </c>
      <c r="C953" s="1">
        <f>IFERROR(__xludf.DUMMYFUNCTION("""COMPUTED_VALUE"""),19300.0)</f>
        <v>19300</v>
      </c>
      <c r="D953" s="1">
        <f>IFERROR(__xludf.DUMMYFUNCTION("""COMPUTED_VALUE"""),18950.0)</f>
        <v>18950</v>
      </c>
      <c r="E953" s="1">
        <f>IFERROR(__xludf.DUMMYFUNCTION("""COMPUTED_VALUE"""),19100.0)</f>
        <v>19100</v>
      </c>
      <c r="F953" s="1">
        <f>IFERROR(__xludf.DUMMYFUNCTION("""COMPUTED_VALUE"""),100245.0)</f>
        <v>100245</v>
      </c>
    </row>
    <row r="954">
      <c r="A954" s="2">
        <f>IFERROR(__xludf.DUMMYFUNCTION("""COMPUTED_VALUE"""),44274.64583333333)</f>
        <v>44274.64583</v>
      </c>
      <c r="B954" s="1">
        <f>IFERROR(__xludf.DUMMYFUNCTION("""COMPUTED_VALUE"""),19000.0)</f>
        <v>19000</v>
      </c>
      <c r="C954" s="1">
        <f>IFERROR(__xludf.DUMMYFUNCTION("""COMPUTED_VALUE"""),19200.0)</f>
        <v>19200</v>
      </c>
      <c r="D954" s="1">
        <f>IFERROR(__xludf.DUMMYFUNCTION("""COMPUTED_VALUE"""),18850.0)</f>
        <v>18850</v>
      </c>
      <c r="E954" s="1">
        <f>IFERROR(__xludf.DUMMYFUNCTION("""COMPUTED_VALUE"""),19150.0)</f>
        <v>19150</v>
      </c>
      <c r="F954" s="1">
        <f>IFERROR(__xludf.DUMMYFUNCTION("""COMPUTED_VALUE"""),53516.0)</f>
        <v>53516</v>
      </c>
    </row>
    <row r="955">
      <c r="A955" s="2">
        <f>IFERROR(__xludf.DUMMYFUNCTION("""COMPUTED_VALUE"""),44277.64583333333)</f>
        <v>44277.64583</v>
      </c>
      <c r="B955" s="1">
        <f>IFERROR(__xludf.DUMMYFUNCTION("""COMPUTED_VALUE"""),19150.0)</f>
        <v>19150</v>
      </c>
      <c r="C955" s="1">
        <f>IFERROR(__xludf.DUMMYFUNCTION("""COMPUTED_VALUE"""),19950.0)</f>
        <v>19950</v>
      </c>
      <c r="D955" s="1">
        <f>IFERROR(__xludf.DUMMYFUNCTION("""COMPUTED_VALUE"""),19150.0)</f>
        <v>19150</v>
      </c>
      <c r="E955" s="1">
        <f>IFERROR(__xludf.DUMMYFUNCTION("""COMPUTED_VALUE"""),19750.0)</f>
        <v>19750</v>
      </c>
      <c r="F955" s="1">
        <f>IFERROR(__xludf.DUMMYFUNCTION("""COMPUTED_VALUE"""),136618.0)</f>
        <v>136618</v>
      </c>
    </row>
    <row r="956">
      <c r="A956" s="2">
        <f>IFERROR(__xludf.DUMMYFUNCTION("""COMPUTED_VALUE"""),44278.64583333333)</f>
        <v>44278.64583</v>
      </c>
      <c r="B956" s="1">
        <f>IFERROR(__xludf.DUMMYFUNCTION("""COMPUTED_VALUE"""),20100.0)</f>
        <v>20100</v>
      </c>
      <c r="C956" s="1">
        <f>IFERROR(__xludf.DUMMYFUNCTION("""COMPUTED_VALUE"""),20150.0)</f>
        <v>20150</v>
      </c>
      <c r="D956" s="1">
        <f>IFERROR(__xludf.DUMMYFUNCTION("""COMPUTED_VALUE"""),19700.0)</f>
        <v>19700</v>
      </c>
      <c r="E956" s="1">
        <f>IFERROR(__xludf.DUMMYFUNCTION("""COMPUTED_VALUE"""),19800.0)</f>
        <v>19800</v>
      </c>
      <c r="F956" s="1">
        <f>IFERROR(__xludf.DUMMYFUNCTION("""COMPUTED_VALUE"""),137644.0)</f>
        <v>137644</v>
      </c>
    </row>
    <row r="957">
      <c r="A957" s="2">
        <f>IFERROR(__xludf.DUMMYFUNCTION("""COMPUTED_VALUE"""),44279.64583333333)</f>
        <v>44279.64583</v>
      </c>
      <c r="B957" s="1">
        <f>IFERROR(__xludf.DUMMYFUNCTION("""COMPUTED_VALUE"""),19800.0)</f>
        <v>19800</v>
      </c>
      <c r="C957" s="1">
        <f>IFERROR(__xludf.DUMMYFUNCTION("""COMPUTED_VALUE"""),20700.0)</f>
        <v>20700</v>
      </c>
      <c r="D957" s="1">
        <f>IFERROR(__xludf.DUMMYFUNCTION("""COMPUTED_VALUE"""),19500.0)</f>
        <v>19500</v>
      </c>
      <c r="E957" s="1">
        <f>IFERROR(__xludf.DUMMYFUNCTION("""COMPUTED_VALUE"""),20400.0)</f>
        <v>20400</v>
      </c>
      <c r="F957" s="1">
        <f>IFERROR(__xludf.DUMMYFUNCTION("""COMPUTED_VALUE"""),210944.0)</f>
        <v>210944</v>
      </c>
    </row>
    <row r="958">
      <c r="A958" s="2">
        <f>IFERROR(__xludf.DUMMYFUNCTION("""COMPUTED_VALUE"""),44280.64583333333)</f>
        <v>44280.64583</v>
      </c>
      <c r="B958" s="1">
        <f>IFERROR(__xludf.DUMMYFUNCTION("""COMPUTED_VALUE"""),20400.0)</f>
        <v>20400</v>
      </c>
      <c r="C958" s="1">
        <f>IFERROR(__xludf.DUMMYFUNCTION("""COMPUTED_VALUE"""),20500.0)</f>
        <v>20500</v>
      </c>
      <c r="D958" s="1">
        <f>IFERROR(__xludf.DUMMYFUNCTION("""COMPUTED_VALUE"""),20050.0)</f>
        <v>20050</v>
      </c>
      <c r="E958" s="1">
        <f>IFERROR(__xludf.DUMMYFUNCTION("""COMPUTED_VALUE"""),20400.0)</f>
        <v>20400</v>
      </c>
      <c r="F958" s="1">
        <f>IFERROR(__xludf.DUMMYFUNCTION("""COMPUTED_VALUE"""),74268.0)</f>
        <v>74268</v>
      </c>
    </row>
    <row r="959">
      <c r="A959" s="2">
        <f>IFERROR(__xludf.DUMMYFUNCTION("""COMPUTED_VALUE"""),44281.64583333333)</f>
        <v>44281.64583</v>
      </c>
      <c r="B959" s="1">
        <f>IFERROR(__xludf.DUMMYFUNCTION("""COMPUTED_VALUE"""),20600.0)</f>
        <v>20600</v>
      </c>
      <c r="C959" s="1">
        <f>IFERROR(__xludf.DUMMYFUNCTION("""COMPUTED_VALUE"""),20600.0)</f>
        <v>20600</v>
      </c>
      <c r="D959" s="1">
        <f>IFERROR(__xludf.DUMMYFUNCTION("""COMPUTED_VALUE"""),19950.0)</f>
        <v>19950</v>
      </c>
      <c r="E959" s="1">
        <f>IFERROR(__xludf.DUMMYFUNCTION("""COMPUTED_VALUE"""),20300.0)</f>
        <v>20300</v>
      </c>
      <c r="F959" s="1">
        <f>IFERROR(__xludf.DUMMYFUNCTION("""COMPUTED_VALUE"""),60843.0)</f>
        <v>60843</v>
      </c>
    </row>
    <row r="960">
      <c r="A960" s="2">
        <f>IFERROR(__xludf.DUMMYFUNCTION("""COMPUTED_VALUE"""),44284.64583333333)</f>
        <v>44284.64583</v>
      </c>
      <c r="B960" s="1">
        <f>IFERROR(__xludf.DUMMYFUNCTION("""COMPUTED_VALUE"""),20100.0)</f>
        <v>20100</v>
      </c>
      <c r="C960" s="1">
        <f>IFERROR(__xludf.DUMMYFUNCTION("""COMPUTED_VALUE"""),20150.0)</f>
        <v>20150</v>
      </c>
      <c r="D960" s="1">
        <f>IFERROR(__xludf.DUMMYFUNCTION("""COMPUTED_VALUE"""),19800.0)</f>
        <v>19800</v>
      </c>
      <c r="E960" s="1">
        <f>IFERROR(__xludf.DUMMYFUNCTION("""COMPUTED_VALUE"""),19800.0)</f>
        <v>19800</v>
      </c>
      <c r="F960" s="1">
        <f>IFERROR(__xludf.DUMMYFUNCTION("""COMPUTED_VALUE"""),82800.0)</f>
        <v>82800</v>
      </c>
    </row>
    <row r="961">
      <c r="A961" s="2">
        <f>IFERROR(__xludf.DUMMYFUNCTION("""COMPUTED_VALUE"""),44285.64583333333)</f>
        <v>44285.64583</v>
      </c>
      <c r="B961" s="1">
        <f>IFERROR(__xludf.DUMMYFUNCTION("""COMPUTED_VALUE"""),19850.0)</f>
        <v>19850</v>
      </c>
      <c r="C961" s="1">
        <f>IFERROR(__xludf.DUMMYFUNCTION("""COMPUTED_VALUE"""),20450.0)</f>
        <v>20450</v>
      </c>
      <c r="D961" s="1">
        <f>IFERROR(__xludf.DUMMYFUNCTION("""COMPUTED_VALUE"""),19500.0)</f>
        <v>19500</v>
      </c>
      <c r="E961" s="1">
        <f>IFERROR(__xludf.DUMMYFUNCTION("""COMPUTED_VALUE"""),20250.0)</f>
        <v>20250</v>
      </c>
      <c r="F961" s="1">
        <f>IFERROR(__xludf.DUMMYFUNCTION("""COMPUTED_VALUE"""),93605.0)</f>
        <v>93605</v>
      </c>
    </row>
    <row r="962">
      <c r="A962" s="2">
        <f>IFERROR(__xludf.DUMMYFUNCTION("""COMPUTED_VALUE"""),44286.64583333333)</f>
        <v>44286.64583</v>
      </c>
      <c r="B962" s="1">
        <f>IFERROR(__xludf.DUMMYFUNCTION("""COMPUTED_VALUE"""),20450.0)</f>
        <v>20450</v>
      </c>
      <c r="C962" s="1">
        <f>IFERROR(__xludf.DUMMYFUNCTION("""COMPUTED_VALUE"""),20850.0)</f>
        <v>20850</v>
      </c>
      <c r="D962" s="1">
        <f>IFERROR(__xludf.DUMMYFUNCTION("""COMPUTED_VALUE"""),19900.0)</f>
        <v>19900</v>
      </c>
      <c r="E962" s="1">
        <f>IFERROR(__xludf.DUMMYFUNCTION("""COMPUTED_VALUE"""),20450.0)</f>
        <v>20450</v>
      </c>
      <c r="F962" s="1">
        <f>IFERROR(__xludf.DUMMYFUNCTION("""COMPUTED_VALUE"""),200089.0)</f>
        <v>200089</v>
      </c>
    </row>
    <row r="963">
      <c r="A963" s="2">
        <f>IFERROR(__xludf.DUMMYFUNCTION("""COMPUTED_VALUE"""),44287.64583333333)</f>
        <v>44287.64583</v>
      </c>
      <c r="B963" s="1">
        <f>IFERROR(__xludf.DUMMYFUNCTION("""COMPUTED_VALUE"""),20450.0)</f>
        <v>20450</v>
      </c>
      <c r="C963" s="1">
        <f>IFERROR(__xludf.DUMMYFUNCTION("""COMPUTED_VALUE"""),20700.0)</f>
        <v>20700</v>
      </c>
      <c r="D963" s="1">
        <f>IFERROR(__xludf.DUMMYFUNCTION("""COMPUTED_VALUE"""),20000.0)</f>
        <v>20000</v>
      </c>
      <c r="E963" s="1">
        <f>IFERROR(__xludf.DUMMYFUNCTION("""COMPUTED_VALUE"""),20600.0)</f>
        <v>20600</v>
      </c>
      <c r="F963" s="1">
        <f>IFERROR(__xludf.DUMMYFUNCTION("""COMPUTED_VALUE"""),143194.0)</f>
        <v>143194</v>
      </c>
    </row>
    <row r="964">
      <c r="A964" s="2">
        <f>IFERROR(__xludf.DUMMYFUNCTION("""COMPUTED_VALUE"""),44288.64583333333)</f>
        <v>44288.64583</v>
      </c>
      <c r="B964" s="1">
        <f>IFERROR(__xludf.DUMMYFUNCTION("""COMPUTED_VALUE"""),20600.0)</f>
        <v>20600</v>
      </c>
      <c r="C964" s="1">
        <f>IFERROR(__xludf.DUMMYFUNCTION("""COMPUTED_VALUE"""),20950.0)</f>
        <v>20950</v>
      </c>
      <c r="D964" s="1">
        <f>IFERROR(__xludf.DUMMYFUNCTION("""COMPUTED_VALUE"""),20400.0)</f>
        <v>20400</v>
      </c>
      <c r="E964" s="1">
        <f>IFERROR(__xludf.DUMMYFUNCTION("""COMPUTED_VALUE"""),20800.0)</f>
        <v>20800</v>
      </c>
      <c r="F964" s="1">
        <f>IFERROR(__xludf.DUMMYFUNCTION("""COMPUTED_VALUE"""),142591.0)</f>
        <v>142591</v>
      </c>
    </row>
    <row r="965">
      <c r="A965" s="2">
        <f>IFERROR(__xludf.DUMMYFUNCTION("""COMPUTED_VALUE"""),44291.64583333333)</f>
        <v>44291.64583</v>
      </c>
      <c r="B965" s="1">
        <f>IFERROR(__xludf.DUMMYFUNCTION("""COMPUTED_VALUE"""),20800.0)</f>
        <v>20800</v>
      </c>
      <c r="C965" s="1">
        <f>IFERROR(__xludf.DUMMYFUNCTION("""COMPUTED_VALUE"""),21350.0)</f>
        <v>21350</v>
      </c>
      <c r="D965" s="1">
        <f>IFERROR(__xludf.DUMMYFUNCTION("""COMPUTED_VALUE"""),20750.0)</f>
        <v>20750</v>
      </c>
      <c r="E965" s="1">
        <f>IFERROR(__xludf.DUMMYFUNCTION("""COMPUTED_VALUE"""),21300.0)</f>
        <v>21300</v>
      </c>
      <c r="F965" s="1">
        <f>IFERROR(__xludf.DUMMYFUNCTION("""COMPUTED_VALUE"""),158841.0)</f>
        <v>158841</v>
      </c>
    </row>
    <row r="966">
      <c r="A966" s="2">
        <f>IFERROR(__xludf.DUMMYFUNCTION("""COMPUTED_VALUE"""),44292.64583333333)</f>
        <v>44292.64583</v>
      </c>
      <c r="B966" s="1">
        <f>IFERROR(__xludf.DUMMYFUNCTION("""COMPUTED_VALUE"""),21350.0)</f>
        <v>21350</v>
      </c>
      <c r="C966" s="1">
        <f>IFERROR(__xludf.DUMMYFUNCTION("""COMPUTED_VALUE"""),21500.0)</f>
        <v>21500</v>
      </c>
      <c r="D966" s="1">
        <f>IFERROR(__xludf.DUMMYFUNCTION("""COMPUTED_VALUE"""),21150.0)</f>
        <v>21150</v>
      </c>
      <c r="E966" s="1">
        <f>IFERROR(__xludf.DUMMYFUNCTION("""COMPUTED_VALUE"""),21300.0)</f>
        <v>21300</v>
      </c>
      <c r="F966" s="1">
        <f>IFERROR(__xludf.DUMMYFUNCTION("""COMPUTED_VALUE"""),111663.0)</f>
        <v>111663</v>
      </c>
    </row>
    <row r="967">
      <c r="A967" s="2">
        <f>IFERROR(__xludf.DUMMYFUNCTION("""COMPUTED_VALUE"""),44293.64583333333)</f>
        <v>44293.64583</v>
      </c>
      <c r="B967" s="1">
        <f>IFERROR(__xludf.DUMMYFUNCTION("""COMPUTED_VALUE"""),21300.0)</f>
        <v>21300</v>
      </c>
      <c r="C967" s="1">
        <f>IFERROR(__xludf.DUMMYFUNCTION("""COMPUTED_VALUE"""),21650.0)</f>
        <v>21650</v>
      </c>
      <c r="D967" s="1">
        <f>IFERROR(__xludf.DUMMYFUNCTION("""COMPUTED_VALUE"""),21150.0)</f>
        <v>21150</v>
      </c>
      <c r="E967" s="1">
        <f>IFERROR(__xludf.DUMMYFUNCTION("""COMPUTED_VALUE"""),21600.0)</f>
        <v>21600</v>
      </c>
      <c r="F967" s="1">
        <f>IFERROR(__xludf.DUMMYFUNCTION("""COMPUTED_VALUE"""),154752.0)</f>
        <v>154752</v>
      </c>
    </row>
    <row r="968">
      <c r="A968" s="2">
        <f>IFERROR(__xludf.DUMMYFUNCTION("""COMPUTED_VALUE"""),44294.64583333333)</f>
        <v>44294.64583</v>
      </c>
      <c r="B968" s="1">
        <f>IFERROR(__xludf.DUMMYFUNCTION("""COMPUTED_VALUE"""),21600.0)</f>
        <v>21600</v>
      </c>
      <c r="C968" s="1">
        <f>IFERROR(__xludf.DUMMYFUNCTION("""COMPUTED_VALUE"""),21700.0)</f>
        <v>21700</v>
      </c>
      <c r="D968" s="1">
        <f>IFERROR(__xludf.DUMMYFUNCTION("""COMPUTED_VALUE"""),21300.0)</f>
        <v>21300</v>
      </c>
      <c r="E968" s="1">
        <f>IFERROR(__xludf.DUMMYFUNCTION("""COMPUTED_VALUE"""),21550.0)</f>
        <v>21550</v>
      </c>
      <c r="F968" s="1">
        <f>IFERROR(__xludf.DUMMYFUNCTION("""COMPUTED_VALUE"""),88056.0)</f>
        <v>88056</v>
      </c>
    </row>
    <row r="969">
      <c r="A969" s="2">
        <f>IFERROR(__xludf.DUMMYFUNCTION("""COMPUTED_VALUE"""),44295.64583333333)</f>
        <v>44295.64583</v>
      </c>
      <c r="B969" s="1">
        <f>IFERROR(__xludf.DUMMYFUNCTION("""COMPUTED_VALUE"""),21650.0)</f>
        <v>21650</v>
      </c>
      <c r="C969" s="1">
        <f>IFERROR(__xludf.DUMMYFUNCTION("""COMPUTED_VALUE"""),21650.0)</f>
        <v>21650</v>
      </c>
      <c r="D969" s="1">
        <f>IFERROR(__xludf.DUMMYFUNCTION("""COMPUTED_VALUE"""),21100.0)</f>
        <v>21100</v>
      </c>
      <c r="E969" s="1">
        <f>IFERROR(__xludf.DUMMYFUNCTION("""COMPUTED_VALUE"""),21300.0)</f>
        <v>21300</v>
      </c>
      <c r="F969" s="1">
        <f>IFERROR(__xludf.DUMMYFUNCTION("""COMPUTED_VALUE"""),82072.0)</f>
        <v>82072</v>
      </c>
    </row>
    <row r="970">
      <c r="A970" s="2">
        <f>IFERROR(__xludf.DUMMYFUNCTION("""COMPUTED_VALUE"""),44298.64583333333)</f>
        <v>44298.64583</v>
      </c>
      <c r="B970" s="1">
        <f>IFERROR(__xludf.DUMMYFUNCTION("""COMPUTED_VALUE"""),21300.0)</f>
        <v>21300</v>
      </c>
      <c r="C970" s="1">
        <f>IFERROR(__xludf.DUMMYFUNCTION("""COMPUTED_VALUE"""),21350.0)</f>
        <v>21350</v>
      </c>
      <c r="D970" s="1">
        <f>IFERROR(__xludf.DUMMYFUNCTION("""COMPUTED_VALUE"""),20900.0)</f>
        <v>20900</v>
      </c>
      <c r="E970" s="1">
        <f>IFERROR(__xludf.DUMMYFUNCTION("""COMPUTED_VALUE"""),21350.0)</f>
        <v>21350</v>
      </c>
      <c r="F970" s="1">
        <f>IFERROR(__xludf.DUMMYFUNCTION("""COMPUTED_VALUE"""),80929.0)</f>
        <v>80929</v>
      </c>
    </row>
    <row r="971">
      <c r="A971" s="2">
        <f>IFERROR(__xludf.DUMMYFUNCTION("""COMPUTED_VALUE"""),44299.64583333333)</f>
        <v>44299.64583</v>
      </c>
      <c r="B971" s="1">
        <f>IFERROR(__xludf.DUMMYFUNCTION("""COMPUTED_VALUE"""),21250.0)</f>
        <v>21250</v>
      </c>
      <c r="C971" s="1">
        <f>IFERROR(__xludf.DUMMYFUNCTION("""COMPUTED_VALUE"""),21300.0)</f>
        <v>21300</v>
      </c>
      <c r="D971" s="1">
        <f>IFERROR(__xludf.DUMMYFUNCTION("""COMPUTED_VALUE"""),21000.0)</f>
        <v>21000</v>
      </c>
      <c r="E971" s="1">
        <f>IFERROR(__xludf.DUMMYFUNCTION("""COMPUTED_VALUE"""),21300.0)</f>
        <v>21300</v>
      </c>
      <c r="F971" s="1">
        <f>IFERROR(__xludf.DUMMYFUNCTION("""COMPUTED_VALUE"""),84964.0)</f>
        <v>84964</v>
      </c>
    </row>
    <row r="972">
      <c r="A972" s="2">
        <f>IFERROR(__xludf.DUMMYFUNCTION("""COMPUTED_VALUE"""),44300.64583333333)</f>
        <v>44300.64583</v>
      </c>
      <c r="B972" s="1">
        <f>IFERROR(__xludf.DUMMYFUNCTION("""COMPUTED_VALUE"""),21300.0)</f>
        <v>21300</v>
      </c>
      <c r="C972" s="1">
        <f>IFERROR(__xludf.DUMMYFUNCTION("""COMPUTED_VALUE"""),22850.0)</f>
        <v>22850</v>
      </c>
      <c r="D972" s="1">
        <f>IFERROR(__xludf.DUMMYFUNCTION("""COMPUTED_VALUE"""),21250.0)</f>
        <v>21250</v>
      </c>
      <c r="E972" s="1">
        <f>IFERROR(__xludf.DUMMYFUNCTION("""COMPUTED_VALUE"""),22400.0)</f>
        <v>22400</v>
      </c>
      <c r="F972" s="1">
        <f>IFERROR(__xludf.DUMMYFUNCTION("""COMPUTED_VALUE"""),410216.0)</f>
        <v>410216</v>
      </c>
    </row>
    <row r="973">
      <c r="A973" s="2">
        <f>IFERROR(__xludf.DUMMYFUNCTION("""COMPUTED_VALUE"""),44301.64583333333)</f>
        <v>44301.64583</v>
      </c>
      <c r="B973" s="1">
        <f>IFERROR(__xludf.DUMMYFUNCTION("""COMPUTED_VALUE"""),22400.0)</f>
        <v>22400</v>
      </c>
      <c r="C973" s="1">
        <f>IFERROR(__xludf.DUMMYFUNCTION("""COMPUTED_VALUE"""),22600.0)</f>
        <v>22600</v>
      </c>
      <c r="D973" s="1">
        <f>IFERROR(__xludf.DUMMYFUNCTION("""COMPUTED_VALUE"""),22100.0)</f>
        <v>22100</v>
      </c>
      <c r="E973" s="1">
        <f>IFERROR(__xludf.DUMMYFUNCTION("""COMPUTED_VALUE"""),22400.0)</f>
        <v>22400</v>
      </c>
      <c r="F973" s="1">
        <f>IFERROR(__xludf.DUMMYFUNCTION("""COMPUTED_VALUE"""),92617.0)</f>
        <v>92617</v>
      </c>
    </row>
    <row r="974">
      <c r="A974" s="2">
        <f>IFERROR(__xludf.DUMMYFUNCTION("""COMPUTED_VALUE"""),44302.64583333333)</f>
        <v>44302.64583</v>
      </c>
      <c r="B974" s="1">
        <f>IFERROR(__xludf.DUMMYFUNCTION("""COMPUTED_VALUE"""),22400.0)</f>
        <v>22400</v>
      </c>
      <c r="C974" s="1">
        <f>IFERROR(__xludf.DUMMYFUNCTION("""COMPUTED_VALUE"""),22750.0)</f>
        <v>22750</v>
      </c>
      <c r="D974" s="1">
        <f>IFERROR(__xludf.DUMMYFUNCTION("""COMPUTED_VALUE"""),22100.0)</f>
        <v>22100</v>
      </c>
      <c r="E974" s="1">
        <f>IFERROR(__xludf.DUMMYFUNCTION("""COMPUTED_VALUE"""),22600.0)</f>
        <v>22600</v>
      </c>
      <c r="F974" s="1">
        <f>IFERROR(__xludf.DUMMYFUNCTION("""COMPUTED_VALUE"""),158332.0)</f>
        <v>158332</v>
      </c>
    </row>
    <row r="975">
      <c r="A975" s="2">
        <f>IFERROR(__xludf.DUMMYFUNCTION("""COMPUTED_VALUE"""),44305.64583333333)</f>
        <v>44305.64583</v>
      </c>
      <c r="B975" s="1">
        <f>IFERROR(__xludf.DUMMYFUNCTION("""COMPUTED_VALUE"""),22750.0)</f>
        <v>22750</v>
      </c>
      <c r="C975" s="1">
        <f>IFERROR(__xludf.DUMMYFUNCTION("""COMPUTED_VALUE"""),22750.0)</f>
        <v>22750</v>
      </c>
      <c r="D975" s="1">
        <f>IFERROR(__xludf.DUMMYFUNCTION("""COMPUTED_VALUE"""),22250.0)</f>
        <v>22250</v>
      </c>
      <c r="E975" s="1">
        <f>IFERROR(__xludf.DUMMYFUNCTION("""COMPUTED_VALUE"""),22600.0)</f>
        <v>22600</v>
      </c>
      <c r="F975" s="1">
        <f>IFERROR(__xludf.DUMMYFUNCTION("""COMPUTED_VALUE"""),88225.0)</f>
        <v>88225</v>
      </c>
    </row>
    <row r="976">
      <c r="A976" s="2">
        <f>IFERROR(__xludf.DUMMYFUNCTION("""COMPUTED_VALUE"""),44306.64583333333)</f>
        <v>44306.64583</v>
      </c>
      <c r="B976" s="1">
        <f>IFERROR(__xludf.DUMMYFUNCTION("""COMPUTED_VALUE"""),22600.0)</f>
        <v>22600</v>
      </c>
      <c r="C976" s="1">
        <f>IFERROR(__xludf.DUMMYFUNCTION("""COMPUTED_VALUE"""),22650.0)</f>
        <v>22650</v>
      </c>
      <c r="D976" s="1">
        <f>IFERROR(__xludf.DUMMYFUNCTION("""COMPUTED_VALUE"""),22100.0)</f>
        <v>22100</v>
      </c>
      <c r="E976" s="1">
        <f>IFERROR(__xludf.DUMMYFUNCTION("""COMPUTED_VALUE"""),22650.0)</f>
        <v>22650</v>
      </c>
      <c r="F976" s="1">
        <f>IFERROR(__xludf.DUMMYFUNCTION("""COMPUTED_VALUE"""),111702.0)</f>
        <v>111702</v>
      </c>
    </row>
    <row r="977">
      <c r="A977" s="2">
        <f>IFERROR(__xludf.DUMMYFUNCTION("""COMPUTED_VALUE"""),44307.64583333333)</f>
        <v>44307.64583</v>
      </c>
      <c r="B977" s="1">
        <f>IFERROR(__xludf.DUMMYFUNCTION("""COMPUTED_VALUE"""),22650.0)</f>
        <v>22650</v>
      </c>
      <c r="C977" s="1">
        <f>IFERROR(__xludf.DUMMYFUNCTION("""COMPUTED_VALUE"""),22650.0)</f>
        <v>22650</v>
      </c>
      <c r="D977" s="1">
        <f>IFERROR(__xludf.DUMMYFUNCTION("""COMPUTED_VALUE"""),22250.0)</f>
        <v>22250</v>
      </c>
      <c r="E977" s="1">
        <f>IFERROR(__xludf.DUMMYFUNCTION("""COMPUTED_VALUE"""),22300.0)</f>
        <v>22300</v>
      </c>
      <c r="F977" s="1">
        <f>IFERROR(__xludf.DUMMYFUNCTION("""COMPUTED_VALUE"""),62195.0)</f>
        <v>62195</v>
      </c>
    </row>
    <row r="978">
      <c r="A978" s="2">
        <f>IFERROR(__xludf.DUMMYFUNCTION("""COMPUTED_VALUE"""),44308.64583333333)</f>
        <v>44308.64583</v>
      </c>
      <c r="B978" s="1">
        <f>IFERROR(__xludf.DUMMYFUNCTION("""COMPUTED_VALUE"""),22750.0)</f>
        <v>22750</v>
      </c>
      <c r="C978" s="1">
        <f>IFERROR(__xludf.DUMMYFUNCTION("""COMPUTED_VALUE"""),23150.0)</f>
        <v>23150</v>
      </c>
      <c r="D978" s="1">
        <f>IFERROR(__xludf.DUMMYFUNCTION("""COMPUTED_VALUE"""),22250.0)</f>
        <v>22250</v>
      </c>
      <c r="E978" s="1">
        <f>IFERROR(__xludf.DUMMYFUNCTION("""COMPUTED_VALUE"""),22800.0)</f>
        <v>22800</v>
      </c>
      <c r="F978" s="1">
        <f>IFERROR(__xludf.DUMMYFUNCTION("""COMPUTED_VALUE"""),277226.0)</f>
        <v>277226</v>
      </c>
    </row>
    <row r="979">
      <c r="A979" s="2">
        <f>IFERROR(__xludf.DUMMYFUNCTION("""COMPUTED_VALUE"""),44309.64583333333)</f>
        <v>44309.64583</v>
      </c>
      <c r="B979" s="1">
        <f>IFERROR(__xludf.DUMMYFUNCTION("""COMPUTED_VALUE"""),22800.0)</f>
        <v>22800</v>
      </c>
      <c r="C979" s="1">
        <f>IFERROR(__xludf.DUMMYFUNCTION("""COMPUTED_VALUE"""),22900.0)</f>
        <v>22900</v>
      </c>
      <c r="D979" s="1">
        <f>IFERROR(__xludf.DUMMYFUNCTION("""COMPUTED_VALUE"""),22500.0)</f>
        <v>22500</v>
      </c>
      <c r="E979" s="1">
        <f>IFERROR(__xludf.DUMMYFUNCTION("""COMPUTED_VALUE"""),22900.0)</f>
        <v>22900</v>
      </c>
      <c r="F979" s="1">
        <f>IFERROR(__xludf.DUMMYFUNCTION("""COMPUTED_VALUE"""),116629.0)</f>
        <v>116629</v>
      </c>
    </row>
    <row r="980">
      <c r="A980" s="2">
        <f>IFERROR(__xludf.DUMMYFUNCTION("""COMPUTED_VALUE"""),44312.64583333333)</f>
        <v>44312.64583</v>
      </c>
      <c r="B980" s="1">
        <f>IFERROR(__xludf.DUMMYFUNCTION("""COMPUTED_VALUE"""),22900.0)</f>
        <v>22900</v>
      </c>
      <c r="C980" s="1">
        <f>IFERROR(__xludf.DUMMYFUNCTION("""COMPUTED_VALUE"""),22900.0)</f>
        <v>22900</v>
      </c>
      <c r="D980" s="1">
        <f>IFERROR(__xludf.DUMMYFUNCTION("""COMPUTED_VALUE"""),22600.0)</f>
        <v>22600</v>
      </c>
      <c r="E980" s="1">
        <f>IFERROR(__xludf.DUMMYFUNCTION("""COMPUTED_VALUE"""),22800.0)</f>
        <v>22800</v>
      </c>
      <c r="F980" s="1">
        <f>IFERROR(__xludf.DUMMYFUNCTION("""COMPUTED_VALUE"""),96082.0)</f>
        <v>96082</v>
      </c>
    </row>
    <row r="981">
      <c r="A981" s="2">
        <f>IFERROR(__xludf.DUMMYFUNCTION("""COMPUTED_VALUE"""),44313.64583333333)</f>
        <v>44313.64583</v>
      </c>
      <c r="B981" s="1">
        <f>IFERROR(__xludf.DUMMYFUNCTION("""COMPUTED_VALUE"""),22700.0)</f>
        <v>22700</v>
      </c>
      <c r="C981" s="1">
        <f>IFERROR(__xludf.DUMMYFUNCTION("""COMPUTED_VALUE"""),23000.0)</f>
        <v>23000</v>
      </c>
      <c r="D981" s="1">
        <f>IFERROR(__xludf.DUMMYFUNCTION("""COMPUTED_VALUE"""),22400.0)</f>
        <v>22400</v>
      </c>
      <c r="E981" s="1">
        <f>IFERROR(__xludf.DUMMYFUNCTION("""COMPUTED_VALUE"""),22700.0)</f>
        <v>22700</v>
      </c>
      <c r="F981" s="1">
        <f>IFERROR(__xludf.DUMMYFUNCTION("""COMPUTED_VALUE"""),108253.0)</f>
        <v>108253</v>
      </c>
    </row>
    <row r="982">
      <c r="A982" s="2">
        <f>IFERROR(__xludf.DUMMYFUNCTION("""COMPUTED_VALUE"""),44314.64583333333)</f>
        <v>44314.64583</v>
      </c>
      <c r="B982" s="1">
        <f>IFERROR(__xludf.DUMMYFUNCTION("""COMPUTED_VALUE"""),22700.0)</f>
        <v>22700</v>
      </c>
      <c r="C982" s="1">
        <f>IFERROR(__xludf.DUMMYFUNCTION("""COMPUTED_VALUE"""),22750.0)</f>
        <v>22750</v>
      </c>
      <c r="D982" s="1">
        <f>IFERROR(__xludf.DUMMYFUNCTION("""COMPUTED_VALUE"""),22000.0)</f>
        <v>22000</v>
      </c>
      <c r="E982" s="1">
        <f>IFERROR(__xludf.DUMMYFUNCTION("""COMPUTED_VALUE"""),22350.0)</f>
        <v>22350</v>
      </c>
      <c r="F982" s="1">
        <f>IFERROR(__xludf.DUMMYFUNCTION("""COMPUTED_VALUE"""),102516.0)</f>
        <v>102516</v>
      </c>
    </row>
    <row r="983">
      <c r="A983" s="2">
        <f>IFERROR(__xludf.DUMMYFUNCTION("""COMPUTED_VALUE"""),44315.64583333333)</f>
        <v>44315.64583</v>
      </c>
      <c r="B983" s="1">
        <f>IFERROR(__xludf.DUMMYFUNCTION("""COMPUTED_VALUE"""),22300.0)</f>
        <v>22300</v>
      </c>
      <c r="C983" s="1">
        <f>IFERROR(__xludf.DUMMYFUNCTION("""COMPUTED_VALUE"""),22700.0)</f>
        <v>22700</v>
      </c>
      <c r="D983" s="1">
        <f>IFERROR(__xludf.DUMMYFUNCTION("""COMPUTED_VALUE"""),21850.0)</f>
        <v>21850</v>
      </c>
      <c r="E983" s="1">
        <f>IFERROR(__xludf.DUMMYFUNCTION("""COMPUTED_VALUE"""),22400.0)</f>
        <v>22400</v>
      </c>
      <c r="F983" s="1">
        <f>IFERROR(__xludf.DUMMYFUNCTION("""COMPUTED_VALUE"""),92982.0)</f>
        <v>92982</v>
      </c>
    </row>
    <row r="984">
      <c r="A984" s="2">
        <f>IFERROR(__xludf.DUMMYFUNCTION("""COMPUTED_VALUE"""),44316.64583333333)</f>
        <v>44316.64583</v>
      </c>
      <c r="B984" s="1">
        <f>IFERROR(__xludf.DUMMYFUNCTION("""COMPUTED_VALUE"""),22100.0)</f>
        <v>22100</v>
      </c>
      <c r="C984" s="1">
        <f>IFERROR(__xludf.DUMMYFUNCTION("""COMPUTED_VALUE"""),22600.0)</f>
        <v>22600</v>
      </c>
      <c r="D984" s="1">
        <f>IFERROR(__xludf.DUMMYFUNCTION("""COMPUTED_VALUE"""),22100.0)</f>
        <v>22100</v>
      </c>
      <c r="E984" s="1">
        <f>IFERROR(__xludf.DUMMYFUNCTION("""COMPUTED_VALUE"""),22450.0)</f>
        <v>22450</v>
      </c>
      <c r="F984" s="1">
        <f>IFERROR(__xludf.DUMMYFUNCTION("""COMPUTED_VALUE"""),68271.0)</f>
        <v>68271</v>
      </c>
    </row>
    <row r="985">
      <c r="A985" s="2">
        <f>IFERROR(__xludf.DUMMYFUNCTION("""COMPUTED_VALUE"""),44319.64583333333)</f>
        <v>44319.64583</v>
      </c>
      <c r="B985" s="1">
        <f>IFERROR(__xludf.DUMMYFUNCTION("""COMPUTED_VALUE"""),22600.0)</f>
        <v>22600</v>
      </c>
      <c r="C985" s="1">
        <f>IFERROR(__xludf.DUMMYFUNCTION("""COMPUTED_VALUE"""),23000.0)</f>
        <v>23000</v>
      </c>
      <c r="D985" s="1">
        <f>IFERROR(__xludf.DUMMYFUNCTION("""COMPUTED_VALUE"""),22250.0)</f>
        <v>22250</v>
      </c>
      <c r="E985" s="1">
        <f>IFERROR(__xludf.DUMMYFUNCTION("""COMPUTED_VALUE"""),22750.0)</f>
        <v>22750</v>
      </c>
      <c r="F985" s="1">
        <f>IFERROR(__xludf.DUMMYFUNCTION("""COMPUTED_VALUE"""),133889.0)</f>
        <v>133889</v>
      </c>
    </row>
    <row r="986">
      <c r="A986" s="2">
        <f>IFERROR(__xludf.DUMMYFUNCTION("""COMPUTED_VALUE"""),44320.64583333333)</f>
        <v>44320.64583</v>
      </c>
      <c r="B986" s="1">
        <f>IFERROR(__xludf.DUMMYFUNCTION("""COMPUTED_VALUE"""),22750.0)</f>
        <v>22750</v>
      </c>
      <c r="C986" s="1">
        <f>IFERROR(__xludf.DUMMYFUNCTION("""COMPUTED_VALUE"""),22850.0)</f>
        <v>22850</v>
      </c>
      <c r="D986" s="1">
        <f>IFERROR(__xludf.DUMMYFUNCTION("""COMPUTED_VALUE"""),22350.0)</f>
        <v>22350</v>
      </c>
      <c r="E986" s="1">
        <f>IFERROR(__xludf.DUMMYFUNCTION("""COMPUTED_VALUE"""),22850.0)</f>
        <v>22850</v>
      </c>
      <c r="F986" s="1">
        <f>IFERROR(__xludf.DUMMYFUNCTION("""COMPUTED_VALUE"""),94022.0)</f>
        <v>94022</v>
      </c>
    </row>
    <row r="987">
      <c r="A987" s="2">
        <f>IFERROR(__xludf.DUMMYFUNCTION("""COMPUTED_VALUE"""),44322.64583333333)</f>
        <v>44322.64583</v>
      </c>
      <c r="B987" s="1">
        <f>IFERROR(__xludf.DUMMYFUNCTION("""COMPUTED_VALUE"""),22800.0)</f>
        <v>22800</v>
      </c>
      <c r="C987" s="1">
        <f>IFERROR(__xludf.DUMMYFUNCTION("""COMPUTED_VALUE"""),23050.0)</f>
        <v>23050</v>
      </c>
      <c r="D987" s="1">
        <f>IFERROR(__xludf.DUMMYFUNCTION("""COMPUTED_VALUE"""),22600.0)</f>
        <v>22600</v>
      </c>
      <c r="E987" s="1">
        <f>IFERROR(__xludf.DUMMYFUNCTION("""COMPUTED_VALUE"""),22950.0)</f>
        <v>22950</v>
      </c>
      <c r="F987" s="1">
        <f>IFERROR(__xludf.DUMMYFUNCTION("""COMPUTED_VALUE"""),96248.0)</f>
        <v>96248</v>
      </c>
    </row>
    <row r="988">
      <c r="A988" s="2">
        <f>IFERROR(__xludf.DUMMYFUNCTION("""COMPUTED_VALUE"""),44323.64583333333)</f>
        <v>44323.64583</v>
      </c>
      <c r="B988" s="1">
        <f>IFERROR(__xludf.DUMMYFUNCTION("""COMPUTED_VALUE"""),23050.0)</f>
        <v>23050</v>
      </c>
      <c r="C988" s="1">
        <f>IFERROR(__xludf.DUMMYFUNCTION("""COMPUTED_VALUE"""),23050.0)</f>
        <v>23050</v>
      </c>
      <c r="D988" s="1">
        <f>IFERROR(__xludf.DUMMYFUNCTION("""COMPUTED_VALUE"""),22600.0)</f>
        <v>22600</v>
      </c>
      <c r="E988" s="1">
        <f>IFERROR(__xludf.DUMMYFUNCTION("""COMPUTED_VALUE"""),22900.0)</f>
        <v>22900</v>
      </c>
      <c r="F988" s="1">
        <f>IFERROR(__xludf.DUMMYFUNCTION("""COMPUTED_VALUE"""),150408.0)</f>
        <v>150408</v>
      </c>
    </row>
    <row r="989">
      <c r="A989" s="2">
        <f>IFERROR(__xludf.DUMMYFUNCTION("""COMPUTED_VALUE"""),44326.64583333333)</f>
        <v>44326.64583</v>
      </c>
      <c r="B989" s="1">
        <f>IFERROR(__xludf.DUMMYFUNCTION("""COMPUTED_VALUE"""),23100.0)</f>
        <v>23100</v>
      </c>
      <c r="C989" s="1">
        <f>IFERROR(__xludf.DUMMYFUNCTION("""COMPUTED_VALUE"""),23100.0)</f>
        <v>23100</v>
      </c>
      <c r="D989" s="1">
        <f>IFERROR(__xludf.DUMMYFUNCTION("""COMPUTED_VALUE"""),22600.0)</f>
        <v>22600</v>
      </c>
      <c r="E989" s="1">
        <f>IFERROR(__xludf.DUMMYFUNCTION("""COMPUTED_VALUE"""),22850.0)</f>
        <v>22850</v>
      </c>
      <c r="F989" s="1">
        <f>IFERROR(__xludf.DUMMYFUNCTION("""COMPUTED_VALUE"""),71076.0)</f>
        <v>71076</v>
      </c>
    </row>
    <row r="990">
      <c r="A990" s="2">
        <f>IFERROR(__xludf.DUMMYFUNCTION("""COMPUTED_VALUE"""),44327.64583333333)</f>
        <v>44327.64583</v>
      </c>
      <c r="B990" s="1">
        <f>IFERROR(__xludf.DUMMYFUNCTION("""COMPUTED_VALUE"""),22650.0)</f>
        <v>22650</v>
      </c>
      <c r="C990" s="1">
        <f>IFERROR(__xludf.DUMMYFUNCTION("""COMPUTED_VALUE"""),22800.0)</f>
        <v>22800</v>
      </c>
      <c r="D990" s="1">
        <f>IFERROR(__xludf.DUMMYFUNCTION("""COMPUTED_VALUE"""),22200.0)</f>
        <v>22200</v>
      </c>
      <c r="E990" s="1">
        <f>IFERROR(__xludf.DUMMYFUNCTION("""COMPUTED_VALUE"""),22500.0)</f>
        <v>22500</v>
      </c>
      <c r="F990" s="1">
        <f>IFERROR(__xludf.DUMMYFUNCTION("""COMPUTED_VALUE"""),104128.0)</f>
        <v>104128</v>
      </c>
    </row>
    <row r="991">
      <c r="A991" s="2">
        <f>IFERROR(__xludf.DUMMYFUNCTION("""COMPUTED_VALUE"""),44328.64583333333)</f>
        <v>44328.64583</v>
      </c>
      <c r="B991" s="1">
        <f>IFERROR(__xludf.DUMMYFUNCTION("""COMPUTED_VALUE"""),22200.0)</f>
        <v>22200</v>
      </c>
      <c r="C991" s="1">
        <f>IFERROR(__xludf.DUMMYFUNCTION("""COMPUTED_VALUE"""),22650.0)</f>
        <v>22650</v>
      </c>
      <c r="D991" s="1">
        <f>IFERROR(__xludf.DUMMYFUNCTION("""COMPUTED_VALUE"""),22050.0)</f>
        <v>22050</v>
      </c>
      <c r="E991" s="1">
        <f>IFERROR(__xludf.DUMMYFUNCTION("""COMPUTED_VALUE"""),22400.0)</f>
        <v>22400</v>
      </c>
      <c r="F991" s="1">
        <f>IFERROR(__xludf.DUMMYFUNCTION("""COMPUTED_VALUE"""),110053.0)</f>
        <v>110053</v>
      </c>
    </row>
    <row r="992">
      <c r="A992" s="2">
        <f>IFERROR(__xludf.DUMMYFUNCTION("""COMPUTED_VALUE"""),44329.64583333333)</f>
        <v>44329.64583</v>
      </c>
      <c r="B992" s="1">
        <f>IFERROR(__xludf.DUMMYFUNCTION("""COMPUTED_VALUE"""),22200.0)</f>
        <v>22200</v>
      </c>
      <c r="C992" s="1">
        <f>IFERROR(__xludf.DUMMYFUNCTION("""COMPUTED_VALUE"""),22450.0)</f>
        <v>22450</v>
      </c>
      <c r="D992" s="1">
        <f>IFERROR(__xludf.DUMMYFUNCTION("""COMPUTED_VALUE"""),21800.0)</f>
        <v>21800</v>
      </c>
      <c r="E992" s="1">
        <f>IFERROR(__xludf.DUMMYFUNCTION("""COMPUTED_VALUE"""),22300.0)</f>
        <v>22300</v>
      </c>
      <c r="F992" s="1">
        <f>IFERROR(__xludf.DUMMYFUNCTION("""COMPUTED_VALUE"""),90429.0)</f>
        <v>90429</v>
      </c>
    </row>
    <row r="993">
      <c r="A993" s="2">
        <f>IFERROR(__xludf.DUMMYFUNCTION("""COMPUTED_VALUE"""),44330.64583333333)</f>
        <v>44330.64583</v>
      </c>
      <c r="B993" s="1">
        <f>IFERROR(__xludf.DUMMYFUNCTION("""COMPUTED_VALUE"""),22350.0)</f>
        <v>22350</v>
      </c>
      <c r="C993" s="1">
        <f>IFERROR(__xludf.DUMMYFUNCTION("""COMPUTED_VALUE"""),22500.0)</f>
        <v>22500</v>
      </c>
      <c r="D993" s="1">
        <f>IFERROR(__xludf.DUMMYFUNCTION("""COMPUTED_VALUE"""),22050.0)</f>
        <v>22050</v>
      </c>
      <c r="E993" s="1">
        <f>IFERROR(__xludf.DUMMYFUNCTION("""COMPUTED_VALUE"""),22400.0)</f>
        <v>22400</v>
      </c>
      <c r="F993" s="1">
        <f>IFERROR(__xludf.DUMMYFUNCTION("""COMPUTED_VALUE"""),68165.0)</f>
        <v>68165</v>
      </c>
    </row>
    <row r="994">
      <c r="A994" s="2">
        <f>IFERROR(__xludf.DUMMYFUNCTION("""COMPUTED_VALUE"""),44333.64583333333)</f>
        <v>44333.64583</v>
      </c>
      <c r="B994" s="1">
        <f>IFERROR(__xludf.DUMMYFUNCTION("""COMPUTED_VALUE"""),22250.0)</f>
        <v>22250</v>
      </c>
      <c r="C994" s="1">
        <f>IFERROR(__xludf.DUMMYFUNCTION("""COMPUTED_VALUE"""),22700.0)</f>
        <v>22700</v>
      </c>
      <c r="D994" s="1">
        <f>IFERROR(__xludf.DUMMYFUNCTION("""COMPUTED_VALUE"""),21700.0)</f>
        <v>21700</v>
      </c>
      <c r="E994" s="1">
        <f>IFERROR(__xludf.DUMMYFUNCTION("""COMPUTED_VALUE"""),22700.0)</f>
        <v>22700</v>
      </c>
      <c r="F994" s="1">
        <f>IFERROR(__xludf.DUMMYFUNCTION("""COMPUTED_VALUE"""),143581.0)</f>
        <v>143581</v>
      </c>
    </row>
    <row r="995">
      <c r="A995" s="2">
        <f>IFERROR(__xludf.DUMMYFUNCTION("""COMPUTED_VALUE"""),44334.64583333333)</f>
        <v>44334.64583</v>
      </c>
      <c r="B995" s="1">
        <f>IFERROR(__xludf.DUMMYFUNCTION("""COMPUTED_VALUE"""),22700.0)</f>
        <v>22700</v>
      </c>
      <c r="C995" s="1">
        <f>IFERROR(__xludf.DUMMYFUNCTION("""COMPUTED_VALUE"""),22750.0)</f>
        <v>22750</v>
      </c>
      <c r="D995" s="1">
        <f>IFERROR(__xludf.DUMMYFUNCTION("""COMPUTED_VALUE"""),22300.0)</f>
        <v>22300</v>
      </c>
      <c r="E995" s="1">
        <f>IFERROR(__xludf.DUMMYFUNCTION("""COMPUTED_VALUE"""),22550.0)</f>
        <v>22550</v>
      </c>
      <c r="F995" s="1">
        <f>IFERROR(__xludf.DUMMYFUNCTION("""COMPUTED_VALUE"""),59123.0)</f>
        <v>59123</v>
      </c>
    </row>
    <row r="996">
      <c r="A996" s="2">
        <f>IFERROR(__xludf.DUMMYFUNCTION("""COMPUTED_VALUE"""),44336.64583333333)</f>
        <v>44336.64583</v>
      </c>
      <c r="B996" s="1">
        <f>IFERROR(__xludf.DUMMYFUNCTION("""COMPUTED_VALUE"""),22450.0)</f>
        <v>22450</v>
      </c>
      <c r="C996" s="1">
        <f>IFERROR(__xludf.DUMMYFUNCTION("""COMPUTED_VALUE"""),22550.0)</f>
        <v>22550</v>
      </c>
      <c r="D996" s="1">
        <f>IFERROR(__xludf.DUMMYFUNCTION("""COMPUTED_VALUE"""),22250.0)</f>
        <v>22250</v>
      </c>
      <c r="E996" s="1">
        <f>IFERROR(__xludf.DUMMYFUNCTION("""COMPUTED_VALUE"""),22350.0)</f>
        <v>22350</v>
      </c>
      <c r="F996" s="1">
        <f>IFERROR(__xludf.DUMMYFUNCTION("""COMPUTED_VALUE"""),46712.0)</f>
        <v>46712</v>
      </c>
    </row>
    <row r="997">
      <c r="A997" s="2">
        <f>IFERROR(__xludf.DUMMYFUNCTION("""COMPUTED_VALUE"""),44337.64583333333)</f>
        <v>44337.64583</v>
      </c>
      <c r="B997" s="1">
        <f>IFERROR(__xludf.DUMMYFUNCTION("""COMPUTED_VALUE"""),22350.0)</f>
        <v>22350</v>
      </c>
      <c r="C997" s="1">
        <f>IFERROR(__xludf.DUMMYFUNCTION("""COMPUTED_VALUE"""),22450.0)</f>
        <v>22450</v>
      </c>
      <c r="D997" s="1">
        <f>IFERROR(__xludf.DUMMYFUNCTION("""COMPUTED_VALUE"""),21700.0)</f>
        <v>21700</v>
      </c>
      <c r="E997" s="1">
        <f>IFERROR(__xludf.DUMMYFUNCTION("""COMPUTED_VALUE"""),21800.0)</f>
        <v>21800</v>
      </c>
      <c r="F997" s="1">
        <f>IFERROR(__xludf.DUMMYFUNCTION("""COMPUTED_VALUE"""),88433.0)</f>
        <v>88433</v>
      </c>
    </row>
    <row r="998">
      <c r="A998" s="2">
        <f>IFERROR(__xludf.DUMMYFUNCTION("""COMPUTED_VALUE"""),44340.64583333333)</f>
        <v>44340.64583</v>
      </c>
      <c r="B998" s="1">
        <f>IFERROR(__xludf.DUMMYFUNCTION("""COMPUTED_VALUE"""),21600.0)</f>
        <v>21600</v>
      </c>
      <c r="C998" s="1">
        <f>IFERROR(__xludf.DUMMYFUNCTION("""COMPUTED_VALUE"""),21800.0)</f>
        <v>21800</v>
      </c>
      <c r="D998" s="1">
        <f>IFERROR(__xludf.DUMMYFUNCTION("""COMPUTED_VALUE"""),20800.0)</f>
        <v>20800</v>
      </c>
      <c r="E998" s="1">
        <f>IFERROR(__xludf.DUMMYFUNCTION("""COMPUTED_VALUE"""),21450.0)</f>
        <v>21450</v>
      </c>
      <c r="F998" s="1">
        <f>IFERROR(__xludf.DUMMYFUNCTION("""COMPUTED_VALUE"""),70330.0)</f>
        <v>70330</v>
      </c>
    </row>
    <row r="999">
      <c r="A999" s="2">
        <f>IFERROR(__xludf.DUMMYFUNCTION("""COMPUTED_VALUE"""),44341.64583333333)</f>
        <v>44341.64583</v>
      </c>
      <c r="B999" s="1">
        <f>IFERROR(__xludf.DUMMYFUNCTION("""COMPUTED_VALUE"""),21650.0)</f>
        <v>21650</v>
      </c>
      <c r="C999" s="1">
        <f>IFERROR(__xludf.DUMMYFUNCTION("""COMPUTED_VALUE"""),21650.0)</f>
        <v>21650</v>
      </c>
      <c r="D999" s="1">
        <f>IFERROR(__xludf.DUMMYFUNCTION("""COMPUTED_VALUE"""),21100.0)</f>
        <v>21100</v>
      </c>
      <c r="E999" s="1">
        <f>IFERROR(__xludf.DUMMYFUNCTION("""COMPUTED_VALUE"""),21300.0)</f>
        <v>21300</v>
      </c>
      <c r="F999" s="1">
        <f>IFERROR(__xludf.DUMMYFUNCTION("""COMPUTED_VALUE"""),35493.0)</f>
        <v>35493</v>
      </c>
    </row>
    <row r="1000">
      <c r="A1000" s="2">
        <f>IFERROR(__xludf.DUMMYFUNCTION("""COMPUTED_VALUE"""),44342.64583333333)</f>
        <v>44342.64583</v>
      </c>
      <c r="B1000" s="1">
        <f>IFERROR(__xludf.DUMMYFUNCTION("""COMPUTED_VALUE"""),21600.0)</f>
        <v>21600</v>
      </c>
      <c r="C1000" s="1">
        <f>IFERROR(__xludf.DUMMYFUNCTION("""COMPUTED_VALUE"""),21600.0)</f>
        <v>21600</v>
      </c>
      <c r="D1000" s="1">
        <f>IFERROR(__xludf.DUMMYFUNCTION("""COMPUTED_VALUE"""),20900.0)</f>
        <v>20900</v>
      </c>
      <c r="E1000" s="1">
        <f>IFERROR(__xludf.DUMMYFUNCTION("""COMPUTED_VALUE"""),21300.0)</f>
        <v>21300</v>
      </c>
      <c r="F1000" s="1">
        <f>IFERROR(__xludf.DUMMYFUNCTION("""COMPUTED_VALUE"""),28057.0)</f>
        <v>28057</v>
      </c>
    </row>
    <row r="1001">
      <c r="A1001" s="2">
        <f>IFERROR(__xludf.DUMMYFUNCTION("""COMPUTED_VALUE"""),44343.64583333333)</f>
        <v>44343.64583</v>
      </c>
      <c r="B1001" s="1">
        <f>IFERROR(__xludf.DUMMYFUNCTION("""COMPUTED_VALUE"""),21300.0)</f>
        <v>21300</v>
      </c>
      <c r="C1001" s="1">
        <f>IFERROR(__xludf.DUMMYFUNCTION("""COMPUTED_VALUE"""),22000.0)</f>
        <v>22000</v>
      </c>
      <c r="D1001" s="1">
        <f>IFERROR(__xludf.DUMMYFUNCTION("""COMPUTED_VALUE"""),21150.0)</f>
        <v>21150</v>
      </c>
      <c r="E1001" s="1">
        <f>IFERROR(__xludf.DUMMYFUNCTION("""COMPUTED_VALUE"""),21900.0)</f>
        <v>21900</v>
      </c>
      <c r="F1001" s="1">
        <f>IFERROR(__xludf.DUMMYFUNCTION("""COMPUTED_VALUE"""),45028.0)</f>
        <v>45028</v>
      </c>
    </row>
    <row r="1002">
      <c r="A1002" s="2">
        <f>IFERROR(__xludf.DUMMYFUNCTION("""COMPUTED_VALUE"""),44344.64583333333)</f>
        <v>44344.64583</v>
      </c>
      <c r="B1002" s="1">
        <f>IFERROR(__xludf.DUMMYFUNCTION("""COMPUTED_VALUE"""),21900.0)</f>
        <v>21900</v>
      </c>
      <c r="C1002" s="1">
        <f>IFERROR(__xludf.DUMMYFUNCTION("""COMPUTED_VALUE"""),22100.0)</f>
        <v>22100</v>
      </c>
      <c r="D1002" s="1">
        <f>IFERROR(__xludf.DUMMYFUNCTION("""COMPUTED_VALUE"""),21650.0)</f>
        <v>21650</v>
      </c>
      <c r="E1002" s="1">
        <f>IFERROR(__xludf.DUMMYFUNCTION("""COMPUTED_VALUE"""),22000.0)</f>
        <v>22000</v>
      </c>
      <c r="F1002" s="1">
        <f>IFERROR(__xludf.DUMMYFUNCTION("""COMPUTED_VALUE"""),38255.0)</f>
        <v>38255</v>
      </c>
    </row>
    <row r="1003">
      <c r="A1003" s="2">
        <f>IFERROR(__xludf.DUMMYFUNCTION("""COMPUTED_VALUE"""),44347.64583333333)</f>
        <v>44347.64583</v>
      </c>
      <c r="B1003" s="1">
        <f>IFERROR(__xludf.DUMMYFUNCTION("""COMPUTED_VALUE"""),22000.0)</f>
        <v>22000</v>
      </c>
      <c r="C1003" s="1">
        <f>IFERROR(__xludf.DUMMYFUNCTION("""COMPUTED_VALUE"""),22350.0)</f>
        <v>22350</v>
      </c>
      <c r="D1003" s="1">
        <f>IFERROR(__xludf.DUMMYFUNCTION("""COMPUTED_VALUE"""),21800.0)</f>
        <v>21800</v>
      </c>
      <c r="E1003" s="1">
        <f>IFERROR(__xludf.DUMMYFUNCTION("""COMPUTED_VALUE"""),22250.0)</f>
        <v>22250</v>
      </c>
      <c r="F1003" s="1">
        <f>IFERROR(__xludf.DUMMYFUNCTION("""COMPUTED_VALUE"""),56061.0)</f>
        <v>56061</v>
      </c>
    </row>
    <row r="1004">
      <c r="A1004" s="2">
        <f>IFERROR(__xludf.DUMMYFUNCTION("""COMPUTED_VALUE"""),44348.64583333333)</f>
        <v>44348.64583</v>
      </c>
      <c r="B1004" s="1">
        <f>IFERROR(__xludf.DUMMYFUNCTION("""COMPUTED_VALUE"""),22150.0)</f>
        <v>22150</v>
      </c>
      <c r="C1004" s="1">
        <f>IFERROR(__xludf.DUMMYFUNCTION("""COMPUTED_VALUE"""),22300.0)</f>
        <v>22300</v>
      </c>
      <c r="D1004" s="1">
        <f>IFERROR(__xludf.DUMMYFUNCTION("""COMPUTED_VALUE"""),22000.0)</f>
        <v>22000</v>
      </c>
      <c r="E1004" s="1">
        <f>IFERROR(__xludf.DUMMYFUNCTION("""COMPUTED_VALUE"""),22200.0)</f>
        <v>22200</v>
      </c>
      <c r="F1004" s="1">
        <f>IFERROR(__xludf.DUMMYFUNCTION("""COMPUTED_VALUE"""),37755.0)</f>
        <v>37755</v>
      </c>
    </row>
    <row r="1005">
      <c r="A1005" s="2">
        <f>IFERROR(__xludf.DUMMYFUNCTION("""COMPUTED_VALUE"""),44349.64583333333)</f>
        <v>44349.64583</v>
      </c>
      <c r="B1005" s="1">
        <f>IFERROR(__xludf.DUMMYFUNCTION("""COMPUTED_VALUE"""),22050.0)</f>
        <v>22050</v>
      </c>
      <c r="C1005" s="1">
        <f>IFERROR(__xludf.DUMMYFUNCTION("""COMPUTED_VALUE"""),22250.0)</f>
        <v>22250</v>
      </c>
      <c r="D1005" s="1">
        <f>IFERROR(__xludf.DUMMYFUNCTION("""COMPUTED_VALUE"""),21900.0)</f>
        <v>21900</v>
      </c>
      <c r="E1005" s="1">
        <f>IFERROR(__xludf.DUMMYFUNCTION("""COMPUTED_VALUE"""),22100.0)</f>
        <v>22100</v>
      </c>
      <c r="F1005" s="1">
        <f>IFERROR(__xludf.DUMMYFUNCTION("""COMPUTED_VALUE"""),37268.0)</f>
        <v>37268</v>
      </c>
    </row>
    <row r="1006">
      <c r="A1006" s="2">
        <f>IFERROR(__xludf.DUMMYFUNCTION("""COMPUTED_VALUE"""),44350.64583333333)</f>
        <v>44350.64583</v>
      </c>
      <c r="B1006" s="1">
        <f>IFERROR(__xludf.DUMMYFUNCTION("""COMPUTED_VALUE"""),21900.0)</f>
        <v>21900</v>
      </c>
      <c r="C1006" s="1">
        <f>IFERROR(__xludf.DUMMYFUNCTION("""COMPUTED_VALUE"""),22800.0)</f>
        <v>22800</v>
      </c>
      <c r="D1006" s="1">
        <f>IFERROR(__xludf.DUMMYFUNCTION("""COMPUTED_VALUE"""),21900.0)</f>
        <v>21900</v>
      </c>
      <c r="E1006" s="1">
        <f>IFERROR(__xludf.DUMMYFUNCTION("""COMPUTED_VALUE"""),22600.0)</f>
        <v>22600</v>
      </c>
      <c r="F1006" s="1">
        <f>IFERROR(__xludf.DUMMYFUNCTION("""COMPUTED_VALUE"""),102488.0)</f>
        <v>102488</v>
      </c>
    </row>
    <row r="1007">
      <c r="A1007" s="2">
        <f>IFERROR(__xludf.DUMMYFUNCTION("""COMPUTED_VALUE"""),44351.64583333333)</f>
        <v>44351.64583</v>
      </c>
      <c r="B1007" s="1">
        <f>IFERROR(__xludf.DUMMYFUNCTION("""COMPUTED_VALUE"""),22600.0)</f>
        <v>22600</v>
      </c>
      <c r="C1007" s="1">
        <f>IFERROR(__xludf.DUMMYFUNCTION("""COMPUTED_VALUE"""),22600.0)</f>
        <v>22600</v>
      </c>
      <c r="D1007" s="1">
        <f>IFERROR(__xludf.DUMMYFUNCTION("""COMPUTED_VALUE"""),22150.0)</f>
        <v>22150</v>
      </c>
      <c r="E1007" s="1">
        <f>IFERROR(__xludf.DUMMYFUNCTION("""COMPUTED_VALUE"""),22500.0)</f>
        <v>22500</v>
      </c>
      <c r="F1007" s="1">
        <f>IFERROR(__xludf.DUMMYFUNCTION("""COMPUTED_VALUE"""),56522.0)</f>
        <v>56522</v>
      </c>
    </row>
    <row r="1008">
      <c r="A1008" s="2">
        <f>IFERROR(__xludf.DUMMYFUNCTION("""COMPUTED_VALUE"""),44354.64583333333)</f>
        <v>44354.64583</v>
      </c>
      <c r="B1008" s="1">
        <f>IFERROR(__xludf.DUMMYFUNCTION("""COMPUTED_VALUE"""),22700.0)</f>
        <v>22700</v>
      </c>
      <c r="C1008" s="1">
        <f>IFERROR(__xludf.DUMMYFUNCTION("""COMPUTED_VALUE"""),22750.0)</f>
        <v>22750</v>
      </c>
      <c r="D1008" s="1">
        <f>IFERROR(__xludf.DUMMYFUNCTION("""COMPUTED_VALUE"""),22150.0)</f>
        <v>22150</v>
      </c>
      <c r="E1008" s="1">
        <f>IFERROR(__xludf.DUMMYFUNCTION("""COMPUTED_VALUE"""),22400.0)</f>
        <v>22400</v>
      </c>
      <c r="F1008" s="1">
        <f>IFERROR(__xludf.DUMMYFUNCTION("""COMPUTED_VALUE"""),38744.0)</f>
        <v>38744</v>
      </c>
    </row>
    <row r="1009">
      <c r="A1009" s="2">
        <f>IFERROR(__xludf.DUMMYFUNCTION("""COMPUTED_VALUE"""),44355.64583333333)</f>
        <v>44355.64583</v>
      </c>
      <c r="B1009" s="1">
        <f>IFERROR(__xludf.DUMMYFUNCTION("""COMPUTED_VALUE"""),22200.0)</f>
        <v>22200</v>
      </c>
      <c r="C1009" s="1">
        <f>IFERROR(__xludf.DUMMYFUNCTION("""COMPUTED_VALUE"""),22450.0)</f>
        <v>22450</v>
      </c>
      <c r="D1009" s="1">
        <f>IFERROR(__xludf.DUMMYFUNCTION("""COMPUTED_VALUE"""),22150.0)</f>
        <v>22150</v>
      </c>
      <c r="E1009" s="1">
        <f>IFERROR(__xludf.DUMMYFUNCTION("""COMPUTED_VALUE"""),22350.0)</f>
        <v>22350</v>
      </c>
      <c r="F1009" s="1">
        <f>IFERROR(__xludf.DUMMYFUNCTION("""COMPUTED_VALUE"""),35982.0)</f>
        <v>35982</v>
      </c>
    </row>
    <row r="1010">
      <c r="A1010" s="2">
        <f>IFERROR(__xludf.DUMMYFUNCTION("""COMPUTED_VALUE"""),44356.64583333333)</f>
        <v>44356.64583</v>
      </c>
      <c r="B1010" s="1">
        <f>IFERROR(__xludf.DUMMYFUNCTION("""COMPUTED_VALUE"""),22400.0)</f>
        <v>22400</v>
      </c>
      <c r="C1010" s="1">
        <f>IFERROR(__xludf.DUMMYFUNCTION("""COMPUTED_VALUE"""),22400.0)</f>
        <v>22400</v>
      </c>
      <c r="D1010" s="1">
        <f>IFERROR(__xludf.DUMMYFUNCTION("""COMPUTED_VALUE"""),21950.0)</f>
        <v>21950</v>
      </c>
      <c r="E1010" s="1">
        <f>IFERROR(__xludf.DUMMYFUNCTION("""COMPUTED_VALUE"""),22300.0)</f>
        <v>22300</v>
      </c>
      <c r="F1010" s="1">
        <f>IFERROR(__xludf.DUMMYFUNCTION("""COMPUTED_VALUE"""),26515.0)</f>
        <v>26515</v>
      </c>
    </row>
    <row r="1011">
      <c r="A1011" s="2">
        <f>IFERROR(__xludf.DUMMYFUNCTION("""COMPUTED_VALUE"""),44357.64583333333)</f>
        <v>44357.64583</v>
      </c>
      <c r="B1011" s="1">
        <f>IFERROR(__xludf.DUMMYFUNCTION("""COMPUTED_VALUE"""),22350.0)</f>
        <v>22350</v>
      </c>
      <c r="C1011" s="1">
        <f>IFERROR(__xludf.DUMMYFUNCTION("""COMPUTED_VALUE"""),22450.0)</f>
        <v>22450</v>
      </c>
      <c r="D1011" s="1">
        <f>IFERROR(__xludf.DUMMYFUNCTION("""COMPUTED_VALUE"""),22100.0)</f>
        <v>22100</v>
      </c>
      <c r="E1011" s="1">
        <f>IFERROR(__xludf.DUMMYFUNCTION("""COMPUTED_VALUE"""),22350.0)</f>
        <v>22350</v>
      </c>
      <c r="F1011" s="1">
        <f>IFERROR(__xludf.DUMMYFUNCTION("""COMPUTED_VALUE"""),43840.0)</f>
        <v>43840</v>
      </c>
    </row>
    <row r="1012">
      <c r="A1012" s="2">
        <f>IFERROR(__xludf.DUMMYFUNCTION("""COMPUTED_VALUE"""),44358.64583333333)</f>
        <v>44358.64583</v>
      </c>
      <c r="B1012" s="1">
        <f>IFERROR(__xludf.DUMMYFUNCTION("""COMPUTED_VALUE"""),22500.0)</f>
        <v>22500</v>
      </c>
      <c r="C1012" s="1">
        <f>IFERROR(__xludf.DUMMYFUNCTION("""COMPUTED_VALUE"""),22500.0)</f>
        <v>22500</v>
      </c>
      <c r="D1012" s="1">
        <f>IFERROR(__xludf.DUMMYFUNCTION("""COMPUTED_VALUE"""),22150.0)</f>
        <v>22150</v>
      </c>
      <c r="E1012" s="1">
        <f>IFERROR(__xludf.DUMMYFUNCTION("""COMPUTED_VALUE"""),22450.0)</f>
        <v>22450</v>
      </c>
      <c r="F1012" s="1">
        <f>IFERROR(__xludf.DUMMYFUNCTION("""COMPUTED_VALUE"""),65922.0)</f>
        <v>65922</v>
      </c>
    </row>
    <row r="1013">
      <c r="A1013" s="2">
        <f>IFERROR(__xludf.DUMMYFUNCTION("""COMPUTED_VALUE"""),44361.64583333333)</f>
        <v>44361.64583</v>
      </c>
      <c r="B1013" s="1">
        <f>IFERROR(__xludf.DUMMYFUNCTION("""COMPUTED_VALUE"""),22450.0)</f>
        <v>22450</v>
      </c>
      <c r="C1013" s="1">
        <f>IFERROR(__xludf.DUMMYFUNCTION("""COMPUTED_VALUE"""),23450.0)</f>
        <v>23450</v>
      </c>
      <c r="D1013" s="1">
        <f>IFERROR(__xludf.DUMMYFUNCTION("""COMPUTED_VALUE"""),22400.0)</f>
        <v>22400</v>
      </c>
      <c r="E1013" s="1">
        <f>IFERROR(__xludf.DUMMYFUNCTION("""COMPUTED_VALUE"""),23150.0)</f>
        <v>23150</v>
      </c>
      <c r="F1013" s="1">
        <f>IFERROR(__xludf.DUMMYFUNCTION("""COMPUTED_VALUE"""),278410.0)</f>
        <v>278410</v>
      </c>
    </row>
    <row r="1014">
      <c r="A1014" s="2">
        <f>IFERROR(__xludf.DUMMYFUNCTION("""COMPUTED_VALUE"""),44362.64583333333)</f>
        <v>44362.64583</v>
      </c>
      <c r="B1014" s="1">
        <f>IFERROR(__xludf.DUMMYFUNCTION("""COMPUTED_VALUE"""),23000.0)</f>
        <v>23000</v>
      </c>
      <c r="C1014" s="1">
        <f>IFERROR(__xludf.DUMMYFUNCTION("""COMPUTED_VALUE"""),23150.0)</f>
        <v>23150</v>
      </c>
      <c r="D1014" s="1">
        <f>IFERROR(__xludf.DUMMYFUNCTION("""COMPUTED_VALUE"""),22400.0)</f>
        <v>22400</v>
      </c>
      <c r="E1014" s="1">
        <f>IFERROR(__xludf.DUMMYFUNCTION("""COMPUTED_VALUE"""),22700.0)</f>
        <v>22700</v>
      </c>
      <c r="F1014" s="1">
        <f>IFERROR(__xludf.DUMMYFUNCTION("""COMPUTED_VALUE"""),128175.0)</f>
        <v>128175</v>
      </c>
    </row>
    <row r="1015">
      <c r="A1015" s="2">
        <f>IFERROR(__xludf.DUMMYFUNCTION("""COMPUTED_VALUE"""),44363.64583333333)</f>
        <v>44363.64583</v>
      </c>
      <c r="B1015" s="1">
        <f>IFERROR(__xludf.DUMMYFUNCTION("""COMPUTED_VALUE"""),22300.0)</f>
        <v>22300</v>
      </c>
      <c r="C1015" s="1">
        <f>IFERROR(__xludf.DUMMYFUNCTION("""COMPUTED_VALUE"""),23500.0)</f>
        <v>23500</v>
      </c>
      <c r="D1015" s="1">
        <f>IFERROR(__xludf.DUMMYFUNCTION("""COMPUTED_VALUE"""),22300.0)</f>
        <v>22300</v>
      </c>
      <c r="E1015" s="1">
        <f>IFERROR(__xludf.DUMMYFUNCTION("""COMPUTED_VALUE"""),23100.0)</f>
        <v>23100</v>
      </c>
      <c r="F1015" s="1">
        <f>IFERROR(__xludf.DUMMYFUNCTION("""COMPUTED_VALUE"""),166601.0)</f>
        <v>166601</v>
      </c>
    </row>
    <row r="1016">
      <c r="A1016" s="2">
        <f>IFERROR(__xludf.DUMMYFUNCTION("""COMPUTED_VALUE"""),44364.64583333333)</f>
        <v>44364.64583</v>
      </c>
      <c r="B1016" s="1">
        <f>IFERROR(__xludf.DUMMYFUNCTION("""COMPUTED_VALUE"""),23100.0)</f>
        <v>23100</v>
      </c>
      <c r="C1016" s="1">
        <f>IFERROR(__xludf.DUMMYFUNCTION("""COMPUTED_VALUE"""),23700.0)</f>
        <v>23700</v>
      </c>
      <c r="D1016" s="1">
        <f>IFERROR(__xludf.DUMMYFUNCTION("""COMPUTED_VALUE"""),22800.0)</f>
        <v>22800</v>
      </c>
      <c r="E1016" s="1">
        <f>IFERROR(__xludf.DUMMYFUNCTION("""COMPUTED_VALUE"""),23600.0)</f>
        <v>23600</v>
      </c>
      <c r="F1016" s="1">
        <f>IFERROR(__xludf.DUMMYFUNCTION("""COMPUTED_VALUE"""),156857.0)</f>
        <v>156857</v>
      </c>
    </row>
    <row r="1017">
      <c r="A1017" s="2">
        <f>IFERROR(__xludf.DUMMYFUNCTION("""COMPUTED_VALUE"""),44365.64583333333)</f>
        <v>44365.64583</v>
      </c>
      <c r="B1017" s="1">
        <f>IFERROR(__xludf.DUMMYFUNCTION("""COMPUTED_VALUE"""),23600.0)</f>
        <v>23600</v>
      </c>
      <c r="C1017" s="1">
        <f>IFERROR(__xludf.DUMMYFUNCTION("""COMPUTED_VALUE"""),24150.0)</f>
        <v>24150</v>
      </c>
      <c r="D1017" s="1">
        <f>IFERROR(__xludf.DUMMYFUNCTION("""COMPUTED_VALUE"""),23500.0)</f>
        <v>23500</v>
      </c>
      <c r="E1017" s="1">
        <f>IFERROR(__xludf.DUMMYFUNCTION("""COMPUTED_VALUE"""),23700.0)</f>
        <v>23700</v>
      </c>
      <c r="F1017" s="1">
        <f>IFERROR(__xludf.DUMMYFUNCTION("""COMPUTED_VALUE"""),135297.0)</f>
        <v>135297</v>
      </c>
    </row>
    <row r="1018">
      <c r="A1018" s="2">
        <f>IFERROR(__xludf.DUMMYFUNCTION("""COMPUTED_VALUE"""),44368.64583333333)</f>
        <v>44368.64583</v>
      </c>
      <c r="B1018" s="1">
        <f>IFERROR(__xludf.DUMMYFUNCTION("""COMPUTED_VALUE"""),23400.0)</f>
        <v>23400</v>
      </c>
      <c r="C1018" s="1">
        <f>IFERROR(__xludf.DUMMYFUNCTION("""COMPUTED_VALUE"""),23900.0)</f>
        <v>23900</v>
      </c>
      <c r="D1018" s="1">
        <f>IFERROR(__xludf.DUMMYFUNCTION("""COMPUTED_VALUE"""),23150.0)</f>
        <v>23150</v>
      </c>
      <c r="E1018" s="1">
        <f>IFERROR(__xludf.DUMMYFUNCTION("""COMPUTED_VALUE"""),23350.0)</f>
        <v>23350</v>
      </c>
      <c r="F1018" s="1">
        <f>IFERROR(__xludf.DUMMYFUNCTION("""COMPUTED_VALUE"""),143687.0)</f>
        <v>143687</v>
      </c>
    </row>
    <row r="1019">
      <c r="A1019" s="2">
        <f>IFERROR(__xludf.DUMMYFUNCTION("""COMPUTED_VALUE"""),44369.64583333333)</f>
        <v>44369.64583</v>
      </c>
      <c r="B1019" s="1">
        <f>IFERROR(__xludf.DUMMYFUNCTION("""COMPUTED_VALUE"""),23450.0)</f>
        <v>23450</v>
      </c>
      <c r="C1019" s="1">
        <f>IFERROR(__xludf.DUMMYFUNCTION("""COMPUTED_VALUE"""),23850.0)</f>
        <v>23850</v>
      </c>
      <c r="D1019" s="1">
        <f>IFERROR(__xludf.DUMMYFUNCTION("""COMPUTED_VALUE"""),23300.0)</f>
        <v>23300</v>
      </c>
      <c r="E1019" s="1">
        <f>IFERROR(__xludf.DUMMYFUNCTION("""COMPUTED_VALUE"""),23700.0)</f>
        <v>23700</v>
      </c>
      <c r="F1019" s="1">
        <f>IFERROR(__xludf.DUMMYFUNCTION("""COMPUTED_VALUE"""),90841.0)</f>
        <v>90841</v>
      </c>
    </row>
    <row r="1020">
      <c r="A1020" s="2">
        <f>IFERROR(__xludf.DUMMYFUNCTION("""COMPUTED_VALUE"""),44370.64583333333)</f>
        <v>44370.64583</v>
      </c>
      <c r="B1020" s="1">
        <f>IFERROR(__xludf.DUMMYFUNCTION("""COMPUTED_VALUE"""),23800.0)</f>
        <v>23800</v>
      </c>
      <c r="C1020" s="1">
        <f>IFERROR(__xludf.DUMMYFUNCTION("""COMPUTED_VALUE"""),23800.0)</f>
        <v>23800</v>
      </c>
      <c r="D1020" s="1">
        <f>IFERROR(__xludf.DUMMYFUNCTION("""COMPUTED_VALUE"""),23200.0)</f>
        <v>23200</v>
      </c>
      <c r="E1020" s="1">
        <f>IFERROR(__xludf.DUMMYFUNCTION("""COMPUTED_VALUE"""),23550.0)</f>
        <v>23550</v>
      </c>
      <c r="F1020" s="1">
        <f>IFERROR(__xludf.DUMMYFUNCTION("""COMPUTED_VALUE"""),68783.0)</f>
        <v>68783</v>
      </c>
    </row>
    <row r="1021">
      <c r="A1021" s="2">
        <f>IFERROR(__xludf.DUMMYFUNCTION("""COMPUTED_VALUE"""),44371.64583333333)</f>
        <v>44371.64583</v>
      </c>
      <c r="B1021" s="1">
        <f>IFERROR(__xludf.DUMMYFUNCTION("""COMPUTED_VALUE"""),23500.0)</f>
        <v>23500</v>
      </c>
      <c r="C1021" s="1">
        <f>IFERROR(__xludf.DUMMYFUNCTION("""COMPUTED_VALUE"""),23700.0)</f>
        <v>23700</v>
      </c>
      <c r="D1021" s="1">
        <f>IFERROR(__xludf.DUMMYFUNCTION("""COMPUTED_VALUE"""),22900.0)</f>
        <v>22900</v>
      </c>
      <c r="E1021" s="1">
        <f>IFERROR(__xludf.DUMMYFUNCTION("""COMPUTED_VALUE"""),23400.0)</f>
        <v>23400</v>
      </c>
      <c r="F1021" s="1">
        <f>IFERROR(__xludf.DUMMYFUNCTION("""COMPUTED_VALUE"""),82002.0)</f>
        <v>82002</v>
      </c>
    </row>
    <row r="1022">
      <c r="A1022" s="2">
        <f>IFERROR(__xludf.DUMMYFUNCTION("""COMPUTED_VALUE"""),44372.64583333333)</f>
        <v>44372.64583</v>
      </c>
      <c r="B1022" s="1">
        <f>IFERROR(__xludf.DUMMYFUNCTION("""COMPUTED_VALUE"""),23500.0)</f>
        <v>23500</v>
      </c>
      <c r="C1022" s="1">
        <f>IFERROR(__xludf.DUMMYFUNCTION("""COMPUTED_VALUE"""),23500.0)</f>
        <v>23500</v>
      </c>
      <c r="D1022" s="1">
        <f>IFERROR(__xludf.DUMMYFUNCTION("""COMPUTED_VALUE"""),22900.0)</f>
        <v>22900</v>
      </c>
      <c r="E1022" s="1">
        <f>IFERROR(__xludf.DUMMYFUNCTION("""COMPUTED_VALUE"""),22950.0)</f>
        <v>22950</v>
      </c>
      <c r="F1022" s="1">
        <f>IFERROR(__xludf.DUMMYFUNCTION("""COMPUTED_VALUE"""),73497.0)</f>
        <v>73497</v>
      </c>
    </row>
    <row r="1023">
      <c r="A1023" s="2">
        <f>IFERROR(__xludf.DUMMYFUNCTION("""COMPUTED_VALUE"""),44375.64583333333)</f>
        <v>44375.64583</v>
      </c>
      <c r="B1023" s="1">
        <f>IFERROR(__xludf.DUMMYFUNCTION("""COMPUTED_VALUE"""),23150.0)</f>
        <v>23150</v>
      </c>
      <c r="C1023" s="1">
        <f>IFERROR(__xludf.DUMMYFUNCTION("""COMPUTED_VALUE"""),23150.0)</f>
        <v>23150</v>
      </c>
      <c r="D1023" s="1">
        <f>IFERROR(__xludf.DUMMYFUNCTION("""COMPUTED_VALUE"""),22600.0)</f>
        <v>22600</v>
      </c>
      <c r="E1023" s="1">
        <f>IFERROR(__xludf.DUMMYFUNCTION("""COMPUTED_VALUE"""),22700.0)</f>
        <v>22700</v>
      </c>
      <c r="F1023" s="1">
        <f>IFERROR(__xludf.DUMMYFUNCTION("""COMPUTED_VALUE"""),61757.0)</f>
        <v>61757</v>
      </c>
    </row>
    <row r="1024">
      <c r="A1024" s="2">
        <f>IFERROR(__xludf.DUMMYFUNCTION("""COMPUTED_VALUE"""),44376.64583333333)</f>
        <v>44376.64583</v>
      </c>
      <c r="B1024" s="1">
        <f>IFERROR(__xludf.DUMMYFUNCTION("""COMPUTED_VALUE"""),22850.0)</f>
        <v>22850</v>
      </c>
      <c r="C1024" s="1">
        <f>IFERROR(__xludf.DUMMYFUNCTION("""COMPUTED_VALUE"""),22900.0)</f>
        <v>22900</v>
      </c>
      <c r="D1024" s="1">
        <f>IFERROR(__xludf.DUMMYFUNCTION("""COMPUTED_VALUE"""),22600.0)</f>
        <v>22600</v>
      </c>
      <c r="E1024" s="1">
        <f>IFERROR(__xludf.DUMMYFUNCTION("""COMPUTED_VALUE"""),22800.0)</f>
        <v>22800</v>
      </c>
      <c r="F1024" s="1">
        <f>IFERROR(__xludf.DUMMYFUNCTION("""COMPUTED_VALUE"""),32787.0)</f>
        <v>32787</v>
      </c>
    </row>
    <row r="1025">
      <c r="A1025" s="2">
        <f>IFERROR(__xludf.DUMMYFUNCTION("""COMPUTED_VALUE"""),44377.64583333333)</f>
        <v>44377.64583</v>
      </c>
      <c r="B1025" s="1">
        <f>IFERROR(__xludf.DUMMYFUNCTION("""COMPUTED_VALUE"""),22800.0)</f>
        <v>22800</v>
      </c>
      <c r="C1025" s="1">
        <f>IFERROR(__xludf.DUMMYFUNCTION("""COMPUTED_VALUE"""),22850.0)</f>
        <v>22850</v>
      </c>
      <c r="D1025" s="1">
        <f>IFERROR(__xludf.DUMMYFUNCTION("""COMPUTED_VALUE"""),22350.0)</f>
        <v>22350</v>
      </c>
      <c r="E1025" s="1">
        <f>IFERROR(__xludf.DUMMYFUNCTION("""COMPUTED_VALUE"""),22850.0)</f>
        <v>22850</v>
      </c>
      <c r="F1025" s="1">
        <f>IFERROR(__xludf.DUMMYFUNCTION("""COMPUTED_VALUE"""),77298.0)</f>
        <v>77298</v>
      </c>
    </row>
    <row r="1026">
      <c r="A1026" s="2">
        <f>IFERROR(__xludf.DUMMYFUNCTION("""COMPUTED_VALUE"""),44378.64583333333)</f>
        <v>44378.64583</v>
      </c>
      <c r="B1026" s="1">
        <f>IFERROR(__xludf.DUMMYFUNCTION("""COMPUTED_VALUE"""),22700.0)</f>
        <v>22700</v>
      </c>
      <c r="C1026" s="1">
        <f>IFERROR(__xludf.DUMMYFUNCTION("""COMPUTED_VALUE"""),22850.0)</f>
        <v>22850</v>
      </c>
      <c r="D1026" s="1">
        <f>IFERROR(__xludf.DUMMYFUNCTION("""COMPUTED_VALUE"""),22450.0)</f>
        <v>22450</v>
      </c>
      <c r="E1026" s="1">
        <f>IFERROR(__xludf.DUMMYFUNCTION("""COMPUTED_VALUE"""),22800.0)</f>
        <v>22800</v>
      </c>
      <c r="F1026" s="1">
        <f>IFERROR(__xludf.DUMMYFUNCTION("""COMPUTED_VALUE"""),79253.0)</f>
        <v>79253</v>
      </c>
    </row>
    <row r="1027">
      <c r="A1027" s="2">
        <f>IFERROR(__xludf.DUMMYFUNCTION("""COMPUTED_VALUE"""),44379.64583333333)</f>
        <v>44379.64583</v>
      </c>
      <c r="B1027" s="1">
        <f>IFERROR(__xludf.DUMMYFUNCTION("""COMPUTED_VALUE"""),22650.0)</f>
        <v>22650</v>
      </c>
      <c r="C1027" s="1">
        <f>IFERROR(__xludf.DUMMYFUNCTION("""COMPUTED_VALUE"""),22800.0)</f>
        <v>22800</v>
      </c>
      <c r="D1027" s="1">
        <f>IFERROR(__xludf.DUMMYFUNCTION("""COMPUTED_VALUE"""),22500.0)</f>
        <v>22500</v>
      </c>
      <c r="E1027" s="1">
        <f>IFERROR(__xludf.DUMMYFUNCTION("""COMPUTED_VALUE"""),22650.0)</f>
        <v>22650</v>
      </c>
      <c r="F1027" s="1">
        <f>IFERROR(__xludf.DUMMYFUNCTION("""COMPUTED_VALUE"""),39106.0)</f>
        <v>39106</v>
      </c>
    </row>
    <row r="1028">
      <c r="A1028" s="2">
        <f>IFERROR(__xludf.DUMMYFUNCTION("""COMPUTED_VALUE"""),44382.64583333333)</f>
        <v>44382.64583</v>
      </c>
      <c r="B1028" s="1">
        <f>IFERROR(__xludf.DUMMYFUNCTION("""COMPUTED_VALUE"""),22800.0)</f>
        <v>22800</v>
      </c>
      <c r="C1028" s="1">
        <f>IFERROR(__xludf.DUMMYFUNCTION("""COMPUTED_VALUE"""),22800.0)</f>
        <v>22800</v>
      </c>
      <c r="D1028" s="1">
        <f>IFERROR(__xludf.DUMMYFUNCTION("""COMPUTED_VALUE"""),22400.0)</f>
        <v>22400</v>
      </c>
      <c r="E1028" s="1">
        <f>IFERROR(__xludf.DUMMYFUNCTION("""COMPUTED_VALUE"""),22500.0)</f>
        <v>22500</v>
      </c>
      <c r="F1028" s="1">
        <f>IFERROR(__xludf.DUMMYFUNCTION("""COMPUTED_VALUE"""),38107.0)</f>
        <v>38107</v>
      </c>
    </row>
    <row r="1029">
      <c r="A1029" s="2">
        <f>IFERROR(__xludf.DUMMYFUNCTION("""COMPUTED_VALUE"""),44383.64583333333)</f>
        <v>44383.64583</v>
      </c>
      <c r="B1029" s="1">
        <f>IFERROR(__xludf.DUMMYFUNCTION("""COMPUTED_VALUE"""),22500.0)</f>
        <v>22500</v>
      </c>
      <c r="C1029" s="1">
        <f>IFERROR(__xludf.DUMMYFUNCTION("""COMPUTED_VALUE"""),22650.0)</f>
        <v>22650</v>
      </c>
      <c r="D1029" s="1">
        <f>IFERROR(__xludf.DUMMYFUNCTION("""COMPUTED_VALUE"""),22350.0)</f>
        <v>22350</v>
      </c>
      <c r="E1029" s="1">
        <f>IFERROR(__xludf.DUMMYFUNCTION("""COMPUTED_VALUE"""),22400.0)</f>
        <v>22400</v>
      </c>
      <c r="F1029" s="1">
        <f>IFERROR(__xludf.DUMMYFUNCTION("""COMPUTED_VALUE"""),34494.0)</f>
        <v>34494</v>
      </c>
    </row>
    <row r="1030">
      <c r="A1030" s="2">
        <f>IFERROR(__xludf.DUMMYFUNCTION("""COMPUTED_VALUE"""),44384.64583333333)</f>
        <v>44384.64583</v>
      </c>
      <c r="B1030" s="1">
        <f>IFERROR(__xludf.DUMMYFUNCTION("""COMPUTED_VALUE"""),22250.0)</f>
        <v>22250</v>
      </c>
      <c r="C1030" s="1">
        <f>IFERROR(__xludf.DUMMYFUNCTION("""COMPUTED_VALUE"""),22350.0)</f>
        <v>22350</v>
      </c>
      <c r="D1030" s="1">
        <f>IFERROR(__xludf.DUMMYFUNCTION("""COMPUTED_VALUE"""),21950.0)</f>
        <v>21950</v>
      </c>
      <c r="E1030" s="1">
        <f>IFERROR(__xludf.DUMMYFUNCTION("""COMPUTED_VALUE"""),22250.0)</f>
        <v>22250</v>
      </c>
      <c r="F1030" s="1">
        <f>IFERROR(__xludf.DUMMYFUNCTION("""COMPUTED_VALUE"""),90030.0)</f>
        <v>90030</v>
      </c>
    </row>
    <row r="1031">
      <c r="A1031" s="2">
        <f>IFERROR(__xludf.DUMMYFUNCTION("""COMPUTED_VALUE"""),44385.64583333333)</f>
        <v>44385.64583</v>
      </c>
      <c r="B1031" s="1">
        <f>IFERROR(__xludf.DUMMYFUNCTION("""COMPUTED_VALUE"""),22300.0)</f>
        <v>22300</v>
      </c>
      <c r="C1031" s="1">
        <f>IFERROR(__xludf.DUMMYFUNCTION("""COMPUTED_VALUE"""),22300.0)</f>
        <v>22300</v>
      </c>
      <c r="D1031" s="1">
        <f>IFERROR(__xludf.DUMMYFUNCTION("""COMPUTED_VALUE"""),21650.0)</f>
        <v>21650</v>
      </c>
      <c r="E1031" s="1">
        <f>IFERROR(__xludf.DUMMYFUNCTION("""COMPUTED_VALUE"""),21800.0)</f>
        <v>21800</v>
      </c>
      <c r="F1031" s="1">
        <f>IFERROR(__xludf.DUMMYFUNCTION("""COMPUTED_VALUE"""),81447.0)</f>
        <v>81447</v>
      </c>
    </row>
    <row r="1032">
      <c r="A1032" s="2">
        <f>IFERROR(__xludf.DUMMYFUNCTION("""COMPUTED_VALUE"""),44386.64583333333)</f>
        <v>44386.64583</v>
      </c>
      <c r="B1032" s="1">
        <f>IFERROR(__xludf.DUMMYFUNCTION("""COMPUTED_VALUE"""),21750.0)</f>
        <v>21750</v>
      </c>
      <c r="C1032" s="1">
        <f>IFERROR(__xludf.DUMMYFUNCTION("""COMPUTED_VALUE"""),21750.0)</f>
        <v>21750</v>
      </c>
      <c r="D1032" s="1">
        <f>IFERROR(__xludf.DUMMYFUNCTION("""COMPUTED_VALUE"""),21000.0)</f>
        <v>21000</v>
      </c>
      <c r="E1032" s="1">
        <f>IFERROR(__xludf.DUMMYFUNCTION("""COMPUTED_VALUE"""),21300.0)</f>
        <v>21300</v>
      </c>
      <c r="F1032" s="1">
        <f>IFERROR(__xludf.DUMMYFUNCTION("""COMPUTED_VALUE"""),91633.0)</f>
        <v>91633</v>
      </c>
    </row>
    <row r="1033">
      <c r="A1033" s="2">
        <f>IFERROR(__xludf.DUMMYFUNCTION("""COMPUTED_VALUE"""),44389.64583333333)</f>
        <v>44389.64583</v>
      </c>
      <c r="B1033" s="1">
        <f>IFERROR(__xludf.DUMMYFUNCTION("""COMPUTED_VALUE"""),21500.0)</f>
        <v>21500</v>
      </c>
      <c r="C1033" s="1">
        <f>IFERROR(__xludf.DUMMYFUNCTION("""COMPUTED_VALUE"""),22000.0)</f>
        <v>22000</v>
      </c>
      <c r="D1033" s="1">
        <f>IFERROR(__xludf.DUMMYFUNCTION("""COMPUTED_VALUE"""),21100.0)</f>
        <v>21100</v>
      </c>
      <c r="E1033" s="1">
        <f>IFERROR(__xludf.DUMMYFUNCTION("""COMPUTED_VALUE"""),21850.0)</f>
        <v>21850</v>
      </c>
      <c r="F1033" s="1">
        <f>IFERROR(__xludf.DUMMYFUNCTION("""COMPUTED_VALUE"""),50598.0)</f>
        <v>50598</v>
      </c>
    </row>
    <row r="1034">
      <c r="A1034" s="2">
        <f>IFERROR(__xludf.DUMMYFUNCTION("""COMPUTED_VALUE"""),44390.64583333333)</f>
        <v>44390.64583</v>
      </c>
      <c r="B1034" s="1">
        <f>IFERROR(__xludf.DUMMYFUNCTION("""COMPUTED_VALUE"""),21850.0)</f>
        <v>21850</v>
      </c>
      <c r="C1034" s="1">
        <f>IFERROR(__xludf.DUMMYFUNCTION("""COMPUTED_VALUE"""),22100.0)</f>
        <v>22100</v>
      </c>
      <c r="D1034" s="1">
        <f>IFERROR(__xludf.DUMMYFUNCTION("""COMPUTED_VALUE"""),21650.0)</f>
        <v>21650</v>
      </c>
      <c r="E1034" s="1">
        <f>IFERROR(__xludf.DUMMYFUNCTION("""COMPUTED_VALUE"""),22100.0)</f>
        <v>22100</v>
      </c>
      <c r="F1034" s="1">
        <f>IFERROR(__xludf.DUMMYFUNCTION("""COMPUTED_VALUE"""),49501.0)</f>
        <v>49501</v>
      </c>
    </row>
    <row r="1035">
      <c r="A1035" s="2">
        <f>IFERROR(__xludf.DUMMYFUNCTION("""COMPUTED_VALUE"""),44391.64583333333)</f>
        <v>44391.64583</v>
      </c>
      <c r="B1035" s="1">
        <f>IFERROR(__xludf.DUMMYFUNCTION("""COMPUTED_VALUE"""),22100.0)</f>
        <v>22100</v>
      </c>
      <c r="C1035" s="1">
        <f>IFERROR(__xludf.DUMMYFUNCTION("""COMPUTED_VALUE"""),22100.0)</f>
        <v>22100</v>
      </c>
      <c r="D1035" s="1">
        <f>IFERROR(__xludf.DUMMYFUNCTION("""COMPUTED_VALUE"""),21550.0)</f>
        <v>21550</v>
      </c>
      <c r="E1035" s="1">
        <f>IFERROR(__xludf.DUMMYFUNCTION("""COMPUTED_VALUE"""),21700.0)</f>
        <v>21700</v>
      </c>
      <c r="F1035" s="1">
        <f>IFERROR(__xludf.DUMMYFUNCTION("""COMPUTED_VALUE"""),41551.0)</f>
        <v>41551</v>
      </c>
    </row>
    <row r="1036">
      <c r="A1036" s="2">
        <f>IFERROR(__xludf.DUMMYFUNCTION("""COMPUTED_VALUE"""),44392.64583333333)</f>
        <v>44392.64583</v>
      </c>
      <c r="B1036" s="1">
        <f>IFERROR(__xludf.DUMMYFUNCTION("""COMPUTED_VALUE"""),21900.0)</f>
        <v>21900</v>
      </c>
      <c r="C1036" s="1">
        <f>IFERROR(__xludf.DUMMYFUNCTION("""COMPUTED_VALUE"""),22100.0)</f>
        <v>22100</v>
      </c>
      <c r="D1036" s="1">
        <f>IFERROR(__xludf.DUMMYFUNCTION("""COMPUTED_VALUE"""),21500.0)</f>
        <v>21500</v>
      </c>
      <c r="E1036" s="1">
        <f>IFERROR(__xludf.DUMMYFUNCTION("""COMPUTED_VALUE"""),21800.0)</f>
        <v>21800</v>
      </c>
      <c r="F1036" s="1">
        <f>IFERROR(__xludf.DUMMYFUNCTION("""COMPUTED_VALUE"""),51507.0)</f>
        <v>51507</v>
      </c>
    </row>
    <row r="1037">
      <c r="A1037" s="2">
        <f>IFERROR(__xludf.DUMMYFUNCTION("""COMPUTED_VALUE"""),44393.64583333333)</f>
        <v>44393.64583</v>
      </c>
      <c r="B1037" s="1">
        <f>IFERROR(__xludf.DUMMYFUNCTION("""COMPUTED_VALUE"""),21700.0)</f>
        <v>21700</v>
      </c>
      <c r="C1037" s="1">
        <f>IFERROR(__xludf.DUMMYFUNCTION("""COMPUTED_VALUE"""),21850.0)</f>
        <v>21850</v>
      </c>
      <c r="D1037" s="1">
        <f>IFERROR(__xludf.DUMMYFUNCTION("""COMPUTED_VALUE"""),21250.0)</f>
        <v>21250</v>
      </c>
      <c r="E1037" s="1">
        <f>IFERROR(__xludf.DUMMYFUNCTION("""COMPUTED_VALUE"""),21450.0)</f>
        <v>21450</v>
      </c>
      <c r="F1037" s="1">
        <f>IFERROR(__xludf.DUMMYFUNCTION("""COMPUTED_VALUE"""),54589.0)</f>
        <v>54589</v>
      </c>
    </row>
    <row r="1038">
      <c r="A1038" s="2">
        <f>IFERROR(__xludf.DUMMYFUNCTION("""COMPUTED_VALUE"""),44396.64583333333)</f>
        <v>44396.64583</v>
      </c>
      <c r="B1038" s="1">
        <f>IFERROR(__xludf.DUMMYFUNCTION("""COMPUTED_VALUE"""),21350.0)</f>
        <v>21350</v>
      </c>
      <c r="C1038" s="1">
        <f>IFERROR(__xludf.DUMMYFUNCTION("""COMPUTED_VALUE"""),21500.0)</f>
        <v>21500</v>
      </c>
      <c r="D1038" s="1">
        <f>IFERROR(__xludf.DUMMYFUNCTION("""COMPUTED_VALUE"""),20900.0)</f>
        <v>20900</v>
      </c>
      <c r="E1038" s="1">
        <f>IFERROR(__xludf.DUMMYFUNCTION("""COMPUTED_VALUE"""),21300.0)</f>
        <v>21300</v>
      </c>
      <c r="F1038" s="1">
        <f>IFERROR(__xludf.DUMMYFUNCTION("""COMPUTED_VALUE"""),73127.0)</f>
        <v>73127</v>
      </c>
    </row>
    <row r="1039">
      <c r="A1039" s="2">
        <f>IFERROR(__xludf.DUMMYFUNCTION("""COMPUTED_VALUE"""),44397.64583333333)</f>
        <v>44397.64583</v>
      </c>
      <c r="B1039" s="1">
        <f>IFERROR(__xludf.DUMMYFUNCTION("""COMPUTED_VALUE"""),21000.0)</f>
        <v>21000</v>
      </c>
      <c r="C1039" s="1">
        <f>IFERROR(__xludf.DUMMYFUNCTION("""COMPUTED_VALUE"""),21550.0)</f>
        <v>21550</v>
      </c>
      <c r="D1039" s="1">
        <f>IFERROR(__xludf.DUMMYFUNCTION("""COMPUTED_VALUE"""),20850.0)</f>
        <v>20850</v>
      </c>
      <c r="E1039" s="1">
        <f>IFERROR(__xludf.DUMMYFUNCTION("""COMPUTED_VALUE"""),21300.0)</f>
        <v>21300</v>
      </c>
      <c r="F1039" s="1">
        <f>IFERROR(__xludf.DUMMYFUNCTION("""COMPUTED_VALUE"""),77611.0)</f>
        <v>77611</v>
      </c>
    </row>
    <row r="1040">
      <c r="A1040" s="2">
        <f>IFERROR(__xludf.DUMMYFUNCTION("""COMPUTED_VALUE"""),44398.64583333333)</f>
        <v>44398.64583</v>
      </c>
      <c r="B1040" s="1">
        <f>IFERROR(__xludf.DUMMYFUNCTION("""COMPUTED_VALUE"""),21300.0)</f>
        <v>21300</v>
      </c>
      <c r="C1040" s="1">
        <f>IFERROR(__xludf.DUMMYFUNCTION("""COMPUTED_VALUE"""),21550.0)</f>
        <v>21550</v>
      </c>
      <c r="D1040" s="1">
        <f>IFERROR(__xludf.DUMMYFUNCTION("""COMPUTED_VALUE"""),21050.0)</f>
        <v>21050</v>
      </c>
      <c r="E1040" s="1">
        <f>IFERROR(__xludf.DUMMYFUNCTION("""COMPUTED_VALUE"""),21300.0)</f>
        <v>21300</v>
      </c>
      <c r="F1040" s="1">
        <f>IFERROR(__xludf.DUMMYFUNCTION("""COMPUTED_VALUE"""),86529.0)</f>
        <v>86529</v>
      </c>
    </row>
    <row r="1041">
      <c r="A1041" s="2">
        <f>IFERROR(__xludf.DUMMYFUNCTION("""COMPUTED_VALUE"""),44399.64583333333)</f>
        <v>44399.64583</v>
      </c>
      <c r="B1041" s="1">
        <f>IFERROR(__xludf.DUMMYFUNCTION("""COMPUTED_VALUE"""),21350.0)</f>
        <v>21350</v>
      </c>
      <c r="C1041" s="1">
        <f>IFERROR(__xludf.DUMMYFUNCTION("""COMPUTED_VALUE"""),21650.0)</f>
        <v>21650</v>
      </c>
      <c r="D1041" s="1">
        <f>IFERROR(__xludf.DUMMYFUNCTION("""COMPUTED_VALUE"""),21150.0)</f>
        <v>21150</v>
      </c>
      <c r="E1041" s="1">
        <f>IFERROR(__xludf.DUMMYFUNCTION("""COMPUTED_VALUE"""),21600.0)</f>
        <v>21600</v>
      </c>
      <c r="F1041" s="1">
        <f>IFERROR(__xludf.DUMMYFUNCTION("""COMPUTED_VALUE"""),61580.0)</f>
        <v>61580</v>
      </c>
    </row>
    <row r="1042">
      <c r="A1042" s="2">
        <f>IFERROR(__xludf.DUMMYFUNCTION("""COMPUTED_VALUE"""),44400.64583333333)</f>
        <v>44400.64583</v>
      </c>
      <c r="B1042" s="1">
        <f>IFERROR(__xludf.DUMMYFUNCTION("""COMPUTED_VALUE"""),21600.0)</f>
        <v>21600</v>
      </c>
      <c r="C1042" s="1">
        <f>IFERROR(__xludf.DUMMYFUNCTION("""COMPUTED_VALUE"""),21600.0)</f>
        <v>21600</v>
      </c>
      <c r="D1042" s="1">
        <f>IFERROR(__xludf.DUMMYFUNCTION("""COMPUTED_VALUE"""),21200.0)</f>
        <v>21200</v>
      </c>
      <c r="E1042" s="1">
        <f>IFERROR(__xludf.DUMMYFUNCTION("""COMPUTED_VALUE"""),21600.0)</f>
        <v>21600</v>
      </c>
      <c r="F1042" s="1">
        <f>IFERROR(__xludf.DUMMYFUNCTION("""COMPUTED_VALUE"""),37507.0)</f>
        <v>37507</v>
      </c>
    </row>
    <row r="1043">
      <c r="A1043" s="2">
        <f>IFERROR(__xludf.DUMMYFUNCTION("""COMPUTED_VALUE"""),44403.64583333333)</f>
        <v>44403.64583</v>
      </c>
      <c r="B1043" s="1">
        <f>IFERROR(__xludf.DUMMYFUNCTION("""COMPUTED_VALUE"""),21650.0)</f>
        <v>21650</v>
      </c>
      <c r="C1043" s="1">
        <f>IFERROR(__xludf.DUMMYFUNCTION("""COMPUTED_VALUE"""),21650.0)</f>
        <v>21650</v>
      </c>
      <c r="D1043" s="1">
        <f>IFERROR(__xludf.DUMMYFUNCTION("""COMPUTED_VALUE"""),21350.0)</f>
        <v>21350</v>
      </c>
      <c r="E1043" s="1">
        <f>IFERROR(__xludf.DUMMYFUNCTION("""COMPUTED_VALUE"""),21600.0)</f>
        <v>21600</v>
      </c>
      <c r="F1043" s="1">
        <f>IFERROR(__xludf.DUMMYFUNCTION("""COMPUTED_VALUE"""),56944.0)</f>
        <v>56944</v>
      </c>
    </row>
    <row r="1044">
      <c r="A1044" s="2">
        <f>IFERROR(__xludf.DUMMYFUNCTION("""COMPUTED_VALUE"""),44404.64583333333)</f>
        <v>44404.64583</v>
      </c>
      <c r="B1044" s="1">
        <f>IFERROR(__xludf.DUMMYFUNCTION("""COMPUTED_VALUE"""),21350.0)</f>
        <v>21350</v>
      </c>
      <c r="C1044" s="1">
        <f>IFERROR(__xludf.DUMMYFUNCTION("""COMPUTED_VALUE"""),21950.0)</f>
        <v>21950</v>
      </c>
      <c r="D1044" s="1">
        <f>IFERROR(__xludf.DUMMYFUNCTION("""COMPUTED_VALUE"""),21350.0)</f>
        <v>21350</v>
      </c>
      <c r="E1044" s="1">
        <f>IFERROR(__xludf.DUMMYFUNCTION("""COMPUTED_VALUE"""),21700.0)</f>
        <v>21700</v>
      </c>
      <c r="F1044" s="1">
        <f>IFERROR(__xludf.DUMMYFUNCTION("""COMPUTED_VALUE"""),31676.0)</f>
        <v>31676</v>
      </c>
    </row>
    <row r="1045">
      <c r="A1045" s="2">
        <f>IFERROR(__xludf.DUMMYFUNCTION("""COMPUTED_VALUE"""),44405.64583333333)</f>
        <v>44405.64583</v>
      </c>
      <c r="B1045" s="1">
        <f>IFERROR(__xludf.DUMMYFUNCTION("""COMPUTED_VALUE"""),21400.0)</f>
        <v>21400</v>
      </c>
      <c r="C1045" s="1">
        <f>IFERROR(__xludf.DUMMYFUNCTION("""COMPUTED_VALUE"""),21650.0)</f>
        <v>21650</v>
      </c>
      <c r="D1045" s="1">
        <f>IFERROR(__xludf.DUMMYFUNCTION("""COMPUTED_VALUE"""),21300.0)</f>
        <v>21300</v>
      </c>
      <c r="E1045" s="1">
        <f>IFERROR(__xludf.DUMMYFUNCTION("""COMPUTED_VALUE"""),21450.0)</f>
        <v>21450</v>
      </c>
      <c r="F1045" s="1">
        <f>IFERROR(__xludf.DUMMYFUNCTION("""COMPUTED_VALUE"""),36526.0)</f>
        <v>36526</v>
      </c>
    </row>
    <row r="1046">
      <c r="A1046" s="2">
        <f>IFERROR(__xludf.DUMMYFUNCTION("""COMPUTED_VALUE"""),44406.64583333333)</f>
        <v>44406.64583</v>
      </c>
      <c r="B1046" s="1">
        <f>IFERROR(__xludf.DUMMYFUNCTION("""COMPUTED_VALUE"""),21700.0)</f>
        <v>21700</v>
      </c>
      <c r="C1046" s="1">
        <f>IFERROR(__xludf.DUMMYFUNCTION("""COMPUTED_VALUE"""),21700.0)</f>
        <v>21700</v>
      </c>
      <c r="D1046" s="1">
        <f>IFERROR(__xludf.DUMMYFUNCTION("""COMPUTED_VALUE"""),21400.0)</f>
        <v>21400</v>
      </c>
      <c r="E1046" s="1">
        <f>IFERROR(__xludf.DUMMYFUNCTION("""COMPUTED_VALUE"""),21600.0)</f>
        <v>21600</v>
      </c>
      <c r="F1046" s="1">
        <f>IFERROR(__xludf.DUMMYFUNCTION("""COMPUTED_VALUE"""),27543.0)</f>
        <v>27543</v>
      </c>
    </row>
    <row r="1047">
      <c r="A1047" s="2">
        <f>IFERROR(__xludf.DUMMYFUNCTION("""COMPUTED_VALUE"""),44407.64583333333)</f>
        <v>44407.64583</v>
      </c>
      <c r="B1047" s="1">
        <f>IFERROR(__xludf.DUMMYFUNCTION("""COMPUTED_VALUE"""),21600.0)</f>
        <v>21600</v>
      </c>
      <c r="C1047" s="1">
        <f>IFERROR(__xludf.DUMMYFUNCTION("""COMPUTED_VALUE"""),21850.0)</f>
        <v>21850</v>
      </c>
      <c r="D1047" s="1">
        <f>IFERROR(__xludf.DUMMYFUNCTION("""COMPUTED_VALUE"""),21350.0)</f>
        <v>21350</v>
      </c>
      <c r="E1047" s="1">
        <f>IFERROR(__xludf.DUMMYFUNCTION("""COMPUTED_VALUE"""),21600.0)</f>
        <v>21600</v>
      </c>
      <c r="F1047" s="1">
        <f>IFERROR(__xludf.DUMMYFUNCTION("""COMPUTED_VALUE"""),61040.0)</f>
        <v>61040</v>
      </c>
    </row>
    <row r="1048">
      <c r="A1048" s="2">
        <f>IFERROR(__xludf.DUMMYFUNCTION("""COMPUTED_VALUE"""),44410.64583333333)</f>
        <v>44410.64583</v>
      </c>
      <c r="B1048" s="1">
        <f>IFERROR(__xludf.DUMMYFUNCTION("""COMPUTED_VALUE"""),21600.0)</f>
        <v>21600</v>
      </c>
      <c r="C1048" s="1">
        <f>IFERROR(__xludf.DUMMYFUNCTION("""COMPUTED_VALUE"""),21750.0)</f>
        <v>21750</v>
      </c>
      <c r="D1048" s="1">
        <f>IFERROR(__xludf.DUMMYFUNCTION("""COMPUTED_VALUE"""),21400.0)</f>
        <v>21400</v>
      </c>
      <c r="E1048" s="1">
        <f>IFERROR(__xludf.DUMMYFUNCTION("""COMPUTED_VALUE"""),21700.0)</f>
        <v>21700</v>
      </c>
      <c r="F1048" s="1">
        <f>IFERROR(__xludf.DUMMYFUNCTION("""COMPUTED_VALUE"""),21199.0)</f>
        <v>21199</v>
      </c>
    </row>
    <row r="1049">
      <c r="A1049" s="2">
        <f>IFERROR(__xludf.DUMMYFUNCTION("""COMPUTED_VALUE"""),44411.64583333333)</f>
        <v>44411.64583</v>
      </c>
      <c r="B1049" s="1">
        <f>IFERROR(__xludf.DUMMYFUNCTION("""COMPUTED_VALUE"""),21750.0)</f>
        <v>21750</v>
      </c>
      <c r="C1049" s="1">
        <f>IFERROR(__xludf.DUMMYFUNCTION("""COMPUTED_VALUE"""),22050.0)</f>
        <v>22050</v>
      </c>
      <c r="D1049" s="1">
        <f>IFERROR(__xludf.DUMMYFUNCTION("""COMPUTED_VALUE"""),21550.0)</f>
        <v>21550</v>
      </c>
      <c r="E1049" s="1">
        <f>IFERROR(__xludf.DUMMYFUNCTION("""COMPUTED_VALUE"""),21850.0)</f>
        <v>21850</v>
      </c>
      <c r="F1049" s="1">
        <f>IFERROR(__xludf.DUMMYFUNCTION("""COMPUTED_VALUE"""),47674.0)</f>
        <v>47674</v>
      </c>
    </row>
    <row r="1050">
      <c r="A1050" s="2">
        <f>IFERROR(__xludf.DUMMYFUNCTION("""COMPUTED_VALUE"""),44412.64583333333)</f>
        <v>44412.64583</v>
      </c>
      <c r="B1050" s="1">
        <f>IFERROR(__xludf.DUMMYFUNCTION("""COMPUTED_VALUE"""),21900.0)</f>
        <v>21900</v>
      </c>
      <c r="C1050" s="1">
        <f>IFERROR(__xludf.DUMMYFUNCTION("""COMPUTED_VALUE"""),22300.0)</f>
        <v>22300</v>
      </c>
      <c r="D1050" s="1">
        <f>IFERROR(__xludf.DUMMYFUNCTION("""COMPUTED_VALUE"""),21600.0)</f>
        <v>21600</v>
      </c>
      <c r="E1050" s="1">
        <f>IFERROR(__xludf.DUMMYFUNCTION("""COMPUTED_VALUE"""),22150.0)</f>
        <v>22150</v>
      </c>
      <c r="F1050" s="1">
        <f>IFERROR(__xludf.DUMMYFUNCTION("""COMPUTED_VALUE"""),68445.0)</f>
        <v>68445</v>
      </c>
    </row>
    <row r="1051">
      <c r="A1051" s="2">
        <f>IFERROR(__xludf.DUMMYFUNCTION("""COMPUTED_VALUE"""),44413.64583333333)</f>
        <v>44413.64583</v>
      </c>
      <c r="B1051" s="1">
        <f>IFERROR(__xludf.DUMMYFUNCTION("""COMPUTED_VALUE"""),22100.0)</f>
        <v>22100</v>
      </c>
      <c r="C1051" s="1">
        <f>IFERROR(__xludf.DUMMYFUNCTION("""COMPUTED_VALUE"""),22950.0)</f>
        <v>22950</v>
      </c>
      <c r="D1051" s="1">
        <f>IFERROR(__xludf.DUMMYFUNCTION("""COMPUTED_VALUE"""),22050.0)</f>
        <v>22050</v>
      </c>
      <c r="E1051" s="1">
        <f>IFERROR(__xludf.DUMMYFUNCTION("""COMPUTED_VALUE"""),22900.0)</f>
        <v>22900</v>
      </c>
      <c r="F1051" s="1">
        <f>IFERROR(__xludf.DUMMYFUNCTION("""COMPUTED_VALUE"""),149370.0)</f>
        <v>149370</v>
      </c>
    </row>
    <row r="1052">
      <c r="A1052" s="2">
        <f>IFERROR(__xludf.DUMMYFUNCTION("""COMPUTED_VALUE"""),44414.64583333333)</f>
        <v>44414.64583</v>
      </c>
      <c r="B1052" s="1">
        <f>IFERROR(__xludf.DUMMYFUNCTION("""COMPUTED_VALUE"""),22900.0)</f>
        <v>22900</v>
      </c>
      <c r="C1052" s="1">
        <f>IFERROR(__xludf.DUMMYFUNCTION("""COMPUTED_VALUE"""),23100.0)</f>
        <v>23100</v>
      </c>
      <c r="D1052" s="1">
        <f>IFERROR(__xludf.DUMMYFUNCTION("""COMPUTED_VALUE"""),22700.0)</f>
        <v>22700</v>
      </c>
      <c r="E1052" s="1">
        <f>IFERROR(__xludf.DUMMYFUNCTION("""COMPUTED_VALUE"""),22850.0)</f>
        <v>22850</v>
      </c>
      <c r="F1052" s="1">
        <f>IFERROR(__xludf.DUMMYFUNCTION("""COMPUTED_VALUE"""),73190.0)</f>
        <v>73190</v>
      </c>
    </row>
    <row r="1053">
      <c r="A1053" s="2">
        <f>IFERROR(__xludf.DUMMYFUNCTION("""COMPUTED_VALUE"""),44417.64583333333)</f>
        <v>44417.64583</v>
      </c>
      <c r="B1053" s="1">
        <f>IFERROR(__xludf.DUMMYFUNCTION("""COMPUTED_VALUE"""),23050.0)</f>
        <v>23050</v>
      </c>
      <c r="C1053" s="1">
        <f>IFERROR(__xludf.DUMMYFUNCTION("""COMPUTED_VALUE"""),23050.0)</f>
        <v>23050</v>
      </c>
      <c r="D1053" s="1">
        <f>IFERROR(__xludf.DUMMYFUNCTION("""COMPUTED_VALUE"""),22450.0)</f>
        <v>22450</v>
      </c>
      <c r="E1053" s="1">
        <f>IFERROR(__xludf.DUMMYFUNCTION("""COMPUTED_VALUE"""),22850.0)</f>
        <v>22850</v>
      </c>
      <c r="F1053" s="1">
        <f>IFERROR(__xludf.DUMMYFUNCTION("""COMPUTED_VALUE"""),57304.0)</f>
        <v>57304</v>
      </c>
    </row>
    <row r="1054">
      <c r="A1054" s="2">
        <f>IFERROR(__xludf.DUMMYFUNCTION("""COMPUTED_VALUE"""),44418.64583333333)</f>
        <v>44418.64583</v>
      </c>
      <c r="B1054" s="1">
        <f>IFERROR(__xludf.DUMMYFUNCTION("""COMPUTED_VALUE"""),22850.0)</f>
        <v>22850</v>
      </c>
      <c r="C1054" s="1">
        <f>IFERROR(__xludf.DUMMYFUNCTION("""COMPUTED_VALUE"""),22900.0)</f>
        <v>22900</v>
      </c>
      <c r="D1054" s="1">
        <f>IFERROR(__xludf.DUMMYFUNCTION("""COMPUTED_VALUE"""),22050.0)</f>
        <v>22050</v>
      </c>
      <c r="E1054" s="1">
        <f>IFERROR(__xludf.DUMMYFUNCTION("""COMPUTED_VALUE"""),22300.0)</f>
        <v>22300</v>
      </c>
      <c r="F1054" s="1">
        <f>IFERROR(__xludf.DUMMYFUNCTION("""COMPUTED_VALUE"""),94598.0)</f>
        <v>94598</v>
      </c>
    </row>
    <row r="1055">
      <c r="A1055" s="2">
        <f>IFERROR(__xludf.DUMMYFUNCTION("""COMPUTED_VALUE"""),44419.64583333333)</f>
        <v>44419.64583</v>
      </c>
      <c r="B1055" s="1">
        <f>IFERROR(__xludf.DUMMYFUNCTION("""COMPUTED_VALUE"""),22150.0)</f>
        <v>22150</v>
      </c>
      <c r="C1055" s="1">
        <f>IFERROR(__xludf.DUMMYFUNCTION("""COMPUTED_VALUE"""),22200.0)</f>
        <v>22200</v>
      </c>
      <c r="D1055" s="1">
        <f>IFERROR(__xludf.DUMMYFUNCTION("""COMPUTED_VALUE"""),21650.0)</f>
        <v>21650</v>
      </c>
      <c r="E1055" s="1">
        <f>IFERROR(__xludf.DUMMYFUNCTION("""COMPUTED_VALUE"""),22000.0)</f>
        <v>22000</v>
      </c>
      <c r="F1055" s="1">
        <f>IFERROR(__xludf.DUMMYFUNCTION("""COMPUTED_VALUE"""),74414.0)</f>
        <v>74414</v>
      </c>
    </row>
    <row r="1056">
      <c r="A1056" s="2">
        <f>IFERROR(__xludf.DUMMYFUNCTION("""COMPUTED_VALUE"""),44420.64583333333)</f>
        <v>44420.64583</v>
      </c>
      <c r="B1056" s="1">
        <f>IFERROR(__xludf.DUMMYFUNCTION("""COMPUTED_VALUE"""),21950.0)</f>
        <v>21950</v>
      </c>
      <c r="C1056" s="1">
        <f>IFERROR(__xludf.DUMMYFUNCTION("""COMPUTED_VALUE"""),22350.0)</f>
        <v>22350</v>
      </c>
      <c r="D1056" s="1">
        <f>IFERROR(__xludf.DUMMYFUNCTION("""COMPUTED_VALUE"""),21650.0)</f>
        <v>21650</v>
      </c>
      <c r="E1056" s="1">
        <f>IFERROR(__xludf.DUMMYFUNCTION("""COMPUTED_VALUE"""),22350.0)</f>
        <v>22350</v>
      </c>
      <c r="F1056" s="1">
        <f>IFERROR(__xludf.DUMMYFUNCTION("""COMPUTED_VALUE"""),71551.0)</f>
        <v>71551</v>
      </c>
    </row>
    <row r="1057">
      <c r="A1057" s="2">
        <f>IFERROR(__xludf.DUMMYFUNCTION("""COMPUTED_VALUE"""),44421.64583333333)</f>
        <v>44421.64583</v>
      </c>
      <c r="B1057" s="1">
        <f>IFERROR(__xludf.DUMMYFUNCTION("""COMPUTED_VALUE"""),22350.0)</f>
        <v>22350</v>
      </c>
      <c r="C1057" s="1">
        <f>IFERROR(__xludf.DUMMYFUNCTION("""COMPUTED_VALUE"""),22350.0)</f>
        <v>22350</v>
      </c>
      <c r="D1057" s="1">
        <f>IFERROR(__xludf.DUMMYFUNCTION("""COMPUTED_VALUE"""),21450.0)</f>
        <v>21450</v>
      </c>
      <c r="E1057" s="1">
        <f>IFERROR(__xludf.DUMMYFUNCTION("""COMPUTED_VALUE"""),22000.0)</f>
        <v>22000</v>
      </c>
      <c r="F1057" s="1">
        <f>IFERROR(__xludf.DUMMYFUNCTION("""COMPUTED_VALUE"""),55966.0)</f>
        <v>55966</v>
      </c>
    </row>
    <row r="1058">
      <c r="A1058" s="2">
        <f>IFERROR(__xludf.DUMMYFUNCTION("""COMPUTED_VALUE"""),44425.64583333333)</f>
        <v>44425.64583</v>
      </c>
      <c r="B1058" s="1">
        <f>IFERROR(__xludf.DUMMYFUNCTION("""COMPUTED_VALUE"""),21700.0)</f>
        <v>21700</v>
      </c>
      <c r="C1058" s="1">
        <f>IFERROR(__xludf.DUMMYFUNCTION("""COMPUTED_VALUE"""),21900.0)</f>
        <v>21900</v>
      </c>
      <c r="D1058" s="1">
        <f>IFERROR(__xludf.DUMMYFUNCTION("""COMPUTED_VALUE"""),20600.0)</f>
        <v>20600</v>
      </c>
      <c r="E1058" s="1">
        <f>IFERROR(__xludf.DUMMYFUNCTION("""COMPUTED_VALUE"""),20750.0)</f>
        <v>20750</v>
      </c>
      <c r="F1058" s="1">
        <f>IFERROR(__xludf.DUMMYFUNCTION("""COMPUTED_VALUE"""),108386.0)</f>
        <v>108386</v>
      </c>
    </row>
    <row r="1059">
      <c r="A1059" s="2">
        <f>IFERROR(__xludf.DUMMYFUNCTION("""COMPUTED_VALUE"""),44426.64583333333)</f>
        <v>44426.64583</v>
      </c>
      <c r="B1059" s="1">
        <f>IFERROR(__xludf.DUMMYFUNCTION("""COMPUTED_VALUE"""),20750.0)</f>
        <v>20750</v>
      </c>
      <c r="C1059" s="1">
        <f>IFERROR(__xludf.DUMMYFUNCTION("""COMPUTED_VALUE"""),21650.0)</f>
        <v>21650</v>
      </c>
      <c r="D1059" s="1">
        <f>IFERROR(__xludf.DUMMYFUNCTION("""COMPUTED_VALUE"""),20300.0)</f>
        <v>20300</v>
      </c>
      <c r="E1059" s="1">
        <f>IFERROR(__xludf.DUMMYFUNCTION("""COMPUTED_VALUE"""),21400.0)</f>
        <v>21400</v>
      </c>
      <c r="F1059" s="1">
        <f>IFERROR(__xludf.DUMMYFUNCTION("""COMPUTED_VALUE"""),66255.0)</f>
        <v>66255</v>
      </c>
    </row>
    <row r="1060">
      <c r="A1060" s="2">
        <f>IFERROR(__xludf.DUMMYFUNCTION("""COMPUTED_VALUE"""),44427.64583333333)</f>
        <v>44427.64583</v>
      </c>
      <c r="B1060" s="1">
        <f>IFERROR(__xludf.DUMMYFUNCTION("""COMPUTED_VALUE"""),21400.0)</f>
        <v>21400</v>
      </c>
      <c r="C1060" s="1">
        <f>IFERROR(__xludf.DUMMYFUNCTION("""COMPUTED_VALUE"""),21900.0)</f>
        <v>21900</v>
      </c>
      <c r="D1060" s="1">
        <f>IFERROR(__xludf.DUMMYFUNCTION("""COMPUTED_VALUE"""),20700.0)</f>
        <v>20700</v>
      </c>
      <c r="E1060" s="1">
        <f>IFERROR(__xludf.DUMMYFUNCTION("""COMPUTED_VALUE"""),21000.0)</f>
        <v>21000</v>
      </c>
      <c r="F1060" s="1">
        <f>IFERROR(__xludf.DUMMYFUNCTION("""COMPUTED_VALUE"""),74042.0)</f>
        <v>74042</v>
      </c>
    </row>
    <row r="1061">
      <c r="A1061" s="2">
        <f>IFERROR(__xludf.DUMMYFUNCTION("""COMPUTED_VALUE"""),44428.64583333333)</f>
        <v>44428.64583</v>
      </c>
      <c r="B1061" s="1">
        <f>IFERROR(__xludf.DUMMYFUNCTION("""COMPUTED_VALUE"""),21000.0)</f>
        <v>21000</v>
      </c>
      <c r="C1061" s="1">
        <f>IFERROR(__xludf.DUMMYFUNCTION("""COMPUTED_VALUE"""),21200.0)</f>
        <v>21200</v>
      </c>
      <c r="D1061" s="1">
        <f>IFERROR(__xludf.DUMMYFUNCTION("""COMPUTED_VALUE"""),20050.0)</f>
        <v>20050</v>
      </c>
      <c r="E1061" s="1">
        <f>IFERROR(__xludf.DUMMYFUNCTION("""COMPUTED_VALUE"""),20700.0)</f>
        <v>20700</v>
      </c>
      <c r="F1061" s="1">
        <f>IFERROR(__xludf.DUMMYFUNCTION("""COMPUTED_VALUE"""),98953.0)</f>
        <v>98953</v>
      </c>
    </row>
    <row r="1062">
      <c r="A1062" s="2">
        <f>IFERROR(__xludf.DUMMYFUNCTION("""COMPUTED_VALUE"""),44431.64583333333)</f>
        <v>44431.64583</v>
      </c>
      <c r="B1062" s="1">
        <f>IFERROR(__xludf.DUMMYFUNCTION("""COMPUTED_VALUE"""),21000.0)</f>
        <v>21000</v>
      </c>
      <c r="C1062" s="1">
        <f>IFERROR(__xludf.DUMMYFUNCTION("""COMPUTED_VALUE"""),21500.0)</f>
        <v>21500</v>
      </c>
      <c r="D1062" s="1">
        <f>IFERROR(__xludf.DUMMYFUNCTION("""COMPUTED_VALUE"""),20850.0)</f>
        <v>20850</v>
      </c>
      <c r="E1062" s="1">
        <f>IFERROR(__xludf.DUMMYFUNCTION("""COMPUTED_VALUE"""),21300.0)</f>
        <v>21300</v>
      </c>
      <c r="F1062" s="1">
        <f>IFERROR(__xludf.DUMMYFUNCTION("""COMPUTED_VALUE"""),67058.0)</f>
        <v>67058</v>
      </c>
    </row>
    <row r="1063">
      <c r="A1063" s="2">
        <f>IFERROR(__xludf.DUMMYFUNCTION("""COMPUTED_VALUE"""),44432.64583333333)</f>
        <v>44432.64583</v>
      </c>
      <c r="B1063" s="1">
        <f>IFERROR(__xludf.DUMMYFUNCTION("""COMPUTED_VALUE"""),21650.0)</f>
        <v>21650</v>
      </c>
      <c r="C1063" s="1">
        <f>IFERROR(__xludf.DUMMYFUNCTION("""COMPUTED_VALUE"""),21850.0)</f>
        <v>21850</v>
      </c>
      <c r="D1063" s="1">
        <f>IFERROR(__xludf.DUMMYFUNCTION("""COMPUTED_VALUE"""),21350.0)</f>
        <v>21350</v>
      </c>
      <c r="E1063" s="1">
        <f>IFERROR(__xludf.DUMMYFUNCTION("""COMPUTED_VALUE"""),21850.0)</f>
        <v>21850</v>
      </c>
      <c r="F1063" s="1">
        <f>IFERROR(__xludf.DUMMYFUNCTION("""COMPUTED_VALUE"""),81710.0)</f>
        <v>81710</v>
      </c>
    </row>
    <row r="1064">
      <c r="A1064" s="2">
        <f>IFERROR(__xludf.DUMMYFUNCTION("""COMPUTED_VALUE"""),44433.64583333333)</f>
        <v>44433.64583</v>
      </c>
      <c r="B1064" s="1">
        <f>IFERROR(__xludf.DUMMYFUNCTION("""COMPUTED_VALUE"""),21950.0)</f>
        <v>21950</v>
      </c>
      <c r="C1064" s="1">
        <f>IFERROR(__xludf.DUMMYFUNCTION("""COMPUTED_VALUE"""),22150.0)</f>
        <v>22150</v>
      </c>
      <c r="D1064" s="1">
        <f>IFERROR(__xludf.DUMMYFUNCTION("""COMPUTED_VALUE"""),21700.0)</f>
        <v>21700</v>
      </c>
      <c r="E1064" s="1">
        <f>IFERROR(__xludf.DUMMYFUNCTION("""COMPUTED_VALUE"""),21900.0)</f>
        <v>21900</v>
      </c>
      <c r="F1064" s="1">
        <f>IFERROR(__xludf.DUMMYFUNCTION("""COMPUTED_VALUE"""),37462.0)</f>
        <v>37462</v>
      </c>
    </row>
    <row r="1065">
      <c r="A1065" s="2">
        <f>IFERROR(__xludf.DUMMYFUNCTION("""COMPUTED_VALUE"""),44434.64583333333)</f>
        <v>44434.64583</v>
      </c>
      <c r="B1065" s="1">
        <f>IFERROR(__xludf.DUMMYFUNCTION("""COMPUTED_VALUE"""),21950.0)</f>
        <v>21950</v>
      </c>
      <c r="C1065" s="1">
        <f>IFERROR(__xludf.DUMMYFUNCTION("""COMPUTED_VALUE"""),23400.0)</f>
        <v>23400</v>
      </c>
      <c r="D1065" s="1">
        <f>IFERROR(__xludf.DUMMYFUNCTION("""COMPUTED_VALUE"""),21650.0)</f>
        <v>21650</v>
      </c>
      <c r="E1065" s="1">
        <f>IFERROR(__xludf.DUMMYFUNCTION("""COMPUTED_VALUE"""),22500.0)</f>
        <v>22500</v>
      </c>
      <c r="F1065" s="1">
        <f>IFERROR(__xludf.DUMMYFUNCTION("""COMPUTED_VALUE"""),356509.0)</f>
        <v>356509</v>
      </c>
    </row>
    <row r="1066">
      <c r="A1066" s="2">
        <f>IFERROR(__xludf.DUMMYFUNCTION("""COMPUTED_VALUE"""),44435.64583333333)</f>
        <v>44435.64583</v>
      </c>
      <c r="B1066" s="1">
        <f>IFERROR(__xludf.DUMMYFUNCTION("""COMPUTED_VALUE"""),22400.0)</f>
        <v>22400</v>
      </c>
      <c r="C1066" s="1">
        <f>IFERROR(__xludf.DUMMYFUNCTION("""COMPUTED_VALUE"""),22500.0)</f>
        <v>22500</v>
      </c>
      <c r="D1066" s="1">
        <f>IFERROR(__xludf.DUMMYFUNCTION("""COMPUTED_VALUE"""),21800.0)</f>
        <v>21800</v>
      </c>
      <c r="E1066" s="1">
        <f>IFERROR(__xludf.DUMMYFUNCTION("""COMPUTED_VALUE"""),22500.0)</f>
        <v>22500</v>
      </c>
      <c r="F1066" s="1">
        <f>IFERROR(__xludf.DUMMYFUNCTION("""COMPUTED_VALUE"""),76049.0)</f>
        <v>76049</v>
      </c>
    </row>
    <row r="1067">
      <c r="A1067" s="2">
        <f>IFERROR(__xludf.DUMMYFUNCTION("""COMPUTED_VALUE"""),44438.64583333333)</f>
        <v>44438.64583</v>
      </c>
      <c r="B1067" s="1">
        <f>IFERROR(__xludf.DUMMYFUNCTION("""COMPUTED_VALUE"""),22450.0)</f>
        <v>22450</v>
      </c>
      <c r="C1067" s="1">
        <f>IFERROR(__xludf.DUMMYFUNCTION("""COMPUTED_VALUE"""),22750.0)</f>
        <v>22750</v>
      </c>
      <c r="D1067" s="1">
        <f>IFERROR(__xludf.DUMMYFUNCTION("""COMPUTED_VALUE"""),22100.0)</f>
        <v>22100</v>
      </c>
      <c r="E1067" s="1">
        <f>IFERROR(__xludf.DUMMYFUNCTION("""COMPUTED_VALUE"""),22250.0)</f>
        <v>22250</v>
      </c>
      <c r="F1067" s="1">
        <f>IFERROR(__xludf.DUMMYFUNCTION("""COMPUTED_VALUE"""),66729.0)</f>
        <v>66729</v>
      </c>
    </row>
    <row r="1068">
      <c r="A1068" s="2">
        <f>IFERROR(__xludf.DUMMYFUNCTION("""COMPUTED_VALUE"""),44439.64583333333)</f>
        <v>44439.64583</v>
      </c>
      <c r="B1068" s="1">
        <f>IFERROR(__xludf.DUMMYFUNCTION("""COMPUTED_VALUE"""),22150.0)</f>
        <v>22150</v>
      </c>
      <c r="C1068" s="1">
        <f>IFERROR(__xludf.DUMMYFUNCTION("""COMPUTED_VALUE"""),22350.0)</f>
        <v>22350</v>
      </c>
      <c r="D1068" s="1">
        <f>IFERROR(__xludf.DUMMYFUNCTION("""COMPUTED_VALUE"""),21950.0)</f>
        <v>21950</v>
      </c>
      <c r="E1068" s="1">
        <f>IFERROR(__xludf.DUMMYFUNCTION("""COMPUTED_VALUE"""),22200.0)</f>
        <v>22200</v>
      </c>
      <c r="F1068" s="1">
        <f>IFERROR(__xludf.DUMMYFUNCTION("""COMPUTED_VALUE"""),40341.0)</f>
        <v>40341</v>
      </c>
    </row>
    <row r="1069">
      <c r="A1069" s="2">
        <f>IFERROR(__xludf.DUMMYFUNCTION("""COMPUTED_VALUE"""),44440.64583333333)</f>
        <v>44440.64583</v>
      </c>
      <c r="B1069" s="1">
        <f>IFERROR(__xludf.DUMMYFUNCTION("""COMPUTED_VALUE"""),22300.0)</f>
        <v>22300</v>
      </c>
      <c r="C1069" s="1">
        <f>IFERROR(__xludf.DUMMYFUNCTION("""COMPUTED_VALUE"""),22500.0)</f>
        <v>22500</v>
      </c>
      <c r="D1069" s="1">
        <f>IFERROR(__xludf.DUMMYFUNCTION("""COMPUTED_VALUE"""),22150.0)</f>
        <v>22150</v>
      </c>
      <c r="E1069" s="1">
        <f>IFERROR(__xludf.DUMMYFUNCTION("""COMPUTED_VALUE"""),22400.0)</f>
        <v>22400</v>
      </c>
      <c r="F1069" s="1">
        <f>IFERROR(__xludf.DUMMYFUNCTION("""COMPUTED_VALUE"""),40836.0)</f>
        <v>40836</v>
      </c>
    </row>
    <row r="1070">
      <c r="A1070" s="2">
        <f>IFERROR(__xludf.DUMMYFUNCTION("""COMPUTED_VALUE"""),44441.64583333333)</f>
        <v>44441.64583</v>
      </c>
      <c r="B1070" s="1">
        <f>IFERROR(__xludf.DUMMYFUNCTION("""COMPUTED_VALUE"""),22400.0)</f>
        <v>22400</v>
      </c>
      <c r="C1070" s="1">
        <f>IFERROR(__xludf.DUMMYFUNCTION("""COMPUTED_VALUE"""),22450.0)</f>
        <v>22450</v>
      </c>
      <c r="D1070" s="1">
        <f>IFERROR(__xludf.DUMMYFUNCTION("""COMPUTED_VALUE"""),21950.0)</f>
        <v>21950</v>
      </c>
      <c r="E1070" s="1">
        <f>IFERROR(__xludf.DUMMYFUNCTION("""COMPUTED_VALUE"""),22200.0)</f>
        <v>22200</v>
      </c>
      <c r="F1070" s="1">
        <f>IFERROR(__xludf.DUMMYFUNCTION("""COMPUTED_VALUE"""),41618.0)</f>
        <v>41618</v>
      </c>
    </row>
    <row r="1071">
      <c r="A1071" s="2">
        <f>IFERROR(__xludf.DUMMYFUNCTION("""COMPUTED_VALUE"""),44442.64583333333)</f>
        <v>44442.64583</v>
      </c>
      <c r="B1071" s="1">
        <f>IFERROR(__xludf.DUMMYFUNCTION("""COMPUTED_VALUE"""),22200.0)</f>
        <v>22200</v>
      </c>
      <c r="C1071" s="1">
        <f>IFERROR(__xludf.DUMMYFUNCTION("""COMPUTED_VALUE"""),22700.0)</f>
        <v>22700</v>
      </c>
      <c r="D1071" s="1">
        <f>IFERROR(__xludf.DUMMYFUNCTION("""COMPUTED_VALUE"""),21750.0)</f>
        <v>21750</v>
      </c>
      <c r="E1071" s="1">
        <f>IFERROR(__xludf.DUMMYFUNCTION("""COMPUTED_VALUE"""),22050.0)</f>
        <v>22050</v>
      </c>
      <c r="F1071" s="1">
        <f>IFERROR(__xludf.DUMMYFUNCTION("""COMPUTED_VALUE"""),122298.0)</f>
        <v>122298</v>
      </c>
    </row>
    <row r="1072">
      <c r="A1072" s="2">
        <f>IFERROR(__xludf.DUMMYFUNCTION("""COMPUTED_VALUE"""),44445.64583333333)</f>
        <v>44445.64583</v>
      </c>
      <c r="B1072" s="1">
        <f>IFERROR(__xludf.DUMMYFUNCTION("""COMPUTED_VALUE"""),22050.0)</f>
        <v>22050</v>
      </c>
      <c r="C1072" s="1">
        <f>IFERROR(__xludf.DUMMYFUNCTION("""COMPUTED_VALUE"""),22200.0)</f>
        <v>22200</v>
      </c>
      <c r="D1072" s="1">
        <f>IFERROR(__xludf.DUMMYFUNCTION("""COMPUTED_VALUE"""),21300.0)</f>
        <v>21300</v>
      </c>
      <c r="E1072" s="1">
        <f>IFERROR(__xludf.DUMMYFUNCTION("""COMPUTED_VALUE"""),21500.0)</f>
        <v>21500</v>
      </c>
      <c r="F1072" s="1">
        <f>IFERROR(__xludf.DUMMYFUNCTION("""COMPUTED_VALUE"""),54326.0)</f>
        <v>54326</v>
      </c>
    </row>
    <row r="1073">
      <c r="A1073" s="2">
        <f>IFERROR(__xludf.DUMMYFUNCTION("""COMPUTED_VALUE"""),44446.64583333333)</f>
        <v>44446.64583</v>
      </c>
      <c r="B1073" s="1">
        <f>IFERROR(__xludf.DUMMYFUNCTION("""COMPUTED_VALUE"""),21500.0)</f>
        <v>21500</v>
      </c>
      <c r="C1073" s="1">
        <f>IFERROR(__xludf.DUMMYFUNCTION("""COMPUTED_VALUE"""),21800.0)</f>
        <v>21800</v>
      </c>
      <c r="D1073" s="1">
        <f>IFERROR(__xludf.DUMMYFUNCTION("""COMPUTED_VALUE"""),20950.0)</f>
        <v>20950</v>
      </c>
      <c r="E1073" s="1">
        <f>IFERROR(__xludf.DUMMYFUNCTION("""COMPUTED_VALUE"""),21700.0)</f>
        <v>21700</v>
      </c>
      <c r="F1073" s="1">
        <f>IFERROR(__xludf.DUMMYFUNCTION("""COMPUTED_VALUE"""),53410.0)</f>
        <v>53410</v>
      </c>
    </row>
    <row r="1074">
      <c r="A1074" s="2">
        <f>IFERROR(__xludf.DUMMYFUNCTION("""COMPUTED_VALUE"""),44447.64583333333)</f>
        <v>44447.64583</v>
      </c>
      <c r="B1074" s="1">
        <f>IFERROR(__xludf.DUMMYFUNCTION("""COMPUTED_VALUE"""),21700.0)</f>
        <v>21700</v>
      </c>
      <c r="C1074" s="1">
        <f>IFERROR(__xludf.DUMMYFUNCTION("""COMPUTED_VALUE"""),21900.0)</f>
        <v>21900</v>
      </c>
      <c r="D1074" s="1">
        <f>IFERROR(__xludf.DUMMYFUNCTION("""COMPUTED_VALUE"""),21000.0)</f>
        <v>21000</v>
      </c>
      <c r="E1074" s="1">
        <f>IFERROR(__xludf.DUMMYFUNCTION("""COMPUTED_VALUE"""),21000.0)</f>
        <v>21000</v>
      </c>
      <c r="F1074" s="1">
        <f>IFERROR(__xludf.DUMMYFUNCTION("""COMPUTED_VALUE"""),27819.0)</f>
        <v>27819</v>
      </c>
    </row>
    <row r="1075">
      <c r="A1075" s="2">
        <f>IFERROR(__xludf.DUMMYFUNCTION("""COMPUTED_VALUE"""),44448.64583333333)</f>
        <v>44448.64583</v>
      </c>
      <c r="B1075" s="1">
        <f>IFERROR(__xludf.DUMMYFUNCTION("""COMPUTED_VALUE"""),21000.0)</f>
        <v>21000</v>
      </c>
      <c r="C1075" s="1">
        <f>IFERROR(__xludf.DUMMYFUNCTION("""COMPUTED_VALUE"""),21000.0)</f>
        <v>21000</v>
      </c>
      <c r="D1075" s="1">
        <f>IFERROR(__xludf.DUMMYFUNCTION("""COMPUTED_VALUE"""),20350.0)</f>
        <v>20350</v>
      </c>
      <c r="E1075" s="1">
        <f>IFERROR(__xludf.DUMMYFUNCTION("""COMPUTED_VALUE"""),20950.0)</f>
        <v>20950</v>
      </c>
      <c r="F1075" s="1">
        <f>IFERROR(__xludf.DUMMYFUNCTION("""COMPUTED_VALUE"""),52791.0)</f>
        <v>52791</v>
      </c>
    </row>
    <row r="1076">
      <c r="A1076" s="2">
        <f>IFERROR(__xludf.DUMMYFUNCTION("""COMPUTED_VALUE"""),44449.64583333333)</f>
        <v>44449.64583</v>
      </c>
      <c r="B1076" s="1">
        <f>IFERROR(__xludf.DUMMYFUNCTION("""COMPUTED_VALUE"""),20800.0)</f>
        <v>20800</v>
      </c>
      <c r="C1076" s="1">
        <f>IFERROR(__xludf.DUMMYFUNCTION("""COMPUTED_VALUE"""),21000.0)</f>
        <v>21000</v>
      </c>
      <c r="D1076" s="1">
        <f>IFERROR(__xludf.DUMMYFUNCTION("""COMPUTED_VALUE"""),20350.0)</f>
        <v>20350</v>
      </c>
      <c r="E1076" s="1">
        <f>IFERROR(__xludf.DUMMYFUNCTION("""COMPUTED_VALUE"""),20700.0)</f>
        <v>20700</v>
      </c>
      <c r="F1076" s="1">
        <f>IFERROR(__xludf.DUMMYFUNCTION("""COMPUTED_VALUE"""),45794.0)</f>
        <v>45794</v>
      </c>
    </row>
    <row r="1077">
      <c r="A1077" s="2">
        <f>IFERROR(__xludf.DUMMYFUNCTION("""COMPUTED_VALUE"""),44452.64583333333)</f>
        <v>44452.64583</v>
      </c>
      <c r="B1077" s="1">
        <f>IFERROR(__xludf.DUMMYFUNCTION("""COMPUTED_VALUE"""),20500.0)</f>
        <v>20500</v>
      </c>
      <c r="C1077" s="1">
        <f>IFERROR(__xludf.DUMMYFUNCTION("""COMPUTED_VALUE"""),21000.0)</f>
        <v>21000</v>
      </c>
      <c r="D1077" s="1">
        <f>IFERROR(__xludf.DUMMYFUNCTION("""COMPUTED_VALUE"""),20400.0)</f>
        <v>20400</v>
      </c>
      <c r="E1077" s="1">
        <f>IFERROR(__xludf.DUMMYFUNCTION("""COMPUTED_VALUE"""),20450.0)</f>
        <v>20450</v>
      </c>
      <c r="F1077" s="1">
        <f>IFERROR(__xludf.DUMMYFUNCTION("""COMPUTED_VALUE"""),23948.0)</f>
        <v>23948</v>
      </c>
    </row>
    <row r="1078">
      <c r="A1078" s="2">
        <f>IFERROR(__xludf.DUMMYFUNCTION("""COMPUTED_VALUE"""),44453.64583333333)</f>
        <v>44453.64583</v>
      </c>
      <c r="B1078" s="1">
        <f>IFERROR(__xludf.DUMMYFUNCTION("""COMPUTED_VALUE"""),20500.0)</f>
        <v>20500</v>
      </c>
      <c r="C1078" s="1">
        <f>IFERROR(__xludf.DUMMYFUNCTION("""COMPUTED_VALUE"""),20800.0)</f>
        <v>20800</v>
      </c>
      <c r="D1078" s="1">
        <f>IFERROR(__xludf.DUMMYFUNCTION("""COMPUTED_VALUE"""),20200.0)</f>
        <v>20200</v>
      </c>
      <c r="E1078" s="1">
        <f>IFERROR(__xludf.DUMMYFUNCTION("""COMPUTED_VALUE"""),20500.0)</f>
        <v>20500</v>
      </c>
      <c r="F1078" s="1">
        <f>IFERROR(__xludf.DUMMYFUNCTION("""COMPUTED_VALUE"""),29197.0)</f>
        <v>29197</v>
      </c>
    </row>
    <row r="1079">
      <c r="A1079" s="2">
        <f>IFERROR(__xludf.DUMMYFUNCTION("""COMPUTED_VALUE"""),44454.64583333333)</f>
        <v>44454.64583</v>
      </c>
      <c r="B1079" s="1">
        <f>IFERROR(__xludf.DUMMYFUNCTION("""COMPUTED_VALUE"""),20500.0)</f>
        <v>20500</v>
      </c>
      <c r="C1079" s="1">
        <f>IFERROR(__xludf.DUMMYFUNCTION("""COMPUTED_VALUE"""),20600.0)</f>
        <v>20600</v>
      </c>
      <c r="D1079" s="1">
        <f>IFERROR(__xludf.DUMMYFUNCTION("""COMPUTED_VALUE"""),20050.0)</f>
        <v>20050</v>
      </c>
      <c r="E1079" s="1">
        <f>IFERROR(__xludf.DUMMYFUNCTION("""COMPUTED_VALUE"""),20450.0)</f>
        <v>20450</v>
      </c>
      <c r="F1079" s="1">
        <f>IFERROR(__xludf.DUMMYFUNCTION("""COMPUTED_VALUE"""),63403.0)</f>
        <v>63403</v>
      </c>
    </row>
    <row r="1080">
      <c r="A1080" s="2">
        <f>IFERROR(__xludf.DUMMYFUNCTION("""COMPUTED_VALUE"""),44455.64583333333)</f>
        <v>44455.64583</v>
      </c>
      <c r="B1080" s="1">
        <f>IFERROR(__xludf.DUMMYFUNCTION("""COMPUTED_VALUE"""),20350.0)</f>
        <v>20350</v>
      </c>
      <c r="C1080" s="1">
        <f>IFERROR(__xludf.DUMMYFUNCTION("""COMPUTED_VALUE"""),20800.0)</f>
        <v>20800</v>
      </c>
      <c r="D1080" s="1">
        <f>IFERROR(__xludf.DUMMYFUNCTION("""COMPUTED_VALUE"""),19800.0)</f>
        <v>19800</v>
      </c>
      <c r="E1080" s="1">
        <f>IFERROR(__xludf.DUMMYFUNCTION("""COMPUTED_VALUE"""),20350.0)</f>
        <v>20350</v>
      </c>
      <c r="F1080" s="1">
        <f>IFERROR(__xludf.DUMMYFUNCTION("""COMPUTED_VALUE"""),70561.0)</f>
        <v>70561</v>
      </c>
    </row>
    <row r="1081">
      <c r="A1081" s="2">
        <f>IFERROR(__xludf.DUMMYFUNCTION("""COMPUTED_VALUE"""),44456.64583333333)</f>
        <v>44456.64583</v>
      </c>
      <c r="B1081" s="1">
        <f>IFERROR(__xludf.DUMMYFUNCTION("""COMPUTED_VALUE"""),20150.0)</f>
        <v>20150</v>
      </c>
      <c r="C1081" s="1">
        <f>IFERROR(__xludf.DUMMYFUNCTION("""COMPUTED_VALUE"""),20600.0)</f>
        <v>20600</v>
      </c>
      <c r="D1081" s="1">
        <f>IFERROR(__xludf.DUMMYFUNCTION("""COMPUTED_VALUE"""),19950.0)</f>
        <v>19950</v>
      </c>
      <c r="E1081" s="1">
        <f>IFERROR(__xludf.DUMMYFUNCTION("""COMPUTED_VALUE"""),20600.0)</f>
        <v>20600</v>
      </c>
      <c r="F1081" s="1">
        <f>IFERROR(__xludf.DUMMYFUNCTION("""COMPUTED_VALUE"""),28891.0)</f>
        <v>28891</v>
      </c>
    </row>
    <row r="1082">
      <c r="A1082" s="2">
        <f>IFERROR(__xludf.DUMMYFUNCTION("""COMPUTED_VALUE"""),44462.64583333333)</f>
        <v>44462.64583</v>
      </c>
      <c r="B1082" s="1">
        <f>IFERROR(__xludf.DUMMYFUNCTION("""COMPUTED_VALUE"""),20100.0)</f>
        <v>20100</v>
      </c>
      <c r="C1082" s="1">
        <f>IFERROR(__xludf.DUMMYFUNCTION("""COMPUTED_VALUE"""),20500.0)</f>
        <v>20500</v>
      </c>
      <c r="D1082" s="1">
        <f>IFERROR(__xludf.DUMMYFUNCTION("""COMPUTED_VALUE"""),19550.0)</f>
        <v>19550</v>
      </c>
      <c r="E1082" s="1">
        <f>IFERROR(__xludf.DUMMYFUNCTION("""COMPUTED_VALUE"""),20000.0)</f>
        <v>20000</v>
      </c>
      <c r="F1082" s="1">
        <f>IFERROR(__xludf.DUMMYFUNCTION("""COMPUTED_VALUE"""),61385.0)</f>
        <v>61385</v>
      </c>
    </row>
    <row r="1083">
      <c r="A1083" s="2">
        <f>IFERROR(__xludf.DUMMYFUNCTION("""COMPUTED_VALUE"""),44463.64583333333)</f>
        <v>44463.64583</v>
      </c>
      <c r="B1083" s="1">
        <f>IFERROR(__xludf.DUMMYFUNCTION("""COMPUTED_VALUE"""),20050.0)</f>
        <v>20050</v>
      </c>
      <c r="C1083" s="1">
        <f>IFERROR(__xludf.DUMMYFUNCTION("""COMPUTED_VALUE"""),20050.0)</f>
        <v>20050</v>
      </c>
      <c r="D1083" s="1">
        <f>IFERROR(__xludf.DUMMYFUNCTION("""COMPUTED_VALUE"""),19300.0)</f>
        <v>19300</v>
      </c>
      <c r="E1083" s="1">
        <f>IFERROR(__xludf.DUMMYFUNCTION("""COMPUTED_VALUE"""),19600.0)</f>
        <v>19600</v>
      </c>
      <c r="F1083" s="1">
        <f>IFERROR(__xludf.DUMMYFUNCTION("""COMPUTED_VALUE"""),65617.0)</f>
        <v>65617</v>
      </c>
    </row>
    <row r="1084">
      <c r="A1084" s="2">
        <f>IFERROR(__xludf.DUMMYFUNCTION("""COMPUTED_VALUE"""),44466.64583333333)</f>
        <v>44466.64583</v>
      </c>
      <c r="B1084" s="1">
        <f>IFERROR(__xludf.DUMMYFUNCTION("""COMPUTED_VALUE"""),19600.0)</f>
        <v>19600</v>
      </c>
      <c r="C1084" s="1">
        <f>IFERROR(__xludf.DUMMYFUNCTION("""COMPUTED_VALUE"""),19850.0)</f>
        <v>19850</v>
      </c>
      <c r="D1084" s="1">
        <f>IFERROR(__xludf.DUMMYFUNCTION("""COMPUTED_VALUE"""),19400.0)</f>
        <v>19400</v>
      </c>
      <c r="E1084" s="1">
        <f>IFERROR(__xludf.DUMMYFUNCTION("""COMPUTED_VALUE"""),19850.0)</f>
        <v>19850</v>
      </c>
      <c r="F1084" s="1">
        <f>IFERROR(__xludf.DUMMYFUNCTION("""COMPUTED_VALUE"""),16877.0)</f>
        <v>16877</v>
      </c>
    </row>
    <row r="1085">
      <c r="A1085" s="2">
        <f>IFERROR(__xludf.DUMMYFUNCTION("""COMPUTED_VALUE"""),44467.64583333333)</f>
        <v>44467.64583</v>
      </c>
      <c r="B1085" s="1">
        <f>IFERROR(__xludf.DUMMYFUNCTION("""COMPUTED_VALUE"""),19900.0)</f>
        <v>19900</v>
      </c>
      <c r="C1085" s="1">
        <f>IFERROR(__xludf.DUMMYFUNCTION("""COMPUTED_VALUE"""),20000.0)</f>
        <v>20000</v>
      </c>
      <c r="D1085" s="1">
        <f>IFERROR(__xludf.DUMMYFUNCTION("""COMPUTED_VALUE"""),18750.0)</f>
        <v>18750</v>
      </c>
      <c r="E1085" s="1">
        <f>IFERROR(__xludf.DUMMYFUNCTION("""COMPUTED_VALUE"""),19400.0)</f>
        <v>19400</v>
      </c>
      <c r="F1085" s="1">
        <f>IFERROR(__xludf.DUMMYFUNCTION("""COMPUTED_VALUE"""),101351.0)</f>
        <v>101351</v>
      </c>
    </row>
    <row r="1086">
      <c r="A1086" s="2">
        <f>IFERROR(__xludf.DUMMYFUNCTION("""COMPUTED_VALUE"""),44468.64583333333)</f>
        <v>44468.64583</v>
      </c>
      <c r="B1086" s="1">
        <f>IFERROR(__xludf.DUMMYFUNCTION("""COMPUTED_VALUE"""),18850.0)</f>
        <v>18850</v>
      </c>
      <c r="C1086" s="1">
        <f>IFERROR(__xludf.DUMMYFUNCTION("""COMPUTED_VALUE"""),19200.0)</f>
        <v>19200</v>
      </c>
      <c r="D1086" s="1">
        <f>IFERROR(__xludf.DUMMYFUNCTION("""COMPUTED_VALUE"""),18600.0)</f>
        <v>18600</v>
      </c>
      <c r="E1086" s="1">
        <f>IFERROR(__xludf.DUMMYFUNCTION("""COMPUTED_VALUE"""),19000.0)</f>
        <v>19000</v>
      </c>
      <c r="F1086" s="1">
        <f>IFERROR(__xludf.DUMMYFUNCTION("""COMPUTED_VALUE"""),49236.0)</f>
        <v>49236</v>
      </c>
    </row>
    <row r="1087">
      <c r="A1087" s="2">
        <f>IFERROR(__xludf.DUMMYFUNCTION("""COMPUTED_VALUE"""),44469.64583333333)</f>
        <v>44469.64583</v>
      </c>
      <c r="B1087" s="1">
        <f>IFERROR(__xludf.DUMMYFUNCTION("""COMPUTED_VALUE"""),19000.0)</f>
        <v>19000</v>
      </c>
      <c r="C1087" s="1">
        <f>IFERROR(__xludf.DUMMYFUNCTION("""COMPUTED_VALUE"""),19450.0)</f>
        <v>19450</v>
      </c>
      <c r="D1087" s="1">
        <f>IFERROR(__xludf.DUMMYFUNCTION("""COMPUTED_VALUE"""),18900.0)</f>
        <v>18900</v>
      </c>
      <c r="E1087" s="1">
        <f>IFERROR(__xludf.DUMMYFUNCTION("""COMPUTED_VALUE"""),19400.0)</f>
        <v>19400</v>
      </c>
      <c r="F1087" s="1">
        <f>IFERROR(__xludf.DUMMYFUNCTION("""COMPUTED_VALUE"""),58493.0)</f>
        <v>58493</v>
      </c>
    </row>
    <row r="1088">
      <c r="A1088" s="2">
        <f>IFERROR(__xludf.DUMMYFUNCTION("""COMPUTED_VALUE"""),44470.64583333333)</f>
        <v>44470.64583</v>
      </c>
      <c r="B1088" s="1">
        <f>IFERROR(__xludf.DUMMYFUNCTION("""COMPUTED_VALUE"""),19350.0)</f>
        <v>19350</v>
      </c>
      <c r="C1088" s="1">
        <f>IFERROR(__xludf.DUMMYFUNCTION("""COMPUTED_VALUE"""),19800.0)</f>
        <v>19800</v>
      </c>
      <c r="D1088" s="1">
        <f>IFERROR(__xludf.DUMMYFUNCTION("""COMPUTED_VALUE"""),18750.0)</f>
        <v>18750</v>
      </c>
      <c r="E1088" s="1">
        <f>IFERROR(__xludf.DUMMYFUNCTION("""COMPUTED_VALUE"""),19550.0)</f>
        <v>19550</v>
      </c>
      <c r="F1088" s="1">
        <f>IFERROR(__xludf.DUMMYFUNCTION("""COMPUTED_VALUE"""),83745.0)</f>
        <v>83745</v>
      </c>
    </row>
    <row r="1089">
      <c r="A1089" s="2">
        <f>IFERROR(__xludf.DUMMYFUNCTION("""COMPUTED_VALUE"""),44474.64583333333)</f>
        <v>44474.64583</v>
      </c>
      <c r="B1089" s="1">
        <f>IFERROR(__xludf.DUMMYFUNCTION("""COMPUTED_VALUE"""),19550.0)</f>
        <v>19550</v>
      </c>
      <c r="C1089" s="1">
        <f>IFERROR(__xludf.DUMMYFUNCTION("""COMPUTED_VALUE"""),20550.0)</f>
        <v>20550</v>
      </c>
      <c r="D1089" s="1">
        <f>IFERROR(__xludf.DUMMYFUNCTION("""COMPUTED_VALUE"""),18800.0)</f>
        <v>18800</v>
      </c>
      <c r="E1089" s="1">
        <f>IFERROR(__xludf.DUMMYFUNCTION("""COMPUTED_VALUE"""),20100.0)</f>
        <v>20100</v>
      </c>
      <c r="F1089" s="1">
        <f>IFERROR(__xludf.DUMMYFUNCTION("""COMPUTED_VALUE"""),99051.0)</f>
        <v>99051</v>
      </c>
    </row>
    <row r="1090">
      <c r="A1090" s="2">
        <f>IFERROR(__xludf.DUMMYFUNCTION("""COMPUTED_VALUE"""),44475.64583333333)</f>
        <v>44475.64583</v>
      </c>
      <c r="B1090" s="1">
        <f>IFERROR(__xludf.DUMMYFUNCTION("""COMPUTED_VALUE"""),20100.0)</f>
        <v>20100</v>
      </c>
      <c r="C1090" s="1">
        <f>IFERROR(__xludf.DUMMYFUNCTION("""COMPUTED_VALUE"""),20100.0)</f>
        <v>20100</v>
      </c>
      <c r="D1090" s="1">
        <f>IFERROR(__xludf.DUMMYFUNCTION("""COMPUTED_VALUE"""),19550.0)</f>
        <v>19550</v>
      </c>
      <c r="E1090" s="1">
        <f>IFERROR(__xludf.DUMMYFUNCTION("""COMPUTED_VALUE"""),19800.0)</f>
        <v>19800</v>
      </c>
      <c r="F1090" s="1">
        <f>IFERROR(__xludf.DUMMYFUNCTION("""COMPUTED_VALUE"""),39730.0)</f>
        <v>39730</v>
      </c>
    </row>
    <row r="1091">
      <c r="A1091" s="2">
        <f>IFERROR(__xludf.DUMMYFUNCTION("""COMPUTED_VALUE"""),44476.64583333333)</f>
        <v>44476.64583</v>
      </c>
      <c r="B1091" s="1">
        <f>IFERROR(__xludf.DUMMYFUNCTION("""COMPUTED_VALUE"""),19800.0)</f>
        <v>19800</v>
      </c>
      <c r="C1091" s="1">
        <f>IFERROR(__xludf.DUMMYFUNCTION("""COMPUTED_VALUE"""),20000.0)</f>
        <v>20000</v>
      </c>
      <c r="D1091" s="1">
        <f>IFERROR(__xludf.DUMMYFUNCTION("""COMPUTED_VALUE"""),19450.0)</f>
        <v>19450</v>
      </c>
      <c r="E1091" s="1">
        <f>IFERROR(__xludf.DUMMYFUNCTION("""COMPUTED_VALUE"""),19900.0)</f>
        <v>19900</v>
      </c>
      <c r="F1091" s="1">
        <f>IFERROR(__xludf.DUMMYFUNCTION("""COMPUTED_VALUE"""),43215.0)</f>
        <v>43215</v>
      </c>
    </row>
    <row r="1092">
      <c r="A1092" s="2">
        <f>IFERROR(__xludf.DUMMYFUNCTION("""COMPUTED_VALUE"""),44477.64583333333)</f>
        <v>44477.64583</v>
      </c>
      <c r="B1092" s="1">
        <f>IFERROR(__xludf.DUMMYFUNCTION("""COMPUTED_VALUE"""),19950.0)</f>
        <v>19950</v>
      </c>
      <c r="C1092" s="1">
        <f>IFERROR(__xludf.DUMMYFUNCTION("""COMPUTED_VALUE"""),20050.0)</f>
        <v>20050</v>
      </c>
      <c r="D1092" s="1">
        <f>IFERROR(__xludf.DUMMYFUNCTION("""COMPUTED_VALUE"""),19400.0)</f>
        <v>19400</v>
      </c>
      <c r="E1092" s="1">
        <f>IFERROR(__xludf.DUMMYFUNCTION("""COMPUTED_VALUE"""),19700.0)</f>
        <v>19700</v>
      </c>
      <c r="F1092" s="1">
        <f>IFERROR(__xludf.DUMMYFUNCTION("""COMPUTED_VALUE"""),31969.0)</f>
        <v>31969</v>
      </c>
    </row>
    <row r="1093">
      <c r="A1093" s="2">
        <f>IFERROR(__xludf.DUMMYFUNCTION("""COMPUTED_VALUE"""),44481.64583333333)</f>
        <v>44481.64583</v>
      </c>
      <c r="B1093" s="1">
        <f>IFERROR(__xludf.DUMMYFUNCTION("""COMPUTED_VALUE"""),19350.0)</f>
        <v>19350</v>
      </c>
      <c r="C1093" s="1">
        <f>IFERROR(__xludf.DUMMYFUNCTION("""COMPUTED_VALUE"""),19800.0)</f>
        <v>19800</v>
      </c>
      <c r="D1093" s="1">
        <f>IFERROR(__xludf.DUMMYFUNCTION("""COMPUTED_VALUE"""),19150.0)</f>
        <v>19150</v>
      </c>
      <c r="E1093" s="1">
        <f>IFERROR(__xludf.DUMMYFUNCTION("""COMPUTED_VALUE"""),19700.0)</f>
        <v>19700</v>
      </c>
      <c r="F1093" s="1">
        <f>IFERROR(__xludf.DUMMYFUNCTION("""COMPUTED_VALUE"""),19519.0)</f>
        <v>19519</v>
      </c>
    </row>
    <row r="1094">
      <c r="A1094" s="2">
        <f>IFERROR(__xludf.DUMMYFUNCTION("""COMPUTED_VALUE"""),44482.64583333333)</f>
        <v>44482.64583</v>
      </c>
      <c r="B1094" s="1">
        <f>IFERROR(__xludf.DUMMYFUNCTION("""COMPUTED_VALUE"""),19700.0)</f>
        <v>19700</v>
      </c>
      <c r="C1094" s="1">
        <f>IFERROR(__xludf.DUMMYFUNCTION("""COMPUTED_VALUE"""),19750.0)</f>
        <v>19750</v>
      </c>
      <c r="D1094" s="1">
        <f>IFERROR(__xludf.DUMMYFUNCTION("""COMPUTED_VALUE"""),19300.0)</f>
        <v>19300</v>
      </c>
      <c r="E1094" s="1">
        <f>IFERROR(__xludf.DUMMYFUNCTION("""COMPUTED_VALUE"""),19700.0)</f>
        <v>19700</v>
      </c>
      <c r="F1094" s="1">
        <f>IFERROR(__xludf.DUMMYFUNCTION("""COMPUTED_VALUE"""),37179.0)</f>
        <v>37179</v>
      </c>
    </row>
    <row r="1095">
      <c r="A1095" s="2">
        <f>IFERROR(__xludf.DUMMYFUNCTION("""COMPUTED_VALUE"""),44483.64583333333)</f>
        <v>44483.64583</v>
      </c>
      <c r="B1095" s="1">
        <f>IFERROR(__xludf.DUMMYFUNCTION("""COMPUTED_VALUE"""),19750.0)</f>
        <v>19750</v>
      </c>
      <c r="C1095" s="1">
        <f>IFERROR(__xludf.DUMMYFUNCTION("""COMPUTED_VALUE"""),20000.0)</f>
        <v>20000</v>
      </c>
      <c r="D1095" s="1">
        <f>IFERROR(__xludf.DUMMYFUNCTION("""COMPUTED_VALUE"""),19700.0)</f>
        <v>19700</v>
      </c>
      <c r="E1095" s="1">
        <f>IFERROR(__xludf.DUMMYFUNCTION("""COMPUTED_VALUE"""),20000.0)</f>
        <v>20000</v>
      </c>
      <c r="F1095" s="1">
        <f>IFERROR(__xludf.DUMMYFUNCTION("""COMPUTED_VALUE"""),23171.0)</f>
        <v>23171</v>
      </c>
    </row>
    <row r="1096">
      <c r="A1096" s="2">
        <f>IFERROR(__xludf.DUMMYFUNCTION("""COMPUTED_VALUE"""),44484.64583333333)</f>
        <v>44484.64583</v>
      </c>
      <c r="B1096" s="1">
        <f>IFERROR(__xludf.DUMMYFUNCTION("""COMPUTED_VALUE"""),20000.0)</f>
        <v>20000</v>
      </c>
      <c r="C1096" s="1">
        <f>IFERROR(__xludf.DUMMYFUNCTION("""COMPUTED_VALUE"""),20250.0)</f>
        <v>20250</v>
      </c>
      <c r="D1096" s="1">
        <f>IFERROR(__xludf.DUMMYFUNCTION("""COMPUTED_VALUE"""),19800.0)</f>
        <v>19800</v>
      </c>
      <c r="E1096" s="1">
        <f>IFERROR(__xludf.DUMMYFUNCTION("""COMPUTED_VALUE"""),20250.0)</f>
        <v>20250</v>
      </c>
      <c r="F1096" s="1">
        <f>IFERROR(__xludf.DUMMYFUNCTION("""COMPUTED_VALUE"""),20797.0)</f>
        <v>20797</v>
      </c>
    </row>
    <row r="1097">
      <c r="A1097" s="2">
        <f>IFERROR(__xludf.DUMMYFUNCTION("""COMPUTED_VALUE"""),44487.64583333333)</f>
        <v>44487.64583</v>
      </c>
      <c r="B1097" s="1">
        <f>IFERROR(__xludf.DUMMYFUNCTION("""COMPUTED_VALUE"""),20700.0)</f>
        <v>20700</v>
      </c>
      <c r="C1097" s="1">
        <f>IFERROR(__xludf.DUMMYFUNCTION("""COMPUTED_VALUE"""),21300.0)</f>
        <v>21300</v>
      </c>
      <c r="D1097" s="1">
        <f>IFERROR(__xludf.DUMMYFUNCTION("""COMPUTED_VALUE"""),20300.0)</f>
        <v>20300</v>
      </c>
      <c r="E1097" s="1">
        <f>IFERROR(__xludf.DUMMYFUNCTION("""COMPUTED_VALUE"""),21000.0)</f>
        <v>21000</v>
      </c>
      <c r="F1097" s="1">
        <f>IFERROR(__xludf.DUMMYFUNCTION("""COMPUTED_VALUE"""),79498.0)</f>
        <v>79498</v>
      </c>
    </row>
    <row r="1098">
      <c r="A1098" s="2">
        <f>IFERROR(__xludf.DUMMYFUNCTION("""COMPUTED_VALUE"""),44488.64583333333)</f>
        <v>44488.64583</v>
      </c>
      <c r="B1098" s="1">
        <f>IFERROR(__xludf.DUMMYFUNCTION("""COMPUTED_VALUE"""),21000.0)</f>
        <v>21000</v>
      </c>
      <c r="C1098" s="1">
        <f>IFERROR(__xludf.DUMMYFUNCTION("""COMPUTED_VALUE"""),21350.0)</f>
        <v>21350</v>
      </c>
      <c r="D1098" s="1">
        <f>IFERROR(__xludf.DUMMYFUNCTION("""COMPUTED_VALUE"""),20850.0)</f>
        <v>20850</v>
      </c>
      <c r="E1098" s="1">
        <f>IFERROR(__xludf.DUMMYFUNCTION("""COMPUTED_VALUE"""),21200.0)</f>
        <v>21200</v>
      </c>
      <c r="F1098" s="1">
        <f>IFERROR(__xludf.DUMMYFUNCTION("""COMPUTED_VALUE"""),30152.0)</f>
        <v>30152</v>
      </c>
    </row>
    <row r="1099">
      <c r="A1099" s="2">
        <f>IFERROR(__xludf.DUMMYFUNCTION("""COMPUTED_VALUE"""),44489.64583333333)</f>
        <v>44489.64583</v>
      </c>
      <c r="B1099" s="1">
        <f>IFERROR(__xludf.DUMMYFUNCTION("""COMPUTED_VALUE"""),21100.0)</f>
        <v>21100</v>
      </c>
      <c r="C1099" s="1">
        <f>IFERROR(__xludf.DUMMYFUNCTION("""COMPUTED_VALUE"""),21300.0)</f>
        <v>21300</v>
      </c>
      <c r="D1099" s="1">
        <f>IFERROR(__xludf.DUMMYFUNCTION("""COMPUTED_VALUE"""),20800.0)</f>
        <v>20800</v>
      </c>
      <c r="E1099" s="1">
        <f>IFERROR(__xludf.DUMMYFUNCTION("""COMPUTED_VALUE"""),20900.0)</f>
        <v>20900</v>
      </c>
      <c r="F1099" s="1">
        <f>IFERROR(__xludf.DUMMYFUNCTION("""COMPUTED_VALUE"""),27328.0)</f>
        <v>27328</v>
      </c>
    </row>
    <row r="1100">
      <c r="A1100" s="2">
        <f>IFERROR(__xludf.DUMMYFUNCTION("""COMPUTED_VALUE"""),44490.64583333333)</f>
        <v>44490.64583</v>
      </c>
      <c r="B1100" s="1">
        <f>IFERROR(__xludf.DUMMYFUNCTION("""COMPUTED_VALUE"""),20900.0)</f>
        <v>20900</v>
      </c>
      <c r="C1100" s="1">
        <f>IFERROR(__xludf.DUMMYFUNCTION("""COMPUTED_VALUE"""),20950.0)</f>
        <v>20950</v>
      </c>
      <c r="D1100" s="1">
        <f>IFERROR(__xludf.DUMMYFUNCTION("""COMPUTED_VALUE"""),20400.0)</f>
        <v>20400</v>
      </c>
      <c r="E1100" s="1">
        <f>IFERROR(__xludf.DUMMYFUNCTION("""COMPUTED_VALUE"""),20800.0)</f>
        <v>20800</v>
      </c>
      <c r="F1100" s="1">
        <f>IFERROR(__xludf.DUMMYFUNCTION("""COMPUTED_VALUE"""),42062.0)</f>
        <v>42062</v>
      </c>
    </row>
    <row r="1101">
      <c r="A1101" s="2">
        <f>IFERROR(__xludf.DUMMYFUNCTION("""COMPUTED_VALUE"""),44491.64583333333)</f>
        <v>44491.64583</v>
      </c>
      <c r="B1101" s="1">
        <f>IFERROR(__xludf.DUMMYFUNCTION("""COMPUTED_VALUE"""),20800.0)</f>
        <v>20800</v>
      </c>
      <c r="C1101" s="1">
        <f>IFERROR(__xludf.DUMMYFUNCTION("""COMPUTED_VALUE"""),20800.0)</f>
        <v>20800</v>
      </c>
      <c r="D1101" s="1">
        <f>IFERROR(__xludf.DUMMYFUNCTION("""COMPUTED_VALUE"""),20450.0)</f>
        <v>20450</v>
      </c>
      <c r="E1101" s="1">
        <f>IFERROR(__xludf.DUMMYFUNCTION("""COMPUTED_VALUE"""),20650.0)</f>
        <v>20650</v>
      </c>
      <c r="F1101" s="1">
        <f>IFERROR(__xludf.DUMMYFUNCTION("""COMPUTED_VALUE"""),33952.0)</f>
        <v>33952</v>
      </c>
    </row>
    <row r="1102">
      <c r="A1102" s="2">
        <f>IFERROR(__xludf.DUMMYFUNCTION("""COMPUTED_VALUE"""),44494.64583333333)</f>
        <v>44494.64583</v>
      </c>
      <c r="B1102" s="1">
        <f>IFERROR(__xludf.DUMMYFUNCTION("""COMPUTED_VALUE"""),20650.0)</f>
        <v>20650</v>
      </c>
      <c r="C1102" s="1">
        <f>IFERROR(__xludf.DUMMYFUNCTION("""COMPUTED_VALUE"""),20750.0)</f>
        <v>20750</v>
      </c>
      <c r="D1102" s="1">
        <f>IFERROR(__xludf.DUMMYFUNCTION("""COMPUTED_VALUE"""),20350.0)</f>
        <v>20350</v>
      </c>
      <c r="E1102" s="1">
        <f>IFERROR(__xludf.DUMMYFUNCTION("""COMPUTED_VALUE"""),20650.0)</f>
        <v>20650</v>
      </c>
      <c r="F1102" s="1">
        <f>IFERROR(__xludf.DUMMYFUNCTION("""COMPUTED_VALUE"""),45159.0)</f>
        <v>45159</v>
      </c>
    </row>
    <row r="1103">
      <c r="A1103" s="2">
        <f>IFERROR(__xludf.DUMMYFUNCTION("""COMPUTED_VALUE"""),44495.64583333333)</f>
        <v>44495.64583</v>
      </c>
      <c r="B1103" s="1">
        <f>IFERROR(__xludf.DUMMYFUNCTION("""COMPUTED_VALUE"""),20650.0)</f>
        <v>20650</v>
      </c>
      <c r="C1103" s="1">
        <f>IFERROR(__xludf.DUMMYFUNCTION("""COMPUTED_VALUE"""),21000.0)</f>
        <v>21000</v>
      </c>
      <c r="D1103" s="1">
        <f>IFERROR(__xludf.DUMMYFUNCTION("""COMPUTED_VALUE"""),20500.0)</f>
        <v>20500</v>
      </c>
      <c r="E1103" s="1">
        <f>IFERROR(__xludf.DUMMYFUNCTION("""COMPUTED_VALUE"""),20700.0)</f>
        <v>20700</v>
      </c>
      <c r="F1103" s="1">
        <f>IFERROR(__xludf.DUMMYFUNCTION("""COMPUTED_VALUE"""),29620.0)</f>
        <v>29620</v>
      </c>
    </row>
    <row r="1104">
      <c r="A1104" s="2">
        <f>IFERROR(__xludf.DUMMYFUNCTION("""COMPUTED_VALUE"""),44496.64583333333)</f>
        <v>44496.64583</v>
      </c>
      <c r="B1104" s="1">
        <f>IFERROR(__xludf.DUMMYFUNCTION("""COMPUTED_VALUE"""),20500.0)</f>
        <v>20500</v>
      </c>
      <c r="C1104" s="1">
        <f>IFERROR(__xludf.DUMMYFUNCTION("""COMPUTED_VALUE"""),20700.0)</f>
        <v>20700</v>
      </c>
      <c r="D1104" s="1">
        <f>IFERROR(__xludf.DUMMYFUNCTION("""COMPUTED_VALUE"""),20350.0)</f>
        <v>20350</v>
      </c>
      <c r="E1104" s="1">
        <f>IFERROR(__xludf.DUMMYFUNCTION("""COMPUTED_VALUE"""),20450.0)</f>
        <v>20450</v>
      </c>
      <c r="F1104" s="1">
        <f>IFERROR(__xludf.DUMMYFUNCTION("""COMPUTED_VALUE"""),37372.0)</f>
        <v>37372</v>
      </c>
    </row>
    <row r="1105">
      <c r="A1105" s="2">
        <f>IFERROR(__xludf.DUMMYFUNCTION("""COMPUTED_VALUE"""),44497.64583333333)</f>
        <v>44497.64583</v>
      </c>
      <c r="B1105" s="1">
        <f>IFERROR(__xludf.DUMMYFUNCTION("""COMPUTED_VALUE"""),20700.0)</f>
        <v>20700</v>
      </c>
      <c r="C1105" s="1">
        <f>IFERROR(__xludf.DUMMYFUNCTION("""COMPUTED_VALUE"""),20950.0)</f>
        <v>20950</v>
      </c>
      <c r="D1105" s="1">
        <f>IFERROR(__xludf.DUMMYFUNCTION("""COMPUTED_VALUE"""),20300.0)</f>
        <v>20300</v>
      </c>
      <c r="E1105" s="1">
        <f>IFERROR(__xludf.DUMMYFUNCTION("""COMPUTED_VALUE"""),20900.0)</f>
        <v>20900</v>
      </c>
      <c r="F1105" s="1">
        <f>IFERROR(__xludf.DUMMYFUNCTION("""COMPUTED_VALUE"""),75064.0)</f>
        <v>75064</v>
      </c>
    </row>
    <row r="1106">
      <c r="A1106" s="2">
        <f>IFERROR(__xludf.DUMMYFUNCTION("""COMPUTED_VALUE"""),44498.64583333333)</f>
        <v>44498.64583</v>
      </c>
      <c r="B1106" s="1">
        <f>IFERROR(__xludf.DUMMYFUNCTION("""COMPUTED_VALUE"""),21050.0)</f>
        <v>21050</v>
      </c>
      <c r="C1106" s="1">
        <f>IFERROR(__xludf.DUMMYFUNCTION("""COMPUTED_VALUE"""),21100.0)</f>
        <v>21100</v>
      </c>
      <c r="D1106" s="1">
        <f>IFERROR(__xludf.DUMMYFUNCTION("""COMPUTED_VALUE"""),20700.0)</f>
        <v>20700</v>
      </c>
      <c r="E1106" s="1">
        <f>IFERROR(__xludf.DUMMYFUNCTION("""COMPUTED_VALUE"""),20800.0)</f>
        <v>20800</v>
      </c>
      <c r="F1106" s="1">
        <f>IFERROR(__xludf.DUMMYFUNCTION("""COMPUTED_VALUE"""),30555.0)</f>
        <v>30555</v>
      </c>
    </row>
    <row r="1107">
      <c r="A1107" s="2">
        <f>IFERROR(__xludf.DUMMYFUNCTION("""COMPUTED_VALUE"""),44501.64583333333)</f>
        <v>44501.64583</v>
      </c>
      <c r="B1107" s="1">
        <f>IFERROR(__xludf.DUMMYFUNCTION("""COMPUTED_VALUE"""),20850.0)</f>
        <v>20850</v>
      </c>
      <c r="C1107" s="1">
        <f>IFERROR(__xludf.DUMMYFUNCTION("""COMPUTED_VALUE"""),20850.0)</f>
        <v>20850</v>
      </c>
      <c r="D1107" s="1">
        <f>IFERROR(__xludf.DUMMYFUNCTION("""COMPUTED_VALUE"""),20500.0)</f>
        <v>20500</v>
      </c>
      <c r="E1107" s="1">
        <f>IFERROR(__xludf.DUMMYFUNCTION("""COMPUTED_VALUE"""),20800.0)</f>
        <v>20800</v>
      </c>
      <c r="F1107" s="1">
        <f>IFERROR(__xludf.DUMMYFUNCTION("""COMPUTED_VALUE"""),28839.0)</f>
        <v>28839</v>
      </c>
    </row>
    <row r="1108">
      <c r="A1108" s="2">
        <f>IFERROR(__xludf.DUMMYFUNCTION("""COMPUTED_VALUE"""),44502.64583333333)</f>
        <v>44502.64583</v>
      </c>
      <c r="B1108" s="1">
        <f>IFERROR(__xludf.DUMMYFUNCTION("""COMPUTED_VALUE"""),20900.0)</f>
        <v>20900</v>
      </c>
      <c r="C1108" s="1">
        <f>IFERROR(__xludf.DUMMYFUNCTION("""COMPUTED_VALUE"""),20950.0)</f>
        <v>20950</v>
      </c>
      <c r="D1108" s="1">
        <f>IFERROR(__xludf.DUMMYFUNCTION("""COMPUTED_VALUE"""),20250.0)</f>
        <v>20250</v>
      </c>
      <c r="E1108" s="1">
        <f>IFERROR(__xludf.DUMMYFUNCTION("""COMPUTED_VALUE"""),20800.0)</f>
        <v>20800</v>
      </c>
      <c r="F1108" s="1">
        <f>IFERROR(__xludf.DUMMYFUNCTION("""COMPUTED_VALUE"""),58522.0)</f>
        <v>58522</v>
      </c>
    </row>
    <row r="1109">
      <c r="A1109" s="2">
        <f>IFERROR(__xludf.DUMMYFUNCTION("""COMPUTED_VALUE"""),44503.64583333333)</f>
        <v>44503.64583</v>
      </c>
      <c r="B1109" s="1">
        <f>IFERROR(__xludf.DUMMYFUNCTION("""COMPUTED_VALUE"""),21000.0)</f>
        <v>21000</v>
      </c>
      <c r="C1109" s="1">
        <f>IFERROR(__xludf.DUMMYFUNCTION("""COMPUTED_VALUE"""),21000.0)</f>
        <v>21000</v>
      </c>
      <c r="D1109" s="1">
        <f>IFERROR(__xludf.DUMMYFUNCTION("""COMPUTED_VALUE"""),20600.0)</f>
        <v>20600</v>
      </c>
      <c r="E1109" s="1">
        <f>IFERROR(__xludf.DUMMYFUNCTION("""COMPUTED_VALUE"""),20850.0)</f>
        <v>20850</v>
      </c>
      <c r="F1109" s="1">
        <f>IFERROR(__xludf.DUMMYFUNCTION("""COMPUTED_VALUE"""),33954.0)</f>
        <v>33954</v>
      </c>
    </row>
    <row r="1110">
      <c r="A1110" s="2">
        <f>IFERROR(__xludf.DUMMYFUNCTION("""COMPUTED_VALUE"""),44504.64583333333)</f>
        <v>44504.64583</v>
      </c>
      <c r="B1110" s="1">
        <f>IFERROR(__xludf.DUMMYFUNCTION("""COMPUTED_VALUE"""),20850.0)</f>
        <v>20850</v>
      </c>
      <c r="C1110" s="1">
        <f>IFERROR(__xludf.DUMMYFUNCTION("""COMPUTED_VALUE"""),20850.0)</f>
        <v>20850</v>
      </c>
      <c r="D1110" s="1">
        <f>IFERROR(__xludf.DUMMYFUNCTION("""COMPUTED_VALUE"""),20200.0)</f>
        <v>20200</v>
      </c>
      <c r="E1110" s="1">
        <f>IFERROR(__xludf.DUMMYFUNCTION("""COMPUTED_VALUE"""),20550.0)</f>
        <v>20550</v>
      </c>
      <c r="F1110" s="1">
        <f>IFERROR(__xludf.DUMMYFUNCTION("""COMPUTED_VALUE"""),50405.0)</f>
        <v>50405</v>
      </c>
    </row>
    <row r="1111">
      <c r="A1111" s="2">
        <f>IFERROR(__xludf.DUMMYFUNCTION("""COMPUTED_VALUE"""),44505.64583333333)</f>
        <v>44505.64583</v>
      </c>
      <c r="B1111" s="1">
        <f>IFERROR(__xludf.DUMMYFUNCTION("""COMPUTED_VALUE"""),20400.0)</f>
        <v>20400</v>
      </c>
      <c r="C1111" s="1">
        <f>IFERROR(__xludf.DUMMYFUNCTION("""COMPUTED_VALUE"""),20700.0)</f>
        <v>20700</v>
      </c>
      <c r="D1111" s="1">
        <f>IFERROR(__xludf.DUMMYFUNCTION("""COMPUTED_VALUE"""),20300.0)</f>
        <v>20300</v>
      </c>
      <c r="E1111" s="1">
        <f>IFERROR(__xludf.DUMMYFUNCTION("""COMPUTED_VALUE"""),20700.0)</f>
        <v>20700</v>
      </c>
      <c r="F1111" s="1">
        <f>IFERROR(__xludf.DUMMYFUNCTION("""COMPUTED_VALUE"""),26101.0)</f>
        <v>26101</v>
      </c>
    </row>
    <row r="1112">
      <c r="A1112" s="2">
        <f>IFERROR(__xludf.DUMMYFUNCTION("""COMPUTED_VALUE"""),44508.64583333333)</f>
        <v>44508.64583</v>
      </c>
      <c r="B1112" s="1">
        <f>IFERROR(__xludf.DUMMYFUNCTION("""COMPUTED_VALUE"""),20600.0)</f>
        <v>20600</v>
      </c>
      <c r="C1112" s="1">
        <f>IFERROR(__xludf.DUMMYFUNCTION("""COMPUTED_VALUE"""),20900.0)</f>
        <v>20900</v>
      </c>
      <c r="D1112" s="1">
        <f>IFERROR(__xludf.DUMMYFUNCTION("""COMPUTED_VALUE"""),20250.0)</f>
        <v>20250</v>
      </c>
      <c r="E1112" s="1">
        <f>IFERROR(__xludf.DUMMYFUNCTION("""COMPUTED_VALUE"""),20250.0)</f>
        <v>20250</v>
      </c>
      <c r="F1112" s="1">
        <f>IFERROR(__xludf.DUMMYFUNCTION("""COMPUTED_VALUE"""),21137.0)</f>
        <v>21137</v>
      </c>
    </row>
    <row r="1113">
      <c r="A1113" s="2">
        <f>IFERROR(__xludf.DUMMYFUNCTION("""COMPUTED_VALUE"""),44509.64583333333)</f>
        <v>44509.64583</v>
      </c>
      <c r="B1113" s="1">
        <f>IFERROR(__xludf.DUMMYFUNCTION("""COMPUTED_VALUE"""),20400.0)</f>
        <v>20400</v>
      </c>
      <c r="C1113" s="1">
        <f>IFERROR(__xludf.DUMMYFUNCTION("""COMPUTED_VALUE"""),20500.0)</f>
        <v>20500</v>
      </c>
      <c r="D1113" s="1">
        <f>IFERROR(__xludf.DUMMYFUNCTION("""COMPUTED_VALUE"""),19900.0)</f>
        <v>19900</v>
      </c>
      <c r="E1113" s="1">
        <f>IFERROR(__xludf.DUMMYFUNCTION("""COMPUTED_VALUE"""),20350.0)</f>
        <v>20350</v>
      </c>
      <c r="F1113" s="1">
        <f>IFERROR(__xludf.DUMMYFUNCTION("""COMPUTED_VALUE"""),40254.0)</f>
        <v>40254</v>
      </c>
    </row>
    <row r="1114">
      <c r="A1114" s="2">
        <f>IFERROR(__xludf.DUMMYFUNCTION("""COMPUTED_VALUE"""),44510.64583333333)</f>
        <v>44510.64583</v>
      </c>
      <c r="B1114" s="1">
        <f>IFERROR(__xludf.DUMMYFUNCTION("""COMPUTED_VALUE"""),20350.0)</f>
        <v>20350</v>
      </c>
      <c r="C1114" s="1">
        <f>IFERROR(__xludf.DUMMYFUNCTION("""COMPUTED_VALUE"""),20500.0)</f>
        <v>20500</v>
      </c>
      <c r="D1114" s="1">
        <f>IFERROR(__xludf.DUMMYFUNCTION("""COMPUTED_VALUE"""),19950.0)</f>
        <v>19950</v>
      </c>
      <c r="E1114" s="1">
        <f>IFERROR(__xludf.DUMMYFUNCTION("""COMPUTED_VALUE"""),20500.0)</f>
        <v>20500</v>
      </c>
      <c r="F1114" s="1">
        <f>IFERROR(__xludf.DUMMYFUNCTION("""COMPUTED_VALUE"""),52874.0)</f>
        <v>52874</v>
      </c>
    </row>
    <row r="1115">
      <c r="A1115" s="2">
        <f>IFERROR(__xludf.DUMMYFUNCTION("""COMPUTED_VALUE"""),44511.64583333333)</f>
        <v>44511.64583</v>
      </c>
      <c r="B1115" s="1">
        <f>IFERROR(__xludf.DUMMYFUNCTION("""COMPUTED_VALUE"""),20400.0)</f>
        <v>20400</v>
      </c>
      <c r="C1115" s="1">
        <f>IFERROR(__xludf.DUMMYFUNCTION("""COMPUTED_VALUE"""),20450.0)</f>
        <v>20450</v>
      </c>
      <c r="D1115" s="1">
        <f>IFERROR(__xludf.DUMMYFUNCTION("""COMPUTED_VALUE"""),20100.0)</f>
        <v>20100</v>
      </c>
      <c r="E1115" s="1">
        <f>IFERROR(__xludf.DUMMYFUNCTION("""COMPUTED_VALUE"""),20350.0)</f>
        <v>20350</v>
      </c>
      <c r="F1115" s="1">
        <f>IFERROR(__xludf.DUMMYFUNCTION("""COMPUTED_VALUE"""),13873.0)</f>
        <v>13873</v>
      </c>
    </row>
    <row r="1116">
      <c r="A1116" s="2">
        <f>IFERROR(__xludf.DUMMYFUNCTION("""COMPUTED_VALUE"""),44512.64583333333)</f>
        <v>44512.64583</v>
      </c>
      <c r="B1116" s="1">
        <f>IFERROR(__xludf.DUMMYFUNCTION("""COMPUTED_VALUE"""),20350.0)</f>
        <v>20350</v>
      </c>
      <c r="C1116" s="1">
        <f>IFERROR(__xludf.DUMMYFUNCTION("""COMPUTED_VALUE"""),20900.0)</f>
        <v>20900</v>
      </c>
      <c r="D1116" s="1">
        <f>IFERROR(__xludf.DUMMYFUNCTION("""COMPUTED_VALUE"""),20300.0)</f>
        <v>20300</v>
      </c>
      <c r="E1116" s="1">
        <f>IFERROR(__xludf.DUMMYFUNCTION("""COMPUTED_VALUE"""),20750.0)</f>
        <v>20750</v>
      </c>
      <c r="F1116" s="1">
        <f>IFERROR(__xludf.DUMMYFUNCTION("""COMPUTED_VALUE"""),39677.0)</f>
        <v>39677</v>
      </c>
    </row>
    <row r="1117">
      <c r="A1117" s="2">
        <f>IFERROR(__xludf.DUMMYFUNCTION("""COMPUTED_VALUE"""),44515.64583333333)</f>
        <v>44515.64583</v>
      </c>
      <c r="B1117" s="1">
        <f>IFERROR(__xludf.DUMMYFUNCTION("""COMPUTED_VALUE"""),20750.0)</f>
        <v>20750</v>
      </c>
      <c r="C1117" s="1">
        <f>IFERROR(__xludf.DUMMYFUNCTION("""COMPUTED_VALUE"""),21050.0)</f>
        <v>21050</v>
      </c>
      <c r="D1117" s="1">
        <f>IFERROR(__xludf.DUMMYFUNCTION("""COMPUTED_VALUE"""),20250.0)</f>
        <v>20250</v>
      </c>
      <c r="E1117" s="1">
        <f>IFERROR(__xludf.DUMMYFUNCTION("""COMPUTED_VALUE"""),20350.0)</f>
        <v>20350</v>
      </c>
      <c r="F1117" s="1">
        <f>IFERROR(__xludf.DUMMYFUNCTION("""COMPUTED_VALUE"""),95151.0)</f>
        <v>95151</v>
      </c>
    </row>
    <row r="1118">
      <c r="A1118" s="2">
        <f>IFERROR(__xludf.DUMMYFUNCTION("""COMPUTED_VALUE"""),44516.64583333333)</f>
        <v>44516.64583</v>
      </c>
      <c r="B1118" s="1">
        <f>IFERROR(__xludf.DUMMYFUNCTION("""COMPUTED_VALUE"""),20300.0)</f>
        <v>20300</v>
      </c>
      <c r="C1118" s="1">
        <f>IFERROR(__xludf.DUMMYFUNCTION("""COMPUTED_VALUE"""),20450.0)</f>
        <v>20450</v>
      </c>
      <c r="D1118" s="1">
        <f>IFERROR(__xludf.DUMMYFUNCTION("""COMPUTED_VALUE"""),19800.0)</f>
        <v>19800</v>
      </c>
      <c r="E1118" s="1">
        <f>IFERROR(__xludf.DUMMYFUNCTION("""COMPUTED_VALUE"""),19950.0)</f>
        <v>19950</v>
      </c>
      <c r="F1118" s="1">
        <f>IFERROR(__xludf.DUMMYFUNCTION("""COMPUTED_VALUE"""),41823.0)</f>
        <v>41823</v>
      </c>
    </row>
    <row r="1119">
      <c r="A1119" s="2">
        <f>IFERROR(__xludf.DUMMYFUNCTION("""COMPUTED_VALUE"""),44517.64583333333)</f>
        <v>44517.64583</v>
      </c>
      <c r="B1119" s="1">
        <f>IFERROR(__xludf.DUMMYFUNCTION("""COMPUTED_VALUE"""),19850.0)</f>
        <v>19850</v>
      </c>
      <c r="C1119" s="1">
        <f>IFERROR(__xludf.DUMMYFUNCTION("""COMPUTED_VALUE"""),20200.0)</f>
        <v>20200</v>
      </c>
      <c r="D1119" s="1">
        <f>IFERROR(__xludf.DUMMYFUNCTION("""COMPUTED_VALUE"""),19650.0)</f>
        <v>19650</v>
      </c>
      <c r="E1119" s="1">
        <f>IFERROR(__xludf.DUMMYFUNCTION("""COMPUTED_VALUE"""),19950.0)</f>
        <v>19950</v>
      </c>
      <c r="F1119" s="1">
        <f>IFERROR(__xludf.DUMMYFUNCTION("""COMPUTED_VALUE"""),69555.0)</f>
        <v>69555</v>
      </c>
    </row>
    <row r="1120">
      <c r="A1120" s="2">
        <f>IFERROR(__xludf.DUMMYFUNCTION("""COMPUTED_VALUE"""),44518.64583333333)</f>
        <v>44518.64583</v>
      </c>
      <c r="B1120" s="1">
        <f>IFERROR(__xludf.DUMMYFUNCTION("""COMPUTED_VALUE"""),19950.0)</f>
        <v>19950</v>
      </c>
      <c r="C1120" s="1">
        <f>IFERROR(__xludf.DUMMYFUNCTION("""COMPUTED_VALUE"""),20050.0)</f>
        <v>20050</v>
      </c>
      <c r="D1120" s="1">
        <f>IFERROR(__xludf.DUMMYFUNCTION("""COMPUTED_VALUE"""),19300.0)</f>
        <v>19300</v>
      </c>
      <c r="E1120" s="1">
        <f>IFERROR(__xludf.DUMMYFUNCTION("""COMPUTED_VALUE"""),19550.0)</f>
        <v>19550</v>
      </c>
      <c r="F1120" s="1">
        <f>IFERROR(__xludf.DUMMYFUNCTION("""COMPUTED_VALUE"""),43334.0)</f>
        <v>43334</v>
      </c>
    </row>
    <row r="1121">
      <c r="A1121" s="2">
        <f>IFERROR(__xludf.DUMMYFUNCTION("""COMPUTED_VALUE"""),44519.64583333333)</f>
        <v>44519.64583</v>
      </c>
      <c r="B1121" s="1">
        <f>IFERROR(__xludf.DUMMYFUNCTION("""COMPUTED_VALUE"""),19250.0)</f>
        <v>19250</v>
      </c>
      <c r="C1121" s="1">
        <f>IFERROR(__xludf.DUMMYFUNCTION("""COMPUTED_VALUE"""),20000.0)</f>
        <v>20000</v>
      </c>
      <c r="D1121" s="1">
        <f>IFERROR(__xludf.DUMMYFUNCTION("""COMPUTED_VALUE"""),19000.0)</f>
        <v>19000</v>
      </c>
      <c r="E1121" s="1">
        <f>IFERROR(__xludf.DUMMYFUNCTION("""COMPUTED_VALUE"""),19950.0)</f>
        <v>19950</v>
      </c>
      <c r="F1121" s="1">
        <f>IFERROR(__xludf.DUMMYFUNCTION("""COMPUTED_VALUE"""),50105.0)</f>
        <v>50105</v>
      </c>
    </row>
    <row r="1122">
      <c r="A1122" s="2">
        <f>IFERROR(__xludf.DUMMYFUNCTION("""COMPUTED_VALUE"""),44522.64583333333)</f>
        <v>44522.64583</v>
      </c>
      <c r="B1122" s="1">
        <f>IFERROR(__xludf.DUMMYFUNCTION("""COMPUTED_VALUE"""),19800.0)</f>
        <v>19800</v>
      </c>
      <c r="C1122" s="1">
        <f>IFERROR(__xludf.DUMMYFUNCTION("""COMPUTED_VALUE"""),20300.0)</f>
        <v>20300</v>
      </c>
      <c r="D1122" s="1">
        <f>IFERROR(__xludf.DUMMYFUNCTION("""COMPUTED_VALUE"""),19400.0)</f>
        <v>19400</v>
      </c>
      <c r="E1122" s="1">
        <f>IFERROR(__xludf.DUMMYFUNCTION("""COMPUTED_VALUE"""),19450.0)</f>
        <v>19450</v>
      </c>
      <c r="F1122" s="1">
        <f>IFERROR(__xludf.DUMMYFUNCTION("""COMPUTED_VALUE"""),42384.0)</f>
        <v>42384</v>
      </c>
    </row>
    <row r="1123">
      <c r="A1123" s="2">
        <f>IFERROR(__xludf.DUMMYFUNCTION("""COMPUTED_VALUE"""),44523.64583333333)</f>
        <v>44523.64583</v>
      </c>
      <c r="B1123" s="1">
        <f>IFERROR(__xludf.DUMMYFUNCTION("""COMPUTED_VALUE"""),19150.0)</f>
        <v>19150</v>
      </c>
      <c r="C1123" s="1">
        <f>IFERROR(__xludf.DUMMYFUNCTION("""COMPUTED_VALUE"""),19600.0)</f>
        <v>19600</v>
      </c>
      <c r="D1123" s="1">
        <f>IFERROR(__xludf.DUMMYFUNCTION("""COMPUTED_VALUE"""),19150.0)</f>
        <v>19150</v>
      </c>
      <c r="E1123" s="1">
        <f>IFERROR(__xludf.DUMMYFUNCTION("""COMPUTED_VALUE"""),19450.0)</f>
        <v>19450</v>
      </c>
      <c r="F1123" s="1">
        <f>IFERROR(__xludf.DUMMYFUNCTION("""COMPUTED_VALUE"""),27209.0)</f>
        <v>27209</v>
      </c>
    </row>
    <row r="1124">
      <c r="A1124" s="2">
        <f>IFERROR(__xludf.DUMMYFUNCTION("""COMPUTED_VALUE"""),44524.64583333333)</f>
        <v>44524.64583</v>
      </c>
      <c r="B1124" s="1">
        <f>IFERROR(__xludf.DUMMYFUNCTION("""COMPUTED_VALUE"""),19400.0)</f>
        <v>19400</v>
      </c>
      <c r="C1124" s="1">
        <f>IFERROR(__xludf.DUMMYFUNCTION("""COMPUTED_VALUE"""),19750.0)</f>
        <v>19750</v>
      </c>
      <c r="D1124" s="1">
        <f>IFERROR(__xludf.DUMMYFUNCTION("""COMPUTED_VALUE"""),19300.0)</f>
        <v>19300</v>
      </c>
      <c r="E1124" s="1">
        <f>IFERROR(__xludf.DUMMYFUNCTION("""COMPUTED_VALUE"""),19550.0)</f>
        <v>19550</v>
      </c>
      <c r="F1124" s="1">
        <f>IFERROR(__xludf.DUMMYFUNCTION("""COMPUTED_VALUE"""),23673.0)</f>
        <v>23673</v>
      </c>
    </row>
    <row r="1125">
      <c r="A1125" s="2">
        <f>IFERROR(__xludf.DUMMYFUNCTION("""COMPUTED_VALUE"""),44525.64583333333)</f>
        <v>44525.64583</v>
      </c>
      <c r="B1125" s="1">
        <f>IFERROR(__xludf.DUMMYFUNCTION("""COMPUTED_VALUE"""),19550.0)</f>
        <v>19550</v>
      </c>
      <c r="C1125" s="1">
        <f>IFERROR(__xludf.DUMMYFUNCTION("""COMPUTED_VALUE"""),19600.0)</f>
        <v>19600</v>
      </c>
      <c r="D1125" s="1">
        <f>IFERROR(__xludf.DUMMYFUNCTION("""COMPUTED_VALUE"""),19100.0)</f>
        <v>19100</v>
      </c>
      <c r="E1125" s="1">
        <f>IFERROR(__xludf.DUMMYFUNCTION("""COMPUTED_VALUE"""),19500.0)</f>
        <v>19500</v>
      </c>
      <c r="F1125" s="1">
        <f>IFERROR(__xludf.DUMMYFUNCTION("""COMPUTED_VALUE"""),24566.0)</f>
        <v>24566</v>
      </c>
    </row>
    <row r="1126">
      <c r="A1126" s="2">
        <f>IFERROR(__xludf.DUMMYFUNCTION("""COMPUTED_VALUE"""),44526.64583333333)</f>
        <v>44526.64583</v>
      </c>
      <c r="B1126" s="1">
        <f>IFERROR(__xludf.DUMMYFUNCTION("""COMPUTED_VALUE"""),19550.0)</f>
        <v>19550</v>
      </c>
      <c r="C1126" s="1">
        <f>IFERROR(__xludf.DUMMYFUNCTION("""COMPUTED_VALUE"""),19550.0)</f>
        <v>19550</v>
      </c>
      <c r="D1126" s="1">
        <f>IFERROR(__xludf.DUMMYFUNCTION("""COMPUTED_VALUE"""),19100.0)</f>
        <v>19100</v>
      </c>
      <c r="E1126" s="1">
        <f>IFERROR(__xludf.DUMMYFUNCTION("""COMPUTED_VALUE"""),19450.0)</f>
        <v>19450</v>
      </c>
      <c r="F1126" s="1">
        <f>IFERROR(__xludf.DUMMYFUNCTION("""COMPUTED_VALUE"""),45520.0)</f>
        <v>45520</v>
      </c>
    </row>
    <row r="1127">
      <c r="A1127" s="2">
        <f>IFERROR(__xludf.DUMMYFUNCTION("""COMPUTED_VALUE"""),44529.64583333333)</f>
        <v>44529.64583</v>
      </c>
      <c r="B1127" s="1">
        <f>IFERROR(__xludf.DUMMYFUNCTION("""COMPUTED_VALUE"""),19100.0)</f>
        <v>19100</v>
      </c>
      <c r="C1127" s="1">
        <f>IFERROR(__xludf.DUMMYFUNCTION("""COMPUTED_VALUE"""),19500.0)</f>
        <v>19500</v>
      </c>
      <c r="D1127" s="1">
        <f>IFERROR(__xludf.DUMMYFUNCTION("""COMPUTED_VALUE"""),18750.0)</f>
        <v>18750</v>
      </c>
      <c r="E1127" s="1">
        <f>IFERROR(__xludf.DUMMYFUNCTION("""COMPUTED_VALUE"""),19450.0)</f>
        <v>19450</v>
      </c>
      <c r="F1127" s="1">
        <f>IFERROR(__xludf.DUMMYFUNCTION("""COMPUTED_VALUE"""),79700.0)</f>
        <v>79700</v>
      </c>
    </row>
    <row r="1128">
      <c r="A1128" s="2">
        <f>IFERROR(__xludf.DUMMYFUNCTION("""COMPUTED_VALUE"""),44530.64583333333)</f>
        <v>44530.64583</v>
      </c>
      <c r="B1128" s="1">
        <f>IFERROR(__xludf.DUMMYFUNCTION("""COMPUTED_VALUE"""),19250.0)</f>
        <v>19250</v>
      </c>
      <c r="C1128" s="1">
        <f>IFERROR(__xludf.DUMMYFUNCTION("""COMPUTED_VALUE"""),19550.0)</f>
        <v>19550</v>
      </c>
      <c r="D1128" s="1">
        <f>IFERROR(__xludf.DUMMYFUNCTION("""COMPUTED_VALUE"""),18750.0)</f>
        <v>18750</v>
      </c>
      <c r="E1128" s="1">
        <f>IFERROR(__xludf.DUMMYFUNCTION("""COMPUTED_VALUE"""),19200.0)</f>
        <v>19200</v>
      </c>
      <c r="F1128" s="1">
        <f>IFERROR(__xludf.DUMMYFUNCTION("""COMPUTED_VALUE"""),71096.0)</f>
        <v>71096</v>
      </c>
    </row>
    <row r="1129">
      <c r="A1129" s="2">
        <f>IFERROR(__xludf.DUMMYFUNCTION("""COMPUTED_VALUE"""),44531.64583333333)</f>
        <v>44531.64583</v>
      </c>
      <c r="B1129" s="1">
        <f>IFERROR(__xludf.DUMMYFUNCTION("""COMPUTED_VALUE"""),19300.0)</f>
        <v>19300</v>
      </c>
      <c r="C1129" s="1">
        <f>IFERROR(__xludf.DUMMYFUNCTION("""COMPUTED_VALUE"""),20000.0)</f>
        <v>20000</v>
      </c>
      <c r="D1129" s="1">
        <f>IFERROR(__xludf.DUMMYFUNCTION("""COMPUTED_VALUE"""),18900.0)</f>
        <v>18900</v>
      </c>
      <c r="E1129" s="1">
        <f>IFERROR(__xludf.DUMMYFUNCTION("""COMPUTED_VALUE"""),19850.0)</f>
        <v>19850</v>
      </c>
      <c r="F1129" s="1">
        <f>IFERROR(__xludf.DUMMYFUNCTION("""COMPUTED_VALUE"""),50532.0)</f>
        <v>50532</v>
      </c>
    </row>
    <row r="1130">
      <c r="A1130" s="2">
        <f>IFERROR(__xludf.DUMMYFUNCTION("""COMPUTED_VALUE"""),44532.64583333333)</f>
        <v>44532.64583</v>
      </c>
      <c r="B1130" s="1">
        <f>IFERROR(__xludf.DUMMYFUNCTION("""COMPUTED_VALUE"""),19550.0)</f>
        <v>19550</v>
      </c>
      <c r="C1130" s="1">
        <f>IFERROR(__xludf.DUMMYFUNCTION("""COMPUTED_VALUE"""),20200.0)</f>
        <v>20200</v>
      </c>
      <c r="D1130" s="1">
        <f>IFERROR(__xludf.DUMMYFUNCTION("""COMPUTED_VALUE"""),19500.0)</f>
        <v>19500</v>
      </c>
      <c r="E1130" s="1">
        <f>IFERROR(__xludf.DUMMYFUNCTION("""COMPUTED_VALUE"""),20100.0)</f>
        <v>20100</v>
      </c>
      <c r="F1130" s="1">
        <f>IFERROR(__xludf.DUMMYFUNCTION("""COMPUTED_VALUE"""),196108.0)</f>
        <v>196108</v>
      </c>
    </row>
    <row r="1131">
      <c r="A1131" s="2">
        <f>IFERROR(__xludf.DUMMYFUNCTION("""COMPUTED_VALUE"""),44533.64583333333)</f>
        <v>44533.64583</v>
      </c>
      <c r="B1131" s="1">
        <f>IFERROR(__xludf.DUMMYFUNCTION("""COMPUTED_VALUE"""),20100.0)</f>
        <v>20100</v>
      </c>
      <c r="C1131" s="1">
        <f>IFERROR(__xludf.DUMMYFUNCTION("""COMPUTED_VALUE"""),20800.0)</f>
        <v>20800</v>
      </c>
      <c r="D1131" s="1">
        <f>IFERROR(__xludf.DUMMYFUNCTION("""COMPUTED_VALUE"""),19950.0)</f>
        <v>19950</v>
      </c>
      <c r="E1131" s="1">
        <f>IFERROR(__xludf.DUMMYFUNCTION("""COMPUTED_VALUE"""),20200.0)</f>
        <v>20200</v>
      </c>
      <c r="F1131" s="1">
        <f>IFERROR(__xludf.DUMMYFUNCTION("""COMPUTED_VALUE"""),121849.0)</f>
        <v>121849</v>
      </c>
    </row>
    <row r="1132">
      <c r="A1132" s="2">
        <f>IFERROR(__xludf.DUMMYFUNCTION("""COMPUTED_VALUE"""),44536.64583333333)</f>
        <v>44536.64583</v>
      </c>
      <c r="B1132" s="1">
        <f>IFERROR(__xludf.DUMMYFUNCTION("""COMPUTED_VALUE"""),20200.0)</f>
        <v>20200</v>
      </c>
      <c r="C1132" s="1">
        <f>IFERROR(__xludf.DUMMYFUNCTION("""COMPUTED_VALUE"""),20250.0)</f>
        <v>20250</v>
      </c>
      <c r="D1132" s="1">
        <f>IFERROR(__xludf.DUMMYFUNCTION("""COMPUTED_VALUE"""),19400.0)</f>
        <v>19400</v>
      </c>
      <c r="E1132" s="1">
        <f>IFERROR(__xludf.DUMMYFUNCTION("""COMPUTED_VALUE"""),19650.0)</f>
        <v>19650</v>
      </c>
      <c r="F1132" s="1">
        <f>IFERROR(__xludf.DUMMYFUNCTION("""COMPUTED_VALUE"""),118167.0)</f>
        <v>118167</v>
      </c>
    </row>
    <row r="1133">
      <c r="A1133" s="2">
        <f>IFERROR(__xludf.DUMMYFUNCTION("""COMPUTED_VALUE"""),44537.64583333333)</f>
        <v>44537.64583</v>
      </c>
      <c r="B1133" s="1">
        <f>IFERROR(__xludf.DUMMYFUNCTION("""COMPUTED_VALUE"""),19800.0)</f>
        <v>19800</v>
      </c>
      <c r="C1133" s="1">
        <f>IFERROR(__xludf.DUMMYFUNCTION("""COMPUTED_VALUE"""),19800.0)</f>
        <v>19800</v>
      </c>
      <c r="D1133" s="1">
        <f>IFERROR(__xludf.DUMMYFUNCTION("""COMPUTED_VALUE"""),19400.0)</f>
        <v>19400</v>
      </c>
      <c r="E1133" s="1">
        <f>IFERROR(__xludf.DUMMYFUNCTION("""COMPUTED_VALUE"""),19700.0)</f>
        <v>19700</v>
      </c>
      <c r="F1133" s="1">
        <f>IFERROR(__xludf.DUMMYFUNCTION("""COMPUTED_VALUE"""),27420.0)</f>
        <v>27420</v>
      </c>
    </row>
    <row r="1134">
      <c r="A1134" s="2">
        <f>IFERROR(__xludf.DUMMYFUNCTION("""COMPUTED_VALUE"""),44538.64583333333)</f>
        <v>44538.64583</v>
      </c>
      <c r="B1134" s="1">
        <f>IFERROR(__xludf.DUMMYFUNCTION("""COMPUTED_VALUE"""),19850.0)</f>
        <v>19850</v>
      </c>
      <c r="C1134" s="1">
        <f>IFERROR(__xludf.DUMMYFUNCTION("""COMPUTED_VALUE"""),20000.0)</f>
        <v>20000</v>
      </c>
      <c r="D1134" s="1">
        <f>IFERROR(__xludf.DUMMYFUNCTION("""COMPUTED_VALUE"""),19400.0)</f>
        <v>19400</v>
      </c>
      <c r="E1134" s="1">
        <f>IFERROR(__xludf.DUMMYFUNCTION("""COMPUTED_VALUE"""),19800.0)</f>
        <v>19800</v>
      </c>
      <c r="F1134" s="1">
        <f>IFERROR(__xludf.DUMMYFUNCTION("""COMPUTED_VALUE"""),92275.0)</f>
        <v>92275</v>
      </c>
    </row>
    <row r="1135">
      <c r="A1135" s="2">
        <f>IFERROR(__xludf.DUMMYFUNCTION("""COMPUTED_VALUE"""),44539.64583333333)</f>
        <v>44539.64583</v>
      </c>
      <c r="B1135" s="1">
        <f>IFERROR(__xludf.DUMMYFUNCTION("""COMPUTED_VALUE"""),19900.0)</f>
        <v>19900</v>
      </c>
      <c r="C1135" s="1">
        <f>IFERROR(__xludf.DUMMYFUNCTION("""COMPUTED_VALUE"""),19950.0)</f>
        <v>19950</v>
      </c>
      <c r="D1135" s="1">
        <f>IFERROR(__xludf.DUMMYFUNCTION("""COMPUTED_VALUE"""),19750.0)</f>
        <v>19750</v>
      </c>
      <c r="E1135" s="1">
        <f>IFERROR(__xludf.DUMMYFUNCTION("""COMPUTED_VALUE"""),19900.0)</f>
        <v>19900</v>
      </c>
      <c r="F1135" s="1">
        <f>IFERROR(__xludf.DUMMYFUNCTION("""COMPUTED_VALUE"""),12114.0)</f>
        <v>12114</v>
      </c>
    </row>
    <row r="1136">
      <c r="A1136" s="2">
        <f>IFERROR(__xludf.DUMMYFUNCTION("""COMPUTED_VALUE"""),44540.64583333333)</f>
        <v>44540.64583</v>
      </c>
      <c r="B1136" s="1">
        <f>IFERROR(__xludf.DUMMYFUNCTION("""COMPUTED_VALUE"""),19950.0)</f>
        <v>19950</v>
      </c>
      <c r="C1136" s="1">
        <f>IFERROR(__xludf.DUMMYFUNCTION("""COMPUTED_VALUE"""),20250.0)</f>
        <v>20250</v>
      </c>
      <c r="D1136" s="1">
        <f>IFERROR(__xludf.DUMMYFUNCTION("""COMPUTED_VALUE"""),19600.0)</f>
        <v>19600</v>
      </c>
      <c r="E1136" s="1">
        <f>IFERROR(__xludf.DUMMYFUNCTION("""COMPUTED_VALUE"""),20200.0)</f>
        <v>20200</v>
      </c>
      <c r="F1136" s="1">
        <f>IFERROR(__xludf.DUMMYFUNCTION("""COMPUTED_VALUE"""),30059.0)</f>
        <v>30059</v>
      </c>
    </row>
    <row r="1137">
      <c r="A1137" s="2">
        <f>IFERROR(__xludf.DUMMYFUNCTION("""COMPUTED_VALUE"""),44543.64583333333)</f>
        <v>44543.64583</v>
      </c>
      <c r="B1137" s="1">
        <f>IFERROR(__xludf.DUMMYFUNCTION("""COMPUTED_VALUE"""),20200.0)</f>
        <v>20200</v>
      </c>
      <c r="C1137" s="1">
        <f>IFERROR(__xludf.DUMMYFUNCTION("""COMPUTED_VALUE"""),20350.0)</f>
        <v>20350</v>
      </c>
      <c r="D1137" s="1">
        <f>IFERROR(__xludf.DUMMYFUNCTION("""COMPUTED_VALUE"""),19950.0)</f>
        <v>19950</v>
      </c>
      <c r="E1137" s="1">
        <f>IFERROR(__xludf.DUMMYFUNCTION("""COMPUTED_VALUE"""),20150.0)</f>
        <v>20150</v>
      </c>
      <c r="F1137" s="1">
        <f>IFERROR(__xludf.DUMMYFUNCTION("""COMPUTED_VALUE"""),32200.0)</f>
        <v>32200</v>
      </c>
    </row>
    <row r="1138">
      <c r="A1138" s="2">
        <f>IFERROR(__xludf.DUMMYFUNCTION("""COMPUTED_VALUE"""),44544.64583333333)</f>
        <v>44544.64583</v>
      </c>
      <c r="B1138" s="1">
        <f>IFERROR(__xludf.DUMMYFUNCTION("""COMPUTED_VALUE"""),20000.0)</f>
        <v>20000</v>
      </c>
      <c r="C1138" s="1">
        <f>IFERROR(__xludf.DUMMYFUNCTION("""COMPUTED_VALUE"""),20400.0)</f>
        <v>20400</v>
      </c>
      <c r="D1138" s="1">
        <f>IFERROR(__xludf.DUMMYFUNCTION("""COMPUTED_VALUE"""),19950.0)</f>
        <v>19950</v>
      </c>
      <c r="E1138" s="1">
        <f>IFERROR(__xludf.DUMMYFUNCTION("""COMPUTED_VALUE"""),20250.0)</f>
        <v>20250</v>
      </c>
      <c r="F1138" s="1">
        <f>IFERROR(__xludf.DUMMYFUNCTION("""COMPUTED_VALUE"""),27436.0)</f>
        <v>27436</v>
      </c>
    </row>
    <row r="1139">
      <c r="A1139" s="2">
        <f>IFERROR(__xludf.DUMMYFUNCTION("""COMPUTED_VALUE"""),44545.64583333333)</f>
        <v>44545.64583</v>
      </c>
      <c r="B1139" s="1">
        <f>IFERROR(__xludf.DUMMYFUNCTION("""COMPUTED_VALUE"""),20300.0)</f>
        <v>20300</v>
      </c>
      <c r="C1139" s="1">
        <f>IFERROR(__xludf.DUMMYFUNCTION("""COMPUTED_VALUE"""),20400.0)</f>
        <v>20400</v>
      </c>
      <c r="D1139" s="1">
        <f>IFERROR(__xludf.DUMMYFUNCTION("""COMPUTED_VALUE"""),20050.0)</f>
        <v>20050</v>
      </c>
      <c r="E1139" s="1">
        <f>IFERROR(__xludf.DUMMYFUNCTION("""COMPUTED_VALUE"""),20400.0)</f>
        <v>20400</v>
      </c>
      <c r="F1139" s="1">
        <f>IFERROR(__xludf.DUMMYFUNCTION("""COMPUTED_VALUE"""),50849.0)</f>
        <v>50849</v>
      </c>
    </row>
    <row r="1140">
      <c r="A1140" s="2">
        <f>IFERROR(__xludf.DUMMYFUNCTION("""COMPUTED_VALUE"""),44546.64583333333)</f>
        <v>44546.64583</v>
      </c>
      <c r="B1140" s="1">
        <f>IFERROR(__xludf.DUMMYFUNCTION("""COMPUTED_VALUE"""),20450.0)</f>
        <v>20450</v>
      </c>
      <c r="C1140" s="1">
        <f>IFERROR(__xludf.DUMMYFUNCTION("""COMPUTED_VALUE"""),22000.0)</f>
        <v>22000</v>
      </c>
      <c r="D1140" s="1">
        <f>IFERROR(__xludf.DUMMYFUNCTION("""COMPUTED_VALUE"""),20400.0)</f>
        <v>20400</v>
      </c>
      <c r="E1140" s="1">
        <f>IFERROR(__xludf.DUMMYFUNCTION("""COMPUTED_VALUE"""),21950.0)</f>
        <v>21950</v>
      </c>
      <c r="F1140" s="1">
        <f>IFERROR(__xludf.DUMMYFUNCTION("""COMPUTED_VALUE"""),344665.0)</f>
        <v>344665</v>
      </c>
    </row>
    <row r="1141">
      <c r="A1141" s="2">
        <f>IFERROR(__xludf.DUMMYFUNCTION("""COMPUTED_VALUE"""),44547.64583333333)</f>
        <v>44547.64583</v>
      </c>
      <c r="B1141" s="1">
        <f>IFERROR(__xludf.DUMMYFUNCTION("""COMPUTED_VALUE"""),21400.0)</f>
        <v>21400</v>
      </c>
      <c r="C1141" s="1">
        <f>IFERROR(__xludf.DUMMYFUNCTION("""COMPUTED_VALUE"""),21950.0)</f>
        <v>21950</v>
      </c>
      <c r="D1141" s="1">
        <f>IFERROR(__xludf.DUMMYFUNCTION("""COMPUTED_VALUE"""),21150.0)</f>
        <v>21150</v>
      </c>
      <c r="E1141" s="1">
        <f>IFERROR(__xludf.DUMMYFUNCTION("""COMPUTED_VALUE"""),21950.0)</f>
        <v>21950</v>
      </c>
      <c r="F1141" s="1">
        <f>IFERROR(__xludf.DUMMYFUNCTION("""COMPUTED_VALUE"""),178237.0)</f>
        <v>178237</v>
      </c>
    </row>
    <row r="1142">
      <c r="A1142" s="2">
        <f>IFERROR(__xludf.DUMMYFUNCTION("""COMPUTED_VALUE"""),44550.64583333333)</f>
        <v>44550.64583</v>
      </c>
      <c r="B1142" s="1">
        <f>IFERROR(__xludf.DUMMYFUNCTION("""COMPUTED_VALUE"""),21850.0)</f>
        <v>21850</v>
      </c>
      <c r="C1142" s="1">
        <f>IFERROR(__xludf.DUMMYFUNCTION("""COMPUTED_VALUE"""),22150.0)</f>
        <v>22150</v>
      </c>
      <c r="D1142" s="1">
        <f>IFERROR(__xludf.DUMMYFUNCTION("""COMPUTED_VALUE"""),21500.0)</f>
        <v>21500</v>
      </c>
      <c r="E1142" s="1">
        <f>IFERROR(__xludf.DUMMYFUNCTION("""COMPUTED_VALUE"""),22000.0)</f>
        <v>22000</v>
      </c>
      <c r="F1142" s="1">
        <f>IFERROR(__xludf.DUMMYFUNCTION("""COMPUTED_VALUE"""),122420.0)</f>
        <v>122420</v>
      </c>
    </row>
    <row r="1143">
      <c r="A1143" s="2">
        <f>IFERROR(__xludf.DUMMYFUNCTION("""COMPUTED_VALUE"""),44551.64583333333)</f>
        <v>44551.64583</v>
      </c>
      <c r="B1143" s="1">
        <f>IFERROR(__xludf.DUMMYFUNCTION("""COMPUTED_VALUE"""),21800.0)</f>
        <v>21800</v>
      </c>
      <c r="C1143" s="1">
        <f>IFERROR(__xludf.DUMMYFUNCTION("""COMPUTED_VALUE"""),22300.0)</f>
        <v>22300</v>
      </c>
      <c r="D1143" s="1">
        <f>IFERROR(__xludf.DUMMYFUNCTION("""COMPUTED_VALUE"""),21300.0)</f>
        <v>21300</v>
      </c>
      <c r="E1143" s="1">
        <f>IFERROR(__xludf.DUMMYFUNCTION("""COMPUTED_VALUE"""),22300.0)</f>
        <v>22300</v>
      </c>
      <c r="F1143" s="1">
        <f>IFERROR(__xludf.DUMMYFUNCTION("""COMPUTED_VALUE"""),227536.0)</f>
        <v>227536</v>
      </c>
    </row>
    <row r="1144">
      <c r="A1144" s="2">
        <f>IFERROR(__xludf.DUMMYFUNCTION("""COMPUTED_VALUE"""),44552.64583333333)</f>
        <v>44552.64583</v>
      </c>
      <c r="B1144" s="1">
        <f>IFERROR(__xludf.DUMMYFUNCTION("""COMPUTED_VALUE"""),22350.0)</f>
        <v>22350</v>
      </c>
      <c r="C1144" s="1">
        <f>IFERROR(__xludf.DUMMYFUNCTION("""COMPUTED_VALUE"""),22400.0)</f>
        <v>22400</v>
      </c>
      <c r="D1144" s="1">
        <f>IFERROR(__xludf.DUMMYFUNCTION("""COMPUTED_VALUE"""),21800.0)</f>
        <v>21800</v>
      </c>
      <c r="E1144" s="1">
        <f>IFERROR(__xludf.DUMMYFUNCTION("""COMPUTED_VALUE"""),21800.0)</f>
        <v>21800</v>
      </c>
      <c r="F1144" s="1">
        <f>IFERROR(__xludf.DUMMYFUNCTION("""COMPUTED_VALUE"""),83642.0)</f>
        <v>83642</v>
      </c>
    </row>
    <row r="1145">
      <c r="A1145" s="2">
        <f>IFERROR(__xludf.DUMMYFUNCTION("""COMPUTED_VALUE"""),44553.64583333333)</f>
        <v>44553.64583</v>
      </c>
      <c r="B1145" s="1">
        <f>IFERROR(__xludf.DUMMYFUNCTION("""COMPUTED_VALUE"""),22000.0)</f>
        <v>22000</v>
      </c>
      <c r="C1145" s="1">
        <f>IFERROR(__xludf.DUMMYFUNCTION("""COMPUTED_VALUE"""),22050.0)</f>
        <v>22050</v>
      </c>
      <c r="D1145" s="1">
        <f>IFERROR(__xludf.DUMMYFUNCTION("""COMPUTED_VALUE"""),21350.0)</f>
        <v>21350</v>
      </c>
      <c r="E1145" s="1">
        <f>IFERROR(__xludf.DUMMYFUNCTION("""COMPUTED_VALUE"""),21650.0)</f>
        <v>21650</v>
      </c>
      <c r="F1145" s="1">
        <f>IFERROR(__xludf.DUMMYFUNCTION("""COMPUTED_VALUE"""),72064.0)</f>
        <v>72064</v>
      </c>
    </row>
    <row r="1146">
      <c r="A1146" s="2">
        <f>IFERROR(__xludf.DUMMYFUNCTION("""COMPUTED_VALUE"""),44554.64583333333)</f>
        <v>44554.64583</v>
      </c>
      <c r="B1146" s="1">
        <f>IFERROR(__xludf.DUMMYFUNCTION("""COMPUTED_VALUE"""),21600.0)</f>
        <v>21600</v>
      </c>
      <c r="C1146" s="1">
        <f>IFERROR(__xludf.DUMMYFUNCTION("""COMPUTED_VALUE"""),22000.0)</f>
        <v>22000</v>
      </c>
      <c r="D1146" s="1">
        <f>IFERROR(__xludf.DUMMYFUNCTION("""COMPUTED_VALUE"""),21100.0)</f>
        <v>21100</v>
      </c>
      <c r="E1146" s="1">
        <f>IFERROR(__xludf.DUMMYFUNCTION("""COMPUTED_VALUE"""),21900.0)</f>
        <v>21900</v>
      </c>
      <c r="F1146" s="1">
        <f>IFERROR(__xludf.DUMMYFUNCTION("""COMPUTED_VALUE"""),209516.0)</f>
        <v>209516</v>
      </c>
    </row>
    <row r="1147">
      <c r="A1147" s="2">
        <f>IFERROR(__xludf.DUMMYFUNCTION("""COMPUTED_VALUE"""),44557.64583333333)</f>
        <v>44557.64583</v>
      </c>
      <c r="B1147" s="1">
        <f>IFERROR(__xludf.DUMMYFUNCTION("""COMPUTED_VALUE"""),21800.0)</f>
        <v>21800</v>
      </c>
      <c r="C1147" s="1">
        <f>IFERROR(__xludf.DUMMYFUNCTION("""COMPUTED_VALUE"""),21800.0)</f>
        <v>21800</v>
      </c>
      <c r="D1147" s="1">
        <f>IFERROR(__xludf.DUMMYFUNCTION("""COMPUTED_VALUE"""),20700.0)</f>
        <v>20700</v>
      </c>
      <c r="E1147" s="1">
        <f>IFERROR(__xludf.DUMMYFUNCTION("""COMPUTED_VALUE"""),21350.0)</f>
        <v>21350</v>
      </c>
      <c r="F1147" s="1">
        <f>IFERROR(__xludf.DUMMYFUNCTION("""COMPUTED_VALUE"""),255220.0)</f>
        <v>255220</v>
      </c>
    </row>
    <row r="1148">
      <c r="A1148" s="2">
        <f>IFERROR(__xludf.DUMMYFUNCTION("""COMPUTED_VALUE"""),44558.64583333333)</f>
        <v>44558.64583</v>
      </c>
      <c r="B1148" s="1">
        <f>IFERROR(__xludf.DUMMYFUNCTION("""COMPUTED_VALUE"""),21350.0)</f>
        <v>21350</v>
      </c>
      <c r="C1148" s="1">
        <f>IFERROR(__xludf.DUMMYFUNCTION("""COMPUTED_VALUE"""),21750.0)</f>
        <v>21750</v>
      </c>
      <c r="D1148" s="1">
        <f>IFERROR(__xludf.DUMMYFUNCTION("""COMPUTED_VALUE"""),21050.0)</f>
        <v>21050</v>
      </c>
      <c r="E1148" s="1">
        <f>IFERROR(__xludf.DUMMYFUNCTION("""COMPUTED_VALUE"""),21750.0)</f>
        <v>21750</v>
      </c>
      <c r="F1148" s="1">
        <f>IFERROR(__xludf.DUMMYFUNCTION("""COMPUTED_VALUE"""),183571.0)</f>
        <v>183571</v>
      </c>
    </row>
    <row r="1149">
      <c r="A1149" s="2">
        <f>IFERROR(__xludf.DUMMYFUNCTION("""COMPUTED_VALUE"""),44559.64583333333)</f>
        <v>44559.64583</v>
      </c>
      <c r="B1149" s="1">
        <f>IFERROR(__xludf.DUMMYFUNCTION("""COMPUTED_VALUE"""),21500.0)</f>
        <v>21500</v>
      </c>
      <c r="C1149" s="1">
        <f>IFERROR(__xludf.DUMMYFUNCTION("""COMPUTED_VALUE"""),22200.0)</f>
        <v>22200</v>
      </c>
      <c r="D1149" s="1">
        <f>IFERROR(__xludf.DUMMYFUNCTION("""COMPUTED_VALUE"""),21500.0)</f>
        <v>21500</v>
      </c>
      <c r="E1149" s="1">
        <f>IFERROR(__xludf.DUMMYFUNCTION("""COMPUTED_VALUE"""),22050.0)</f>
        <v>22050</v>
      </c>
      <c r="F1149" s="1">
        <f>IFERROR(__xludf.DUMMYFUNCTION("""COMPUTED_VALUE"""),206317.0)</f>
        <v>206317</v>
      </c>
    </row>
    <row r="1150">
      <c r="A1150" s="2">
        <f>IFERROR(__xludf.DUMMYFUNCTION("""COMPUTED_VALUE"""),44560.64583333333)</f>
        <v>44560.64583</v>
      </c>
      <c r="B1150" s="1">
        <f>IFERROR(__xludf.DUMMYFUNCTION("""COMPUTED_VALUE"""),21900.0)</f>
        <v>21900</v>
      </c>
      <c r="C1150" s="1">
        <f>IFERROR(__xludf.DUMMYFUNCTION("""COMPUTED_VALUE"""),23000.0)</f>
        <v>23000</v>
      </c>
      <c r="D1150" s="1">
        <f>IFERROR(__xludf.DUMMYFUNCTION("""COMPUTED_VALUE"""),21900.0)</f>
        <v>21900</v>
      </c>
      <c r="E1150" s="1">
        <f>IFERROR(__xludf.DUMMYFUNCTION("""COMPUTED_VALUE"""),22600.0)</f>
        <v>22600</v>
      </c>
      <c r="F1150" s="1">
        <f>IFERROR(__xludf.DUMMYFUNCTION("""COMPUTED_VALUE"""),470265.0)</f>
        <v>470265</v>
      </c>
    </row>
    <row r="1151">
      <c r="A1151" s="2">
        <f>IFERROR(__xludf.DUMMYFUNCTION("""COMPUTED_VALUE"""),44564.64583333333)</f>
        <v>44564.64583</v>
      </c>
      <c r="B1151" s="1">
        <f>IFERROR(__xludf.DUMMYFUNCTION("""COMPUTED_VALUE"""),22650.0)</f>
        <v>22650</v>
      </c>
      <c r="C1151" s="1">
        <f>IFERROR(__xludf.DUMMYFUNCTION("""COMPUTED_VALUE"""),23050.0)</f>
        <v>23050</v>
      </c>
      <c r="D1151" s="1">
        <f>IFERROR(__xludf.DUMMYFUNCTION("""COMPUTED_VALUE"""),22200.0)</f>
        <v>22200</v>
      </c>
      <c r="E1151" s="1">
        <f>IFERROR(__xludf.DUMMYFUNCTION("""COMPUTED_VALUE"""),22800.0)</f>
        <v>22800</v>
      </c>
      <c r="F1151" s="1">
        <f>IFERROR(__xludf.DUMMYFUNCTION("""COMPUTED_VALUE"""),145307.0)</f>
        <v>145307</v>
      </c>
    </row>
    <row r="1152">
      <c r="A1152" s="2">
        <f>IFERROR(__xludf.DUMMYFUNCTION("""COMPUTED_VALUE"""),44565.64583333333)</f>
        <v>44565.64583</v>
      </c>
      <c r="B1152" s="1">
        <f>IFERROR(__xludf.DUMMYFUNCTION("""COMPUTED_VALUE"""),23000.0)</f>
        <v>23000</v>
      </c>
      <c r="C1152" s="1">
        <f>IFERROR(__xludf.DUMMYFUNCTION("""COMPUTED_VALUE"""),23050.0)</f>
        <v>23050</v>
      </c>
      <c r="D1152" s="1">
        <f>IFERROR(__xludf.DUMMYFUNCTION("""COMPUTED_VALUE"""),21950.0)</f>
        <v>21950</v>
      </c>
      <c r="E1152" s="1">
        <f>IFERROR(__xludf.DUMMYFUNCTION("""COMPUTED_VALUE"""),22600.0)</f>
        <v>22600</v>
      </c>
      <c r="F1152" s="1">
        <f>IFERROR(__xludf.DUMMYFUNCTION("""COMPUTED_VALUE"""),146113.0)</f>
        <v>146113</v>
      </c>
    </row>
    <row r="1153">
      <c r="A1153" s="2">
        <f>IFERROR(__xludf.DUMMYFUNCTION("""COMPUTED_VALUE"""),44566.64583333333)</f>
        <v>44566.64583</v>
      </c>
      <c r="B1153" s="1">
        <f>IFERROR(__xludf.DUMMYFUNCTION("""COMPUTED_VALUE"""),22600.0)</f>
        <v>22600</v>
      </c>
      <c r="C1153" s="1">
        <f>IFERROR(__xludf.DUMMYFUNCTION("""COMPUTED_VALUE"""),22600.0)</f>
        <v>22600</v>
      </c>
      <c r="D1153" s="1">
        <f>IFERROR(__xludf.DUMMYFUNCTION("""COMPUTED_VALUE"""),21650.0)</f>
        <v>21650</v>
      </c>
      <c r="E1153" s="1">
        <f>IFERROR(__xludf.DUMMYFUNCTION("""COMPUTED_VALUE"""),22150.0)</f>
        <v>22150</v>
      </c>
      <c r="F1153" s="1">
        <f>IFERROR(__xludf.DUMMYFUNCTION("""COMPUTED_VALUE"""),120626.0)</f>
        <v>120626</v>
      </c>
    </row>
    <row r="1154">
      <c r="A1154" s="2">
        <f>IFERROR(__xludf.DUMMYFUNCTION("""COMPUTED_VALUE"""),44567.64583333333)</f>
        <v>44567.64583</v>
      </c>
      <c r="B1154" s="1">
        <f>IFERROR(__xludf.DUMMYFUNCTION("""COMPUTED_VALUE"""),21900.0)</f>
        <v>21900</v>
      </c>
      <c r="C1154" s="1">
        <f>IFERROR(__xludf.DUMMYFUNCTION("""COMPUTED_VALUE"""),22000.0)</f>
        <v>22000</v>
      </c>
      <c r="D1154" s="1">
        <f>IFERROR(__xludf.DUMMYFUNCTION("""COMPUTED_VALUE"""),21250.0)</f>
        <v>21250</v>
      </c>
      <c r="E1154" s="1">
        <f>IFERROR(__xludf.DUMMYFUNCTION("""COMPUTED_VALUE"""),21550.0)</f>
        <v>21550</v>
      </c>
      <c r="F1154" s="1">
        <f>IFERROR(__xludf.DUMMYFUNCTION("""COMPUTED_VALUE"""),60799.0)</f>
        <v>60799</v>
      </c>
    </row>
    <row r="1155">
      <c r="A1155" s="2">
        <f>IFERROR(__xludf.DUMMYFUNCTION("""COMPUTED_VALUE"""),44568.64583333333)</f>
        <v>44568.64583</v>
      </c>
      <c r="B1155" s="1">
        <f>IFERROR(__xludf.DUMMYFUNCTION("""COMPUTED_VALUE"""),21500.0)</f>
        <v>21500</v>
      </c>
      <c r="C1155" s="1">
        <f>IFERROR(__xludf.DUMMYFUNCTION("""COMPUTED_VALUE"""),21800.0)</f>
        <v>21800</v>
      </c>
      <c r="D1155" s="1">
        <f>IFERROR(__xludf.DUMMYFUNCTION("""COMPUTED_VALUE"""),21450.0)</f>
        <v>21450</v>
      </c>
      <c r="E1155" s="1">
        <f>IFERROR(__xludf.DUMMYFUNCTION("""COMPUTED_VALUE"""),21500.0)</f>
        <v>21500</v>
      </c>
      <c r="F1155" s="1">
        <f>IFERROR(__xludf.DUMMYFUNCTION("""COMPUTED_VALUE"""),82868.0)</f>
        <v>82868</v>
      </c>
    </row>
    <row r="1156">
      <c r="A1156" s="2">
        <f>IFERROR(__xludf.DUMMYFUNCTION("""COMPUTED_VALUE"""),44571.64583333333)</f>
        <v>44571.64583</v>
      </c>
      <c r="B1156" s="1">
        <f>IFERROR(__xludf.DUMMYFUNCTION("""COMPUTED_VALUE"""),21450.0)</f>
        <v>21450</v>
      </c>
      <c r="C1156" s="1">
        <f>IFERROR(__xludf.DUMMYFUNCTION("""COMPUTED_VALUE"""),21450.0)</f>
        <v>21450</v>
      </c>
      <c r="D1156" s="1">
        <f>IFERROR(__xludf.DUMMYFUNCTION("""COMPUTED_VALUE"""),20850.0)</f>
        <v>20850</v>
      </c>
      <c r="E1156" s="1">
        <f>IFERROR(__xludf.DUMMYFUNCTION("""COMPUTED_VALUE"""),21000.0)</f>
        <v>21000</v>
      </c>
      <c r="F1156" s="1">
        <f>IFERROR(__xludf.DUMMYFUNCTION("""COMPUTED_VALUE"""),32994.0)</f>
        <v>32994</v>
      </c>
    </row>
    <row r="1157">
      <c r="A1157" s="2">
        <f>IFERROR(__xludf.DUMMYFUNCTION("""COMPUTED_VALUE"""),44572.64583333333)</f>
        <v>44572.64583</v>
      </c>
      <c r="B1157" s="1">
        <f>IFERROR(__xludf.DUMMYFUNCTION("""COMPUTED_VALUE"""),21000.0)</f>
        <v>21000</v>
      </c>
      <c r="C1157" s="1">
        <f>IFERROR(__xludf.DUMMYFUNCTION("""COMPUTED_VALUE"""),21100.0)</f>
        <v>21100</v>
      </c>
      <c r="D1157" s="1">
        <f>IFERROR(__xludf.DUMMYFUNCTION("""COMPUTED_VALUE"""),20000.0)</f>
        <v>20000</v>
      </c>
      <c r="E1157" s="1">
        <f>IFERROR(__xludf.DUMMYFUNCTION("""COMPUTED_VALUE"""),20900.0)</f>
        <v>20900</v>
      </c>
      <c r="F1157" s="1">
        <f>IFERROR(__xludf.DUMMYFUNCTION("""COMPUTED_VALUE"""),95069.0)</f>
        <v>95069</v>
      </c>
    </row>
    <row r="1158">
      <c r="A1158" s="2">
        <f>IFERROR(__xludf.DUMMYFUNCTION("""COMPUTED_VALUE"""),44573.64583333333)</f>
        <v>44573.64583</v>
      </c>
      <c r="B1158" s="1">
        <f>IFERROR(__xludf.DUMMYFUNCTION("""COMPUTED_VALUE"""),20800.0)</f>
        <v>20800</v>
      </c>
      <c r="C1158" s="1">
        <f>IFERROR(__xludf.DUMMYFUNCTION("""COMPUTED_VALUE"""),21400.0)</f>
        <v>21400</v>
      </c>
      <c r="D1158" s="1">
        <f>IFERROR(__xludf.DUMMYFUNCTION("""COMPUTED_VALUE"""),20800.0)</f>
        <v>20800</v>
      </c>
      <c r="E1158" s="1">
        <f>IFERROR(__xludf.DUMMYFUNCTION("""COMPUTED_VALUE"""),21400.0)</f>
        <v>21400</v>
      </c>
      <c r="F1158" s="1">
        <f>IFERROR(__xludf.DUMMYFUNCTION("""COMPUTED_VALUE"""),92561.0)</f>
        <v>92561</v>
      </c>
    </row>
    <row r="1159">
      <c r="A1159" s="2">
        <f>IFERROR(__xludf.DUMMYFUNCTION("""COMPUTED_VALUE"""),44574.64583333333)</f>
        <v>44574.64583</v>
      </c>
      <c r="B1159" s="1">
        <f>IFERROR(__xludf.DUMMYFUNCTION("""COMPUTED_VALUE"""),21500.0)</f>
        <v>21500</v>
      </c>
      <c r="C1159" s="1">
        <f>IFERROR(__xludf.DUMMYFUNCTION("""COMPUTED_VALUE"""),21500.0)</f>
        <v>21500</v>
      </c>
      <c r="D1159" s="1">
        <f>IFERROR(__xludf.DUMMYFUNCTION("""COMPUTED_VALUE"""),20950.0)</f>
        <v>20950</v>
      </c>
      <c r="E1159" s="1">
        <f>IFERROR(__xludf.DUMMYFUNCTION("""COMPUTED_VALUE"""),21300.0)</f>
        <v>21300</v>
      </c>
      <c r="F1159" s="1">
        <f>IFERROR(__xludf.DUMMYFUNCTION("""COMPUTED_VALUE"""),37865.0)</f>
        <v>37865</v>
      </c>
    </row>
    <row r="1160">
      <c r="A1160" s="2">
        <f>IFERROR(__xludf.DUMMYFUNCTION("""COMPUTED_VALUE"""),44575.64583333333)</f>
        <v>44575.64583</v>
      </c>
      <c r="B1160" s="1">
        <f>IFERROR(__xludf.DUMMYFUNCTION("""COMPUTED_VALUE"""),21250.0)</f>
        <v>21250</v>
      </c>
      <c r="C1160" s="1">
        <f>IFERROR(__xludf.DUMMYFUNCTION("""COMPUTED_VALUE"""),21250.0)</f>
        <v>21250</v>
      </c>
      <c r="D1160" s="1">
        <f>IFERROR(__xludf.DUMMYFUNCTION("""COMPUTED_VALUE"""),20550.0)</f>
        <v>20550</v>
      </c>
      <c r="E1160" s="1">
        <f>IFERROR(__xludf.DUMMYFUNCTION("""COMPUTED_VALUE"""),21000.0)</f>
        <v>21000</v>
      </c>
      <c r="F1160" s="1">
        <f>IFERROR(__xludf.DUMMYFUNCTION("""COMPUTED_VALUE"""),80572.0)</f>
        <v>80572</v>
      </c>
    </row>
    <row r="1161">
      <c r="A1161" s="2">
        <f>IFERROR(__xludf.DUMMYFUNCTION("""COMPUTED_VALUE"""),44578.64583333333)</f>
        <v>44578.64583</v>
      </c>
      <c r="B1161" s="1">
        <f>IFERROR(__xludf.DUMMYFUNCTION("""COMPUTED_VALUE"""),20800.0)</f>
        <v>20800</v>
      </c>
      <c r="C1161" s="1">
        <f>IFERROR(__xludf.DUMMYFUNCTION("""COMPUTED_VALUE"""),20900.0)</f>
        <v>20900</v>
      </c>
      <c r="D1161" s="1">
        <f>IFERROR(__xludf.DUMMYFUNCTION("""COMPUTED_VALUE"""),20050.0)</f>
        <v>20050</v>
      </c>
      <c r="E1161" s="1">
        <f>IFERROR(__xludf.DUMMYFUNCTION("""COMPUTED_VALUE"""),20150.0)</f>
        <v>20150</v>
      </c>
      <c r="F1161" s="1">
        <f>IFERROR(__xludf.DUMMYFUNCTION("""COMPUTED_VALUE"""),72802.0)</f>
        <v>72802</v>
      </c>
    </row>
    <row r="1162">
      <c r="A1162" s="2">
        <f>IFERROR(__xludf.DUMMYFUNCTION("""COMPUTED_VALUE"""),44579.64583333333)</f>
        <v>44579.64583</v>
      </c>
      <c r="B1162" s="1">
        <f>IFERROR(__xludf.DUMMYFUNCTION("""COMPUTED_VALUE"""),19900.0)</f>
        <v>19900</v>
      </c>
      <c r="C1162" s="1">
        <f>IFERROR(__xludf.DUMMYFUNCTION("""COMPUTED_VALUE"""),20450.0)</f>
        <v>20450</v>
      </c>
      <c r="D1162" s="1">
        <f>IFERROR(__xludf.DUMMYFUNCTION("""COMPUTED_VALUE"""),19700.0)</f>
        <v>19700</v>
      </c>
      <c r="E1162" s="1">
        <f>IFERROR(__xludf.DUMMYFUNCTION("""COMPUTED_VALUE"""),19900.0)</f>
        <v>19900</v>
      </c>
      <c r="F1162" s="1">
        <f>IFERROR(__xludf.DUMMYFUNCTION("""COMPUTED_VALUE"""),47123.0)</f>
        <v>47123</v>
      </c>
    </row>
    <row r="1163">
      <c r="A1163" s="2">
        <f>IFERROR(__xludf.DUMMYFUNCTION("""COMPUTED_VALUE"""),44580.64583333333)</f>
        <v>44580.64583</v>
      </c>
      <c r="B1163" s="1">
        <f>IFERROR(__xludf.DUMMYFUNCTION("""COMPUTED_VALUE"""),19500.0)</f>
        <v>19500</v>
      </c>
      <c r="C1163" s="1">
        <f>IFERROR(__xludf.DUMMYFUNCTION("""COMPUTED_VALUE"""),20300.0)</f>
        <v>20300</v>
      </c>
      <c r="D1163" s="1">
        <f>IFERROR(__xludf.DUMMYFUNCTION("""COMPUTED_VALUE"""),19500.0)</f>
        <v>19500</v>
      </c>
      <c r="E1163" s="1">
        <f>IFERROR(__xludf.DUMMYFUNCTION("""COMPUTED_VALUE"""),20200.0)</f>
        <v>20200</v>
      </c>
      <c r="F1163" s="1">
        <f>IFERROR(__xludf.DUMMYFUNCTION("""COMPUTED_VALUE"""),74182.0)</f>
        <v>74182</v>
      </c>
    </row>
    <row r="1164">
      <c r="A1164" s="2">
        <f>IFERROR(__xludf.DUMMYFUNCTION("""COMPUTED_VALUE"""),44581.64583333333)</f>
        <v>44581.64583</v>
      </c>
      <c r="B1164" s="1">
        <f>IFERROR(__xludf.DUMMYFUNCTION("""COMPUTED_VALUE"""),20000.0)</f>
        <v>20000</v>
      </c>
      <c r="C1164" s="1">
        <f>IFERROR(__xludf.DUMMYFUNCTION("""COMPUTED_VALUE"""),20450.0)</f>
        <v>20450</v>
      </c>
      <c r="D1164" s="1">
        <f>IFERROR(__xludf.DUMMYFUNCTION("""COMPUTED_VALUE"""),19900.0)</f>
        <v>19900</v>
      </c>
      <c r="E1164" s="1">
        <f>IFERROR(__xludf.DUMMYFUNCTION("""COMPUTED_VALUE"""),20100.0)</f>
        <v>20100</v>
      </c>
      <c r="F1164" s="1">
        <f>IFERROR(__xludf.DUMMYFUNCTION("""COMPUTED_VALUE"""),19074.0)</f>
        <v>19074</v>
      </c>
    </row>
    <row r="1165">
      <c r="A1165" s="2">
        <f>IFERROR(__xludf.DUMMYFUNCTION("""COMPUTED_VALUE"""),44582.64583333333)</f>
        <v>44582.64583</v>
      </c>
      <c r="B1165" s="1">
        <f>IFERROR(__xludf.DUMMYFUNCTION("""COMPUTED_VALUE"""),19850.0)</f>
        <v>19850</v>
      </c>
      <c r="C1165" s="1">
        <f>IFERROR(__xludf.DUMMYFUNCTION("""COMPUTED_VALUE"""),19850.0)</f>
        <v>19850</v>
      </c>
      <c r="D1165" s="1">
        <f>IFERROR(__xludf.DUMMYFUNCTION("""COMPUTED_VALUE"""),19500.0)</f>
        <v>19500</v>
      </c>
      <c r="E1165" s="1">
        <f>IFERROR(__xludf.DUMMYFUNCTION("""COMPUTED_VALUE"""),19800.0)</f>
        <v>19800</v>
      </c>
      <c r="F1165" s="1">
        <f>IFERROR(__xludf.DUMMYFUNCTION("""COMPUTED_VALUE"""),43691.0)</f>
        <v>43691</v>
      </c>
    </row>
    <row r="1166">
      <c r="A1166" s="2">
        <f>IFERROR(__xludf.DUMMYFUNCTION("""COMPUTED_VALUE"""),44585.64583333333)</f>
        <v>44585.64583</v>
      </c>
      <c r="B1166" s="1">
        <f>IFERROR(__xludf.DUMMYFUNCTION("""COMPUTED_VALUE"""),19800.0)</f>
        <v>19800</v>
      </c>
      <c r="C1166" s="1">
        <f>IFERROR(__xludf.DUMMYFUNCTION("""COMPUTED_VALUE"""),19800.0)</f>
        <v>19800</v>
      </c>
      <c r="D1166" s="1">
        <f>IFERROR(__xludf.DUMMYFUNCTION("""COMPUTED_VALUE"""),19150.0)</f>
        <v>19150</v>
      </c>
      <c r="E1166" s="1">
        <f>IFERROR(__xludf.DUMMYFUNCTION("""COMPUTED_VALUE"""),19750.0)</f>
        <v>19750</v>
      </c>
      <c r="F1166" s="1">
        <f>IFERROR(__xludf.DUMMYFUNCTION("""COMPUTED_VALUE"""),34569.0)</f>
        <v>34569</v>
      </c>
    </row>
    <row r="1167">
      <c r="A1167" s="2">
        <f>IFERROR(__xludf.DUMMYFUNCTION("""COMPUTED_VALUE"""),44586.64583333333)</f>
        <v>44586.64583</v>
      </c>
      <c r="B1167" s="1">
        <f>IFERROR(__xludf.DUMMYFUNCTION("""COMPUTED_VALUE"""),19850.0)</f>
        <v>19850</v>
      </c>
      <c r="C1167" s="1">
        <f>IFERROR(__xludf.DUMMYFUNCTION("""COMPUTED_VALUE"""),20000.0)</f>
        <v>20000</v>
      </c>
      <c r="D1167" s="1">
        <f>IFERROR(__xludf.DUMMYFUNCTION("""COMPUTED_VALUE"""),19450.0)</f>
        <v>19450</v>
      </c>
      <c r="E1167" s="1">
        <f>IFERROR(__xludf.DUMMYFUNCTION("""COMPUTED_VALUE"""),19800.0)</f>
        <v>19800</v>
      </c>
      <c r="F1167" s="1">
        <f>IFERROR(__xludf.DUMMYFUNCTION("""COMPUTED_VALUE"""),47617.0)</f>
        <v>47617</v>
      </c>
    </row>
    <row r="1168">
      <c r="A1168" s="2">
        <f>IFERROR(__xludf.DUMMYFUNCTION("""COMPUTED_VALUE"""),44587.64583333333)</f>
        <v>44587.64583</v>
      </c>
      <c r="B1168" s="1">
        <f>IFERROR(__xludf.DUMMYFUNCTION("""COMPUTED_VALUE"""),19500.0)</f>
        <v>19500</v>
      </c>
      <c r="C1168" s="1">
        <f>IFERROR(__xludf.DUMMYFUNCTION("""COMPUTED_VALUE"""),19800.0)</f>
        <v>19800</v>
      </c>
      <c r="D1168" s="1">
        <f>IFERROR(__xludf.DUMMYFUNCTION("""COMPUTED_VALUE"""),19150.0)</f>
        <v>19150</v>
      </c>
      <c r="E1168" s="1">
        <f>IFERROR(__xludf.DUMMYFUNCTION("""COMPUTED_VALUE"""),19500.0)</f>
        <v>19500</v>
      </c>
      <c r="F1168" s="1">
        <f>IFERROR(__xludf.DUMMYFUNCTION("""COMPUTED_VALUE"""),119671.0)</f>
        <v>119671</v>
      </c>
    </row>
    <row r="1169">
      <c r="A1169" s="2">
        <f>IFERROR(__xludf.DUMMYFUNCTION("""COMPUTED_VALUE"""),44588.64583333333)</f>
        <v>44588.64583</v>
      </c>
      <c r="B1169" s="1">
        <f>IFERROR(__xludf.DUMMYFUNCTION("""COMPUTED_VALUE"""),19500.0)</f>
        <v>19500</v>
      </c>
      <c r="C1169" s="1">
        <f>IFERROR(__xludf.DUMMYFUNCTION("""COMPUTED_VALUE"""),20000.0)</f>
        <v>20000</v>
      </c>
      <c r="D1169" s="1">
        <f>IFERROR(__xludf.DUMMYFUNCTION("""COMPUTED_VALUE"""),18600.0)</f>
        <v>18600</v>
      </c>
      <c r="E1169" s="1">
        <f>IFERROR(__xludf.DUMMYFUNCTION("""COMPUTED_VALUE"""),19300.0)</f>
        <v>19300</v>
      </c>
      <c r="F1169" s="1">
        <f>IFERROR(__xludf.DUMMYFUNCTION("""COMPUTED_VALUE"""),71793.0)</f>
        <v>71793</v>
      </c>
    </row>
    <row r="1170">
      <c r="A1170" s="2">
        <f>IFERROR(__xludf.DUMMYFUNCTION("""COMPUTED_VALUE"""),44589.64583333333)</f>
        <v>44589.64583</v>
      </c>
      <c r="B1170" s="1">
        <f>IFERROR(__xludf.DUMMYFUNCTION("""COMPUTED_VALUE"""),19050.0)</f>
        <v>19050</v>
      </c>
      <c r="C1170" s="1">
        <f>IFERROR(__xludf.DUMMYFUNCTION("""COMPUTED_VALUE"""),19800.0)</f>
        <v>19800</v>
      </c>
      <c r="D1170" s="1">
        <f>IFERROR(__xludf.DUMMYFUNCTION("""COMPUTED_VALUE"""),18750.0)</f>
        <v>18750</v>
      </c>
      <c r="E1170" s="1">
        <f>IFERROR(__xludf.DUMMYFUNCTION("""COMPUTED_VALUE"""),19600.0)</f>
        <v>19600</v>
      </c>
      <c r="F1170" s="1">
        <f>IFERROR(__xludf.DUMMYFUNCTION("""COMPUTED_VALUE"""),39699.0)</f>
        <v>39699</v>
      </c>
    </row>
    <row r="1171">
      <c r="A1171" s="2">
        <f>IFERROR(__xludf.DUMMYFUNCTION("""COMPUTED_VALUE"""),44595.64583333333)</f>
        <v>44595.64583</v>
      </c>
      <c r="B1171" s="1">
        <f>IFERROR(__xludf.DUMMYFUNCTION("""COMPUTED_VALUE"""),19750.0)</f>
        <v>19750</v>
      </c>
      <c r="C1171" s="1">
        <f>IFERROR(__xludf.DUMMYFUNCTION("""COMPUTED_VALUE"""),19850.0)</f>
        <v>19850</v>
      </c>
      <c r="D1171" s="1">
        <f>IFERROR(__xludf.DUMMYFUNCTION("""COMPUTED_VALUE"""),19550.0)</f>
        <v>19550</v>
      </c>
      <c r="E1171" s="1">
        <f>IFERROR(__xludf.DUMMYFUNCTION("""COMPUTED_VALUE"""),19800.0)</f>
        <v>19800</v>
      </c>
      <c r="F1171" s="1">
        <f>IFERROR(__xludf.DUMMYFUNCTION("""COMPUTED_VALUE"""),17322.0)</f>
        <v>17322</v>
      </c>
    </row>
    <row r="1172">
      <c r="A1172" s="2">
        <f>IFERROR(__xludf.DUMMYFUNCTION("""COMPUTED_VALUE"""),44596.64583333333)</f>
        <v>44596.64583</v>
      </c>
      <c r="B1172" s="1">
        <f>IFERROR(__xludf.DUMMYFUNCTION("""COMPUTED_VALUE"""),19600.0)</f>
        <v>19600</v>
      </c>
      <c r="C1172" s="1">
        <f>IFERROR(__xludf.DUMMYFUNCTION("""COMPUTED_VALUE"""),19850.0)</f>
        <v>19850</v>
      </c>
      <c r="D1172" s="1">
        <f>IFERROR(__xludf.DUMMYFUNCTION("""COMPUTED_VALUE"""),19450.0)</f>
        <v>19450</v>
      </c>
      <c r="E1172" s="1">
        <f>IFERROR(__xludf.DUMMYFUNCTION("""COMPUTED_VALUE"""),19800.0)</f>
        <v>19800</v>
      </c>
      <c r="F1172" s="1">
        <f>IFERROR(__xludf.DUMMYFUNCTION("""COMPUTED_VALUE"""),10048.0)</f>
        <v>10048</v>
      </c>
    </row>
    <row r="1173">
      <c r="A1173" s="2">
        <f>IFERROR(__xludf.DUMMYFUNCTION("""COMPUTED_VALUE"""),44599.64583333333)</f>
        <v>44599.64583</v>
      </c>
      <c r="B1173" s="1">
        <f>IFERROR(__xludf.DUMMYFUNCTION("""COMPUTED_VALUE"""),19950.0)</f>
        <v>19950</v>
      </c>
      <c r="C1173" s="1">
        <f>IFERROR(__xludf.DUMMYFUNCTION("""COMPUTED_VALUE"""),19950.0)</f>
        <v>19950</v>
      </c>
      <c r="D1173" s="1">
        <f>IFERROR(__xludf.DUMMYFUNCTION("""COMPUTED_VALUE"""),19300.0)</f>
        <v>19300</v>
      </c>
      <c r="E1173" s="1">
        <f>IFERROR(__xludf.DUMMYFUNCTION("""COMPUTED_VALUE"""),19650.0)</f>
        <v>19650</v>
      </c>
      <c r="F1173" s="1">
        <f>IFERROR(__xludf.DUMMYFUNCTION("""COMPUTED_VALUE"""),21794.0)</f>
        <v>21794</v>
      </c>
    </row>
    <row r="1174">
      <c r="A1174" s="2">
        <f>IFERROR(__xludf.DUMMYFUNCTION("""COMPUTED_VALUE"""),44600.64583333333)</f>
        <v>44600.64583</v>
      </c>
      <c r="B1174" s="1">
        <f>IFERROR(__xludf.DUMMYFUNCTION("""COMPUTED_VALUE"""),19500.0)</f>
        <v>19500</v>
      </c>
      <c r="C1174" s="1">
        <f>IFERROR(__xludf.DUMMYFUNCTION("""COMPUTED_VALUE"""),19950.0)</f>
        <v>19950</v>
      </c>
      <c r="D1174" s="1">
        <f>IFERROR(__xludf.DUMMYFUNCTION("""COMPUTED_VALUE"""),19300.0)</f>
        <v>19300</v>
      </c>
      <c r="E1174" s="1">
        <f>IFERROR(__xludf.DUMMYFUNCTION("""COMPUTED_VALUE"""),19500.0)</f>
        <v>19500</v>
      </c>
      <c r="F1174" s="1">
        <f>IFERROR(__xludf.DUMMYFUNCTION("""COMPUTED_VALUE"""),19855.0)</f>
        <v>19855</v>
      </c>
    </row>
    <row r="1175">
      <c r="A1175" s="2">
        <f>IFERROR(__xludf.DUMMYFUNCTION("""COMPUTED_VALUE"""),44601.64583333333)</f>
        <v>44601.64583</v>
      </c>
      <c r="B1175" s="1">
        <f>IFERROR(__xludf.DUMMYFUNCTION("""COMPUTED_VALUE"""),19550.0)</f>
        <v>19550</v>
      </c>
      <c r="C1175" s="1">
        <f>IFERROR(__xludf.DUMMYFUNCTION("""COMPUTED_VALUE"""),20000.0)</f>
        <v>20000</v>
      </c>
      <c r="D1175" s="1">
        <f>IFERROR(__xludf.DUMMYFUNCTION("""COMPUTED_VALUE"""),19250.0)</f>
        <v>19250</v>
      </c>
      <c r="E1175" s="1">
        <f>IFERROR(__xludf.DUMMYFUNCTION("""COMPUTED_VALUE"""),20000.0)</f>
        <v>20000</v>
      </c>
      <c r="F1175" s="1">
        <f>IFERROR(__xludf.DUMMYFUNCTION("""COMPUTED_VALUE"""),24166.0)</f>
        <v>24166</v>
      </c>
    </row>
    <row r="1176">
      <c r="A1176" s="2">
        <f>IFERROR(__xludf.DUMMYFUNCTION("""COMPUTED_VALUE"""),44602.64583333333)</f>
        <v>44602.64583</v>
      </c>
      <c r="B1176" s="1">
        <f>IFERROR(__xludf.DUMMYFUNCTION("""COMPUTED_VALUE"""),20000.0)</f>
        <v>20000</v>
      </c>
      <c r="C1176" s="1">
        <f>IFERROR(__xludf.DUMMYFUNCTION("""COMPUTED_VALUE"""),20100.0)</f>
        <v>20100</v>
      </c>
      <c r="D1176" s="1">
        <f>IFERROR(__xludf.DUMMYFUNCTION("""COMPUTED_VALUE"""),19650.0)</f>
        <v>19650</v>
      </c>
      <c r="E1176" s="1">
        <f>IFERROR(__xludf.DUMMYFUNCTION("""COMPUTED_VALUE"""),19950.0)</f>
        <v>19950</v>
      </c>
      <c r="F1176" s="1">
        <f>IFERROR(__xludf.DUMMYFUNCTION("""COMPUTED_VALUE"""),16942.0)</f>
        <v>16942</v>
      </c>
    </row>
    <row r="1177">
      <c r="A1177" s="2">
        <f>IFERROR(__xludf.DUMMYFUNCTION("""COMPUTED_VALUE"""),44603.64583333333)</f>
        <v>44603.64583</v>
      </c>
      <c r="B1177" s="1">
        <f>IFERROR(__xludf.DUMMYFUNCTION("""COMPUTED_VALUE"""),19750.0)</f>
        <v>19750</v>
      </c>
      <c r="C1177" s="1">
        <f>IFERROR(__xludf.DUMMYFUNCTION("""COMPUTED_VALUE"""),19900.0)</f>
        <v>19900</v>
      </c>
      <c r="D1177" s="1">
        <f>IFERROR(__xludf.DUMMYFUNCTION("""COMPUTED_VALUE"""),19550.0)</f>
        <v>19550</v>
      </c>
      <c r="E1177" s="1">
        <f>IFERROR(__xludf.DUMMYFUNCTION("""COMPUTED_VALUE"""),19900.0)</f>
        <v>19900</v>
      </c>
      <c r="F1177" s="1">
        <f>IFERROR(__xludf.DUMMYFUNCTION("""COMPUTED_VALUE"""),10889.0)</f>
        <v>10889</v>
      </c>
    </row>
    <row r="1178">
      <c r="A1178" s="2">
        <f>IFERROR(__xludf.DUMMYFUNCTION("""COMPUTED_VALUE"""),44606.64583333333)</f>
        <v>44606.64583</v>
      </c>
      <c r="B1178" s="1">
        <f>IFERROR(__xludf.DUMMYFUNCTION("""COMPUTED_VALUE"""),19500.0)</f>
        <v>19500</v>
      </c>
      <c r="C1178" s="1">
        <f>IFERROR(__xludf.DUMMYFUNCTION("""COMPUTED_VALUE"""),20650.0)</f>
        <v>20650</v>
      </c>
      <c r="D1178" s="1">
        <f>IFERROR(__xludf.DUMMYFUNCTION("""COMPUTED_VALUE"""),19250.0)</f>
        <v>19250</v>
      </c>
      <c r="E1178" s="1">
        <f>IFERROR(__xludf.DUMMYFUNCTION("""COMPUTED_VALUE"""),19500.0)</f>
        <v>19500</v>
      </c>
      <c r="F1178" s="1">
        <f>IFERROR(__xludf.DUMMYFUNCTION("""COMPUTED_VALUE"""),47977.0)</f>
        <v>47977</v>
      </c>
    </row>
    <row r="1179">
      <c r="A1179" s="2">
        <f>IFERROR(__xludf.DUMMYFUNCTION("""COMPUTED_VALUE"""),44607.64583333333)</f>
        <v>44607.64583</v>
      </c>
      <c r="B1179" s="1">
        <f>IFERROR(__xludf.DUMMYFUNCTION("""COMPUTED_VALUE"""),19400.0)</f>
        <v>19400</v>
      </c>
      <c r="C1179" s="1">
        <f>IFERROR(__xludf.DUMMYFUNCTION("""COMPUTED_VALUE"""),19600.0)</f>
        <v>19600</v>
      </c>
      <c r="D1179" s="1">
        <f>IFERROR(__xludf.DUMMYFUNCTION("""COMPUTED_VALUE"""),19150.0)</f>
        <v>19150</v>
      </c>
      <c r="E1179" s="1">
        <f>IFERROR(__xludf.DUMMYFUNCTION("""COMPUTED_VALUE"""),19600.0)</f>
        <v>19600</v>
      </c>
      <c r="F1179" s="1">
        <f>IFERROR(__xludf.DUMMYFUNCTION("""COMPUTED_VALUE"""),28917.0)</f>
        <v>28917</v>
      </c>
    </row>
    <row r="1180">
      <c r="A1180" s="2">
        <f>IFERROR(__xludf.DUMMYFUNCTION("""COMPUTED_VALUE"""),44608.64583333333)</f>
        <v>44608.64583</v>
      </c>
      <c r="B1180" s="1">
        <f>IFERROR(__xludf.DUMMYFUNCTION("""COMPUTED_VALUE"""),19600.0)</f>
        <v>19600</v>
      </c>
      <c r="C1180" s="1">
        <f>IFERROR(__xludf.DUMMYFUNCTION("""COMPUTED_VALUE"""),19850.0)</f>
        <v>19850</v>
      </c>
      <c r="D1180" s="1">
        <f>IFERROR(__xludf.DUMMYFUNCTION("""COMPUTED_VALUE"""),19450.0)</f>
        <v>19450</v>
      </c>
      <c r="E1180" s="1">
        <f>IFERROR(__xludf.DUMMYFUNCTION("""COMPUTED_VALUE"""),19600.0)</f>
        <v>19600</v>
      </c>
      <c r="F1180" s="1">
        <f>IFERROR(__xludf.DUMMYFUNCTION("""COMPUTED_VALUE"""),14507.0)</f>
        <v>14507</v>
      </c>
    </row>
    <row r="1181">
      <c r="A1181" s="2">
        <f>IFERROR(__xludf.DUMMYFUNCTION("""COMPUTED_VALUE"""),44609.64583333333)</f>
        <v>44609.64583</v>
      </c>
      <c r="B1181" s="1">
        <f>IFERROR(__xludf.DUMMYFUNCTION("""COMPUTED_VALUE"""),19750.0)</f>
        <v>19750</v>
      </c>
      <c r="C1181" s="1">
        <f>IFERROR(__xludf.DUMMYFUNCTION("""COMPUTED_VALUE"""),19750.0)</f>
        <v>19750</v>
      </c>
      <c r="D1181" s="1">
        <f>IFERROR(__xludf.DUMMYFUNCTION("""COMPUTED_VALUE"""),19050.0)</f>
        <v>19050</v>
      </c>
      <c r="E1181" s="1">
        <f>IFERROR(__xludf.DUMMYFUNCTION("""COMPUTED_VALUE"""),19500.0)</f>
        <v>19500</v>
      </c>
      <c r="F1181" s="1">
        <f>IFERROR(__xludf.DUMMYFUNCTION("""COMPUTED_VALUE"""),55283.0)</f>
        <v>55283</v>
      </c>
    </row>
    <row r="1182">
      <c r="A1182" s="2">
        <f>IFERROR(__xludf.DUMMYFUNCTION("""COMPUTED_VALUE"""),44610.64583333333)</f>
        <v>44610.64583</v>
      </c>
      <c r="B1182" s="1">
        <f>IFERROR(__xludf.DUMMYFUNCTION("""COMPUTED_VALUE"""),19200.0)</f>
        <v>19200</v>
      </c>
      <c r="C1182" s="1">
        <f>IFERROR(__xludf.DUMMYFUNCTION("""COMPUTED_VALUE"""),19500.0)</f>
        <v>19500</v>
      </c>
      <c r="D1182" s="1">
        <f>IFERROR(__xludf.DUMMYFUNCTION("""COMPUTED_VALUE"""),19200.0)</f>
        <v>19200</v>
      </c>
      <c r="E1182" s="1">
        <f>IFERROR(__xludf.DUMMYFUNCTION("""COMPUTED_VALUE"""),19500.0)</f>
        <v>19500</v>
      </c>
      <c r="F1182" s="1">
        <f>IFERROR(__xludf.DUMMYFUNCTION("""COMPUTED_VALUE"""),13999.0)</f>
        <v>13999</v>
      </c>
    </row>
    <row r="1183">
      <c r="A1183" s="2">
        <f>IFERROR(__xludf.DUMMYFUNCTION("""COMPUTED_VALUE"""),44613.64583333333)</f>
        <v>44613.64583</v>
      </c>
      <c r="B1183" s="1">
        <f>IFERROR(__xludf.DUMMYFUNCTION("""COMPUTED_VALUE"""),19500.0)</f>
        <v>19500</v>
      </c>
      <c r="C1183" s="1">
        <f>IFERROR(__xludf.DUMMYFUNCTION("""COMPUTED_VALUE"""),19500.0)</f>
        <v>19500</v>
      </c>
      <c r="D1183" s="1">
        <f>IFERROR(__xludf.DUMMYFUNCTION("""COMPUTED_VALUE"""),19200.0)</f>
        <v>19200</v>
      </c>
      <c r="E1183" s="1">
        <f>IFERROR(__xludf.DUMMYFUNCTION("""COMPUTED_VALUE"""),19500.0)</f>
        <v>19500</v>
      </c>
      <c r="F1183" s="1">
        <f>IFERROR(__xludf.DUMMYFUNCTION("""COMPUTED_VALUE"""),14431.0)</f>
        <v>14431</v>
      </c>
    </row>
    <row r="1184">
      <c r="A1184" s="2">
        <f>IFERROR(__xludf.DUMMYFUNCTION("""COMPUTED_VALUE"""),44614.64583333333)</f>
        <v>44614.64583</v>
      </c>
      <c r="B1184" s="1">
        <f>IFERROR(__xludf.DUMMYFUNCTION("""COMPUTED_VALUE"""),19300.0)</f>
        <v>19300</v>
      </c>
      <c r="C1184" s="1">
        <f>IFERROR(__xludf.DUMMYFUNCTION("""COMPUTED_VALUE"""),19450.0)</f>
        <v>19450</v>
      </c>
      <c r="D1184" s="1">
        <f>IFERROR(__xludf.DUMMYFUNCTION("""COMPUTED_VALUE"""),19250.0)</f>
        <v>19250</v>
      </c>
      <c r="E1184" s="1">
        <f>IFERROR(__xludf.DUMMYFUNCTION("""COMPUTED_VALUE"""),19400.0)</f>
        <v>19400</v>
      </c>
      <c r="F1184" s="1">
        <f>IFERROR(__xludf.DUMMYFUNCTION("""COMPUTED_VALUE"""),14041.0)</f>
        <v>14041</v>
      </c>
    </row>
    <row r="1185">
      <c r="A1185" s="2">
        <f>IFERROR(__xludf.DUMMYFUNCTION("""COMPUTED_VALUE"""),44615.64583333333)</f>
        <v>44615.64583</v>
      </c>
      <c r="B1185" s="1">
        <f>IFERROR(__xludf.DUMMYFUNCTION("""COMPUTED_VALUE"""),19350.0)</f>
        <v>19350</v>
      </c>
      <c r="C1185" s="1">
        <f>IFERROR(__xludf.DUMMYFUNCTION("""COMPUTED_VALUE"""),19600.0)</f>
        <v>19600</v>
      </c>
      <c r="D1185" s="1">
        <f>IFERROR(__xludf.DUMMYFUNCTION("""COMPUTED_VALUE"""),19100.0)</f>
        <v>19100</v>
      </c>
      <c r="E1185" s="1">
        <f>IFERROR(__xludf.DUMMYFUNCTION("""COMPUTED_VALUE"""),19600.0)</f>
        <v>19600</v>
      </c>
      <c r="F1185" s="1">
        <f>IFERROR(__xludf.DUMMYFUNCTION("""COMPUTED_VALUE"""),8986.0)</f>
        <v>8986</v>
      </c>
    </row>
    <row r="1186">
      <c r="A1186" s="2">
        <f>IFERROR(__xludf.DUMMYFUNCTION("""COMPUTED_VALUE"""),44616.64583333333)</f>
        <v>44616.64583</v>
      </c>
      <c r="B1186" s="1">
        <f>IFERROR(__xludf.DUMMYFUNCTION("""COMPUTED_VALUE"""),19600.0)</f>
        <v>19600</v>
      </c>
      <c r="C1186" s="1">
        <f>IFERROR(__xludf.DUMMYFUNCTION("""COMPUTED_VALUE"""),19600.0)</f>
        <v>19600</v>
      </c>
      <c r="D1186" s="1">
        <f>IFERROR(__xludf.DUMMYFUNCTION("""COMPUTED_VALUE"""),19000.0)</f>
        <v>19000</v>
      </c>
      <c r="E1186" s="1">
        <f>IFERROR(__xludf.DUMMYFUNCTION("""COMPUTED_VALUE"""),19300.0)</f>
        <v>19300</v>
      </c>
      <c r="F1186" s="1">
        <f>IFERROR(__xludf.DUMMYFUNCTION("""COMPUTED_VALUE"""),25834.0)</f>
        <v>25834</v>
      </c>
    </row>
    <row r="1187">
      <c r="A1187" s="2">
        <f>IFERROR(__xludf.DUMMYFUNCTION("""COMPUTED_VALUE"""),44617.64583333333)</f>
        <v>44617.64583</v>
      </c>
      <c r="B1187" s="1">
        <f>IFERROR(__xludf.DUMMYFUNCTION("""COMPUTED_VALUE"""),19500.0)</f>
        <v>19500</v>
      </c>
      <c r="C1187" s="1">
        <f>IFERROR(__xludf.DUMMYFUNCTION("""COMPUTED_VALUE"""),19500.0)</f>
        <v>19500</v>
      </c>
      <c r="D1187" s="1">
        <f>IFERROR(__xludf.DUMMYFUNCTION("""COMPUTED_VALUE"""),19200.0)</f>
        <v>19200</v>
      </c>
      <c r="E1187" s="1">
        <f>IFERROR(__xludf.DUMMYFUNCTION("""COMPUTED_VALUE"""),19350.0)</f>
        <v>19350</v>
      </c>
      <c r="F1187" s="1">
        <f>IFERROR(__xludf.DUMMYFUNCTION("""COMPUTED_VALUE"""),33078.0)</f>
        <v>33078</v>
      </c>
    </row>
    <row r="1188">
      <c r="A1188" s="2">
        <f>IFERROR(__xludf.DUMMYFUNCTION("""COMPUTED_VALUE"""),44620.64583333333)</f>
        <v>44620.64583</v>
      </c>
      <c r="B1188" s="1">
        <f>IFERROR(__xludf.DUMMYFUNCTION("""COMPUTED_VALUE"""),19350.0)</f>
        <v>19350</v>
      </c>
      <c r="C1188" s="1">
        <f>IFERROR(__xludf.DUMMYFUNCTION("""COMPUTED_VALUE"""),19450.0)</f>
        <v>19450</v>
      </c>
      <c r="D1188" s="1">
        <f>IFERROR(__xludf.DUMMYFUNCTION("""COMPUTED_VALUE"""),19200.0)</f>
        <v>19200</v>
      </c>
      <c r="E1188" s="1">
        <f>IFERROR(__xludf.DUMMYFUNCTION("""COMPUTED_VALUE"""),19350.0)</f>
        <v>19350</v>
      </c>
      <c r="F1188" s="1">
        <f>IFERROR(__xludf.DUMMYFUNCTION("""COMPUTED_VALUE"""),15602.0)</f>
        <v>15602</v>
      </c>
    </row>
    <row r="1189">
      <c r="A1189" s="2">
        <f>IFERROR(__xludf.DUMMYFUNCTION("""COMPUTED_VALUE"""),44622.64583333333)</f>
        <v>44622.64583</v>
      </c>
      <c r="B1189" s="1">
        <f>IFERROR(__xludf.DUMMYFUNCTION("""COMPUTED_VALUE"""),19400.0)</f>
        <v>19400</v>
      </c>
      <c r="C1189" s="1">
        <f>IFERROR(__xludf.DUMMYFUNCTION("""COMPUTED_VALUE"""),19400.0)</f>
        <v>19400</v>
      </c>
      <c r="D1189" s="1">
        <f>IFERROR(__xludf.DUMMYFUNCTION("""COMPUTED_VALUE"""),19100.0)</f>
        <v>19100</v>
      </c>
      <c r="E1189" s="1">
        <f>IFERROR(__xludf.DUMMYFUNCTION("""COMPUTED_VALUE"""),19150.0)</f>
        <v>19150</v>
      </c>
      <c r="F1189" s="1">
        <f>IFERROR(__xludf.DUMMYFUNCTION("""COMPUTED_VALUE"""),22811.0)</f>
        <v>22811</v>
      </c>
    </row>
    <row r="1190">
      <c r="A1190" s="2">
        <f>IFERROR(__xludf.DUMMYFUNCTION("""COMPUTED_VALUE"""),44623.64583333333)</f>
        <v>44623.64583</v>
      </c>
      <c r="B1190" s="1">
        <f>IFERROR(__xludf.DUMMYFUNCTION("""COMPUTED_VALUE"""),19100.0)</f>
        <v>19100</v>
      </c>
      <c r="C1190" s="1">
        <f>IFERROR(__xludf.DUMMYFUNCTION("""COMPUTED_VALUE"""),19350.0)</f>
        <v>19350</v>
      </c>
      <c r="D1190" s="1">
        <f>IFERROR(__xludf.DUMMYFUNCTION("""COMPUTED_VALUE"""),19000.0)</f>
        <v>19000</v>
      </c>
      <c r="E1190" s="1">
        <f>IFERROR(__xludf.DUMMYFUNCTION("""COMPUTED_VALUE"""),19050.0)</f>
        <v>19050</v>
      </c>
      <c r="F1190" s="1">
        <f>IFERROR(__xludf.DUMMYFUNCTION("""COMPUTED_VALUE"""),36715.0)</f>
        <v>36715</v>
      </c>
    </row>
    <row r="1191">
      <c r="A1191" s="2">
        <f>IFERROR(__xludf.DUMMYFUNCTION("""COMPUTED_VALUE"""),44624.64583333333)</f>
        <v>44624.64583</v>
      </c>
      <c r="B1191" s="1">
        <f>IFERROR(__xludf.DUMMYFUNCTION("""COMPUTED_VALUE"""),19050.0)</f>
        <v>19050</v>
      </c>
      <c r="C1191" s="1">
        <f>IFERROR(__xludf.DUMMYFUNCTION("""COMPUTED_VALUE"""),19300.0)</f>
        <v>19300</v>
      </c>
      <c r="D1191" s="1">
        <f>IFERROR(__xludf.DUMMYFUNCTION("""COMPUTED_VALUE"""),18950.0)</f>
        <v>18950</v>
      </c>
      <c r="E1191" s="1">
        <f>IFERROR(__xludf.DUMMYFUNCTION("""COMPUTED_VALUE"""),19300.0)</f>
        <v>19300</v>
      </c>
      <c r="F1191" s="1">
        <f>IFERROR(__xludf.DUMMYFUNCTION("""COMPUTED_VALUE"""),53306.0)</f>
        <v>53306</v>
      </c>
    </row>
    <row r="1192">
      <c r="A1192" s="2">
        <f>IFERROR(__xludf.DUMMYFUNCTION("""COMPUTED_VALUE"""),44627.64583333333)</f>
        <v>44627.64583</v>
      </c>
      <c r="B1192" s="1">
        <f>IFERROR(__xludf.DUMMYFUNCTION("""COMPUTED_VALUE"""),19300.0)</f>
        <v>19300</v>
      </c>
      <c r="C1192" s="1">
        <f>IFERROR(__xludf.DUMMYFUNCTION("""COMPUTED_VALUE"""),19400.0)</f>
        <v>19400</v>
      </c>
      <c r="D1192" s="1">
        <f>IFERROR(__xludf.DUMMYFUNCTION("""COMPUTED_VALUE"""),19000.0)</f>
        <v>19000</v>
      </c>
      <c r="E1192" s="1">
        <f>IFERROR(__xludf.DUMMYFUNCTION("""COMPUTED_VALUE"""),19200.0)</f>
        <v>19200</v>
      </c>
      <c r="F1192" s="1">
        <f>IFERROR(__xludf.DUMMYFUNCTION("""COMPUTED_VALUE"""),36787.0)</f>
        <v>36787</v>
      </c>
    </row>
    <row r="1193">
      <c r="A1193" s="2">
        <f>IFERROR(__xludf.DUMMYFUNCTION("""COMPUTED_VALUE"""),44628.64583333333)</f>
        <v>44628.64583</v>
      </c>
      <c r="B1193" s="1">
        <f>IFERROR(__xludf.DUMMYFUNCTION("""COMPUTED_VALUE"""),19200.0)</f>
        <v>19200</v>
      </c>
      <c r="C1193" s="1">
        <f>IFERROR(__xludf.DUMMYFUNCTION("""COMPUTED_VALUE"""),19200.0)</f>
        <v>19200</v>
      </c>
      <c r="D1193" s="1">
        <f>IFERROR(__xludf.DUMMYFUNCTION("""COMPUTED_VALUE"""),18850.0)</f>
        <v>18850</v>
      </c>
      <c r="E1193" s="1">
        <f>IFERROR(__xludf.DUMMYFUNCTION("""COMPUTED_VALUE"""),19150.0)</f>
        <v>19150</v>
      </c>
      <c r="F1193" s="1">
        <f>IFERROR(__xludf.DUMMYFUNCTION("""COMPUTED_VALUE"""),20326.0)</f>
        <v>20326</v>
      </c>
    </row>
    <row r="1194">
      <c r="A1194" s="2">
        <f>IFERROR(__xludf.DUMMYFUNCTION("""COMPUTED_VALUE"""),44630.64583333333)</f>
        <v>44630.64583</v>
      </c>
      <c r="B1194" s="1">
        <f>IFERROR(__xludf.DUMMYFUNCTION("""COMPUTED_VALUE"""),19250.0)</f>
        <v>19250</v>
      </c>
      <c r="C1194" s="1">
        <f>IFERROR(__xludf.DUMMYFUNCTION("""COMPUTED_VALUE"""),20100.0)</f>
        <v>20100</v>
      </c>
      <c r="D1194" s="1">
        <f>IFERROR(__xludf.DUMMYFUNCTION("""COMPUTED_VALUE"""),19200.0)</f>
        <v>19200</v>
      </c>
      <c r="E1194" s="1">
        <f>IFERROR(__xludf.DUMMYFUNCTION("""COMPUTED_VALUE"""),19800.0)</f>
        <v>19800</v>
      </c>
      <c r="F1194" s="1">
        <f>IFERROR(__xludf.DUMMYFUNCTION("""COMPUTED_VALUE"""),34580.0)</f>
        <v>34580</v>
      </c>
    </row>
    <row r="1195">
      <c r="A1195" s="2">
        <f>IFERROR(__xludf.DUMMYFUNCTION("""COMPUTED_VALUE"""),44631.64583333333)</f>
        <v>44631.64583</v>
      </c>
      <c r="B1195" s="1">
        <f>IFERROR(__xludf.DUMMYFUNCTION("""COMPUTED_VALUE"""),19950.0)</f>
        <v>19950</v>
      </c>
      <c r="C1195" s="1">
        <f>IFERROR(__xludf.DUMMYFUNCTION("""COMPUTED_VALUE"""),19950.0)</f>
        <v>19950</v>
      </c>
      <c r="D1195" s="1">
        <f>IFERROR(__xludf.DUMMYFUNCTION("""COMPUTED_VALUE"""),19500.0)</f>
        <v>19500</v>
      </c>
      <c r="E1195" s="1">
        <f>IFERROR(__xludf.DUMMYFUNCTION("""COMPUTED_VALUE"""),19850.0)</f>
        <v>19850</v>
      </c>
      <c r="F1195" s="1">
        <f>IFERROR(__xludf.DUMMYFUNCTION("""COMPUTED_VALUE"""),19364.0)</f>
        <v>19364</v>
      </c>
    </row>
    <row r="1196">
      <c r="A1196" s="2">
        <f>IFERROR(__xludf.DUMMYFUNCTION("""COMPUTED_VALUE"""),44634.64583333333)</f>
        <v>44634.64583</v>
      </c>
      <c r="B1196" s="1">
        <f>IFERROR(__xludf.DUMMYFUNCTION("""COMPUTED_VALUE"""),19700.0)</f>
        <v>19700</v>
      </c>
      <c r="C1196" s="1">
        <f>IFERROR(__xludf.DUMMYFUNCTION("""COMPUTED_VALUE"""),20050.0)</f>
        <v>20050</v>
      </c>
      <c r="D1196" s="1">
        <f>IFERROR(__xludf.DUMMYFUNCTION("""COMPUTED_VALUE"""),19550.0)</f>
        <v>19550</v>
      </c>
      <c r="E1196" s="1">
        <f>IFERROR(__xludf.DUMMYFUNCTION("""COMPUTED_VALUE"""),19800.0)</f>
        <v>19800</v>
      </c>
      <c r="F1196" s="1">
        <f>IFERROR(__xludf.DUMMYFUNCTION("""COMPUTED_VALUE"""),29553.0)</f>
        <v>29553</v>
      </c>
    </row>
    <row r="1197">
      <c r="A1197" s="2">
        <f>IFERROR(__xludf.DUMMYFUNCTION("""COMPUTED_VALUE"""),44635.64583333333)</f>
        <v>44635.64583</v>
      </c>
      <c r="B1197" s="1">
        <f>IFERROR(__xludf.DUMMYFUNCTION("""COMPUTED_VALUE"""),19600.0)</f>
        <v>19600</v>
      </c>
      <c r="C1197" s="1">
        <f>IFERROR(__xludf.DUMMYFUNCTION("""COMPUTED_VALUE"""),19750.0)</f>
        <v>19750</v>
      </c>
      <c r="D1197" s="1">
        <f>IFERROR(__xludf.DUMMYFUNCTION("""COMPUTED_VALUE"""),19250.0)</f>
        <v>19250</v>
      </c>
      <c r="E1197" s="1">
        <f>IFERROR(__xludf.DUMMYFUNCTION("""COMPUTED_VALUE"""),19400.0)</f>
        <v>19400</v>
      </c>
      <c r="F1197" s="1">
        <f>IFERROR(__xludf.DUMMYFUNCTION("""COMPUTED_VALUE"""),27213.0)</f>
        <v>27213</v>
      </c>
    </row>
    <row r="1198">
      <c r="A1198" s="2">
        <f>IFERROR(__xludf.DUMMYFUNCTION("""COMPUTED_VALUE"""),44636.64583333333)</f>
        <v>44636.64583</v>
      </c>
      <c r="B1198" s="1">
        <f>IFERROR(__xludf.DUMMYFUNCTION("""COMPUTED_VALUE"""),19600.0)</f>
        <v>19600</v>
      </c>
      <c r="C1198" s="1">
        <f>IFERROR(__xludf.DUMMYFUNCTION("""COMPUTED_VALUE"""),19900.0)</f>
        <v>19900</v>
      </c>
      <c r="D1198" s="1">
        <f>IFERROR(__xludf.DUMMYFUNCTION("""COMPUTED_VALUE"""),19250.0)</f>
        <v>19250</v>
      </c>
      <c r="E1198" s="1">
        <f>IFERROR(__xludf.DUMMYFUNCTION("""COMPUTED_VALUE"""),19900.0)</f>
        <v>19900</v>
      </c>
      <c r="F1198" s="1">
        <f>IFERROR(__xludf.DUMMYFUNCTION("""COMPUTED_VALUE"""),31866.0)</f>
        <v>31866</v>
      </c>
    </row>
    <row r="1199">
      <c r="A1199" s="2">
        <f>IFERROR(__xludf.DUMMYFUNCTION("""COMPUTED_VALUE"""),44637.64583333333)</f>
        <v>44637.64583</v>
      </c>
      <c r="B1199" s="1">
        <f>IFERROR(__xludf.DUMMYFUNCTION("""COMPUTED_VALUE"""),19800.0)</f>
        <v>19800</v>
      </c>
      <c r="C1199" s="1">
        <f>IFERROR(__xludf.DUMMYFUNCTION("""COMPUTED_VALUE"""),20200.0)</f>
        <v>20200</v>
      </c>
      <c r="D1199" s="1">
        <f>IFERROR(__xludf.DUMMYFUNCTION("""COMPUTED_VALUE"""),19700.0)</f>
        <v>19700</v>
      </c>
      <c r="E1199" s="1">
        <f>IFERROR(__xludf.DUMMYFUNCTION("""COMPUTED_VALUE"""),20150.0)</f>
        <v>20150</v>
      </c>
      <c r="F1199" s="1">
        <f>IFERROR(__xludf.DUMMYFUNCTION("""COMPUTED_VALUE"""),24958.0)</f>
        <v>24958</v>
      </c>
    </row>
    <row r="1200">
      <c r="A1200" s="2">
        <f>IFERROR(__xludf.DUMMYFUNCTION("""COMPUTED_VALUE"""),44638.64583333333)</f>
        <v>44638.64583</v>
      </c>
      <c r="B1200" s="1">
        <f>IFERROR(__xludf.DUMMYFUNCTION("""COMPUTED_VALUE"""),20250.0)</f>
        <v>20250</v>
      </c>
      <c r="C1200" s="1">
        <f>IFERROR(__xludf.DUMMYFUNCTION("""COMPUTED_VALUE"""),20250.0)</f>
        <v>20250</v>
      </c>
      <c r="D1200" s="1">
        <f>IFERROR(__xludf.DUMMYFUNCTION("""COMPUTED_VALUE"""),19900.0)</f>
        <v>19900</v>
      </c>
      <c r="E1200" s="1">
        <f>IFERROR(__xludf.DUMMYFUNCTION("""COMPUTED_VALUE"""),20150.0)</f>
        <v>20150</v>
      </c>
      <c r="F1200" s="1">
        <f>IFERROR(__xludf.DUMMYFUNCTION("""COMPUTED_VALUE"""),13592.0)</f>
        <v>13592</v>
      </c>
    </row>
    <row r="1201">
      <c r="A1201" s="2">
        <f>IFERROR(__xludf.DUMMYFUNCTION("""COMPUTED_VALUE"""),44641.64583333333)</f>
        <v>44641.64583</v>
      </c>
      <c r="B1201" s="1">
        <f>IFERROR(__xludf.DUMMYFUNCTION("""COMPUTED_VALUE"""),20150.0)</f>
        <v>20150</v>
      </c>
      <c r="C1201" s="1">
        <f>IFERROR(__xludf.DUMMYFUNCTION("""COMPUTED_VALUE"""),20250.0)</f>
        <v>20250</v>
      </c>
      <c r="D1201" s="1">
        <f>IFERROR(__xludf.DUMMYFUNCTION("""COMPUTED_VALUE"""),19800.0)</f>
        <v>19800</v>
      </c>
      <c r="E1201" s="1">
        <f>IFERROR(__xludf.DUMMYFUNCTION("""COMPUTED_VALUE"""),19950.0)</f>
        <v>19950</v>
      </c>
      <c r="F1201" s="1">
        <f>IFERROR(__xludf.DUMMYFUNCTION("""COMPUTED_VALUE"""),19141.0)</f>
        <v>19141</v>
      </c>
    </row>
    <row r="1202">
      <c r="A1202" s="2">
        <f>IFERROR(__xludf.DUMMYFUNCTION("""COMPUTED_VALUE"""),44642.64583333333)</f>
        <v>44642.64583</v>
      </c>
      <c r="B1202" s="1">
        <f>IFERROR(__xludf.DUMMYFUNCTION("""COMPUTED_VALUE"""),19800.0)</f>
        <v>19800</v>
      </c>
      <c r="C1202" s="1">
        <f>IFERROR(__xludf.DUMMYFUNCTION("""COMPUTED_VALUE"""),20200.0)</f>
        <v>20200</v>
      </c>
      <c r="D1202" s="1">
        <f>IFERROR(__xludf.DUMMYFUNCTION("""COMPUTED_VALUE"""),19800.0)</f>
        <v>19800</v>
      </c>
      <c r="E1202" s="1">
        <f>IFERROR(__xludf.DUMMYFUNCTION("""COMPUTED_VALUE"""),20050.0)</f>
        <v>20050</v>
      </c>
      <c r="F1202" s="1">
        <f>IFERROR(__xludf.DUMMYFUNCTION("""COMPUTED_VALUE"""),9015.0)</f>
        <v>9015</v>
      </c>
    </row>
    <row r="1203">
      <c r="A1203" s="2">
        <f>IFERROR(__xludf.DUMMYFUNCTION("""COMPUTED_VALUE"""),44643.64583333333)</f>
        <v>44643.64583</v>
      </c>
      <c r="B1203" s="1">
        <f>IFERROR(__xludf.DUMMYFUNCTION("""COMPUTED_VALUE"""),20000.0)</f>
        <v>20000</v>
      </c>
      <c r="C1203" s="1">
        <f>IFERROR(__xludf.DUMMYFUNCTION("""COMPUTED_VALUE"""),20050.0)</f>
        <v>20050</v>
      </c>
      <c r="D1203" s="1">
        <f>IFERROR(__xludf.DUMMYFUNCTION("""COMPUTED_VALUE"""),19900.0)</f>
        <v>19900</v>
      </c>
      <c r="E1203" s="1">
        <f>IFERROR(__xludf.DUMMYFUNCTION("""COMPUTED_VALUE"""),19950.0)</f>
        <v>19950</v>
      </c>
      <c r="F1203" s="1">
        <f>IFERROR(__xludf.DUMMYFUNCTION("""COMPUTED_VALUE"""),15406.0)</f>
        <v>15406</v>
      </c>
    </row>
    <row r="1204">
      <c r="A1204" s="2">
        <f>IFERROR(__xludf.DUMMYFUNCTION("""COMPUTED_VALUE"""),44644.64583333333)</f>
        <v>44644.64583</v>
      </c>
      <c r="B1204" s="1">
        <f>IFERROR(__xludf.DUMMYFUNCTION("""COMPUTED_VALUE"""),19900.0)</f>
        <v>19900</v>
      </c>
      <c r="C1204" s="1">
        <f>IFERROR(__xludf.DUMMYFUNCTION("""COMPUTED_VALUE"""),20000.0)</f>
        <v>20000</v>
      </c>
      <c r="D1204" s="1">
        <f>IFERROR(__xludf.DUMMYFUNCTION("""COMPUTED_VALUE"""),19700.0)</f>
        <v>19700</v>
      </c>
      <c r="E1204" s="1">
        <f>IFERROR(__xludf.DUMMYFUNCTION("""COMPUTED_VALUE"""),19950.0)</f>
        <v>19950</v>
      </c>
      <c r="F1204" s="1">
        <f>IFERROR(__xludf.DUMMYFUNCTION("""COMPUTED_VALUE"""),10356.0)</f>
        <v>10356</v>
      </c>
    </row>
    <row r="1205">
      <c r="A1205" s="2">
        <f>IFERROR(__xludf.DUMMYFUNCTION("""COMPUTED_VALUE"""),44645.64583333333)</f>
        <v>44645.64583</v>
      </c>
      <c r="B1205" s="1">
        <f>IFERROR(__xludf.DUMMYFUNCTION("""COMPUTED_VALUE"""),19950.0)</f>
        <v>19950</v>
      </c>
      <c r="C1205" s="1">
        <f>IFERROR(__xludf.DUMMYFUNCTION("""COMPUTED_VALUE"""),20100.0)</f>
        <v>20100</v>
      </c>
      <c r="D1205" s="1">
        <f>IFERROR(__xludf.DUMMYFUNCTION("""COMPUTED_VALUE"""),19850.0)</f>
        <v>19850</v>
      </c>
      <c r="E1205" s="1">
        <f>IFERROR(__xludf.DUMMYFUNCTION("""COMPUTED_VALUE"""),20100.0)</f>
        <v>20100</v>
      </c>
      <c r="F1205" s="1">
        <f>IFERROR(__xludf.DUMMYFUNCTION("""COMPUTED_VALUE"""),21542.0)</f>
        <v>21542</v>
      </c>
    </row>
    <row r="1206">
      <c r="A1206" s="2">
        <f>IFERROR(__xludf.DUMMYFUNCTION("""COMPUTED_VALUE"""),44648.64583333333)</f>
        <v>44648.64583</v>
      </c>
      <c r="B1206" s="1">
        <f>IFERROR(__xludf.DUMMYFUNCTION("""COMPUTED_VALUE"""),20200.0)</f>
        <v>20200</v>
      </c>
      <c r="C1206" s="1">
        <f>IFERROR(__xludf.DUMMYFUNCTION("""COMPUTED_VALUE"""),20200.0)</f>
        <v>20200</v>
      </c>
      <c r="D1206" s="1">
        <f>IFERROR(__xludf.DUMMYFUNCTION("""COMPUTED_VALUE"""),19850.0)</f>
        <v>19850</v>
      </c>
      <c r="E1206" s="1">
        <f>IFERROR(__xludf.DUMMYFUNCTION("""COMPUTED_VALUE"""),20100.0)</f>
        <v>20100</v>
      </c>
      <c r="F1206" s="1">
        <f>IFERROR(__xludf.DUMMYFUNCTION("""COMPUTED_VALUE"""),10540.0)</f>
        <v>10540</v>
      </c>
    </row>
    <row r="1207">
      <c r="A1207" s="2">
        <f>IFERROR(__xludf.DUMMYFUNCTION("""COMPUTED_VALUE"""),44649.64583333333)</f>
        <v>44649.64583</v>
      </c>
      <c r="B1207" s="1">
        <f>IFERROR(__xludf.DUMMYFUNCTION("""COMPUTED_VALUE"""),20300.0)</f>
        <v>20300</v>
      </c>
      <c r="C1207" s="1">
        <f>IFERROR(__xludf.DUMMYFUNCTION("""COMPUTED_VALUE"""),20300.0)</f>
        <v>20300</v>
      </c>
      <c r="D1207" s="1">
        <f>IFERROR(__xludf.DUMMYFUNCTION("""COMPUTED_VALUE"""),19950.0)</f>
        <v>19950</v>
      </c>
      <c r="E1207" s="1">
        <f>IFERROR(__xludf.DUMMYFUNCTION("""COMPUTED_VALUE"""),20100.0)</f>
        <v>20100</v>
      </c>
      <c r="F1207" s="1">
        <f>IFERROR(__xludf.DUMMYFUNCTION("""COMPUTED_VALUE"""),12938.0)</f>
        <v>12938</v>
      </c>
    </row>
    <row r="1208">
      <c r="A1208" s="2">
        <f>IFERROR(__xludf.DUMMYFUNCTION("""COMPUTED_VALUE"""),44650.64583333333)</f>
        <v>44650.64583</v>
      </c>
      <c r="B1208" s="1">
        <f>IFERROR(__xludf.DUMMYFUNCTION("""COMPUTED_VALUE"""),20300.0)</f>
        <v>20300</v>
      </c>
      <c r="C1208" s="1">
        <f>IFERROR(__xludf.DUMMYFUNCTION("""COMPUTED_VALUE"""),20300.0)</f>
        <v>20300</v>
      </c>
      <c r="D1208" s="1">
        <f>IFERROR(__xludf.DUMMYFUNCTION("""COMPUTED_VALUE"""),19900.0)</f>
        <v>19900</v>
      </c>
      <c r="E1208" s="1">
        <f>IFERROR(__xludf.DUMMYFUNCTION("""COMPUTED_VALUE"""),20050.0)</f>
        <v>20050</v>
      </c>
      <c r="F1208" s="1">
        <f>IFERROR(__xludf.DUMMYFUNCTION("""COMPUTED_VALUE"""),7970.0)</f>
        <v>7970</v>
      </c>
    </row>
    <row r="1209">
      <c r="A1209" s="2">
        <f>IFERROR(__xludf.DUMMYFUNCTION("""COMPUTED_VALUE"""),44651.64583333333)</f>
        <v>44651.64583</v>
      </c>
      <c r="B1209" s="1">
        <f>IFERROR(__xludf.DUMMYFUNCTION("""COMPUTED_VALUE"""),19800.0)</f>
        <v>19800</v>
      </c>
      <c r="C1209" s="1">
        <f>IFERROR(__xludf.DUMMYFUNCTION("""COMPUTED_VALUE"""),20250.0)</f>
        <v>20250</v>
      </c>
      <c r="D1209" s="1">
        <f>IFERROR(__xludf.DUMMYFUNCTION("""COMPUTED_VALUE"""),19800.0)</f>
        <v>19800</v>
      </c>
      <c r="E1209" s="1">
        <f>IFERROR(__xludf.DUMMYFUNCTION("""COMPUTED_VALUE"""),20200.0)</f>
        <v>20200</v>
      </c>
      <c r="F1209" s="1">
        <f>IFERROR(__xludf.DUMMYFUNCTION("""COMPUTED_VALUE"""),7716.0)</f>
        <v>7716</v>
      </c>
    </row>
    <row r="1210">
      <c r="A1210" s="2">
        <f>IFERROR(__xludf.DUMMYFUNCTION("""COMPUTED_VALUE"""),44652.64583333333)</f>
        <v>44652.64583</v>
      </c>
      <c r="B1210" s="1">
        <f>IFERROR(__xludf.DUMMYFUNCTION("""COMPUTED_VALUE"""),20150.0)</f>
        <v>20150</v>
      </c>
      <c r="C1210" s="1">
        <f>IFERROR(__xludf.DUMMYFUNCTION("""COMPUTED_VALUE"""),20150.0)</f>
        <v>20150</v>
      </c>
      <c r="D1210" s="1">
        <f>IFERROR(__xludf.DUMMYFUNCTION("""COMPUTED_VALUE"""),19800.0)</f>
        <v>19800</v>
      </c>
      <c r="E1210" s="1">
        <f>IFERROR(__xludf.DUMMYFUNCTION("""COMPUTED_VALUE"""),20100.0)</f>
        <v>20100</v>
      </c>
      <c r="F1210" s="1">
        <f>IFERROR(__xludf.DUMMYFUNCTION("""COMPUTED_VALUE"""),17866.0)</f>
        <v>17866</v>
      </c>
    </row>
    <row r="1211">
      <c r="A1211" s="2">
        <f>IFERROR(__xludf.DUMMYFUNCTION("""COMPUTED_VALUE"""),44655.64583333333)</f>
        <v>44655.64583</v>
      </c>
      <c r="B1211" s="1">
        <f>IFERROR(__xludf.DUMMYFUNCTION("""COMPUTED_VALUE"""),20050.0)</f>
        <v>20050</v>
      </c>
      <c r="C1211" s="1">
        <f>IFERROR(__xludf.DUMMYFUNCTION("""COMPUTED_VALUE"""),20950.0)</f>
        <v>20950</v>
      </c>
      <c r="D1211" s="1">
        <f>IFERROR(__xludf.DUMMYFUNCTION("""COMPUTED_VALUE"""),20000.0)</f>
        <v>20000</v>
      </c>
      <c r="E1211" s="1">
        <f>IFERROR(__xludf.DUMMYFUNCTION("""COMPUTED_VALUE"""),20950.0)</f>
        <v>20950</v>
      </c>
      <c r="F1211" s="1">
        <f>IFERROR(__xludf.DUMMYFUNCTION("""COMPUTED_VALUE"""),63282.0)</f>
        <v>63282</v>
      </c>
    </row>
    <row r="1212">
      <c r="A1212" s="2">
        <f>IFERROR(__xludf.DUMMYFUNCTION("""COMPUTED_VALUE"""),44656.64583333333)</f>
        <v>44656.64583</v>
      </c>
      <c r="B1212" s="1">
        <f>IFERROR(__xludf.DUMMYFUNCTION("""COMPUTED_VALUE"""),20650.0)</f>
        <v>20650</v>
      </c>
      <c r="C1212" s="1">
        <f>IFERROR(__xludf.DUMMYFUNCTION("""COMPUTED_VALUE"""),21300.0)</f>
        <v>21300</v>
      </c>
      <c r="D1212" s="1">
        <f>IFERROR(__xludf.DUMMYFUNCTION("""COMPUTED_VALUE"""),20650.0)</f>
        <v>20650</v>
      </c>
      <c r="E1212" s="1">
        <f>IFERROR(__xludf.DUMMYFUNCTION("""COMPUTED_VALUE"""),21000.0)</f>
        <v>21000</v>
      </c>
      <c r="F1212" s="1">
        <f>IFERROR(__xludf.DUMMYFUNCTION("""COMPUTED_VALUE"""),33038.0)</f>
        <v>33038</v>
      </c>
    </row>
    <row r="1213">
      <c r="A1213" s="2">
        <f>IFERROR(__xludf.DUMMYFUNCTION("""COMPUTED_VALUE"""),44657.64583333333)</f>
        <v>44657.64583</v>
      </c>
      <c r="B1213" s="1">
        <f>IFERROR(__xludf.DUMMYFUNCTION("""COMPUTED_VALUE"""),20850.0)</f>
        <v>20850</v>
      </c>
      <c r="C1213" s="1">
        <f>IFERROR(__xludf.DUMMYFUNCTION("""COMPUTED_VALUE"""),21000.0)</f>
        <v>21000</v>
      </c>
      <c r="D1213" s="1">
        <f>IFERROR(__xludf.DUMMYFUNCTION("""COMPUTED_VALUE"""),20550.0)</f>
        <v>20550</v>
      </c>
      <c r="E1213" s="1">
        <f>IFERROR(__xludf.DUMMYFUNCTION("""COMPUTED_VALUE"""),20700.0)</f>
        <v>20700</v>
      </c>
      <c r="F1213" s="1">
        <f>IFERROR(__xludf.DUMMYFUNCTION("""COMPUTED_VALUE"""),16591.0)</f>
        <v>16591</v>
      </c>
    </row>
    <row r="1214">
      <c r="A1214" s="2">
        <f>IFERROR(__xludf.DUMMYFUNCTION("""COMPUTED_VALUE"""),44658.64583333333)</f>
        <v>44658.64583</v>
      </c>
      <c r="B1214" s="1">
        <f>IFERROR(__xludf.DUMMYFUNCTION("""COMPUTED_VALUE"""),20450.0)</f>
        <v>20450</v>
      </c>
      <c r="C1214" s="1">
        <f>IFERROR(__xludf.DUMMYFUNCTION("""COMPUTED_VALUE"""),20750.0)</f>
        <v>20750</v>
      </c>
      <c r="D1214" s="1">
        <f>IFERROR(__xludf.DUMMYFUNCTION("""COMPUTED_VALUE"""),20450.0)</f>
        <v>20450</v>
      </c>
      <c r="E1214" s="1">
        <f>IFERROR(__xludf.DUMMYFUNCTION("""COMPUTED_VALUE"""),20750.0)</f>
        <v>20750</v>
      </c>
      <c r="F1214" s="1">
        <f>IFERROR(__xludf.DUMMYFUNCTION("""COMPUTED_VALUE"""),7459.0)</f>
        <v>7459</v>
      </c>
    </row>
    <row r="1215">
      <c r="A1215" s="2">
        <f>IFERROR(__xludf.DUMMYFUNCTION("""COMPUTED_VALUE"""),44659.64583333333)</f>
        <v>44659.64583</v>
      </c>
      <c r="B1215" s="1">
        <f>IFERROR(__xludf.DUMMYFUNCTION("""COMPUTED_VALUE"""),20650.0)</f>
        <v>20650</v>
      </c>
      <c r="C1215" s="1">
        <f>IFERROR(__xludf.DUMMYFUNCTION("""COMPUTED_VALUE"""),21150.0)</f>
        <v>21150</v>
      </c>
      <c r="D1215" s="1">
        <f>IFERROR(__xludf.DUMMYFUNCTION("""COMPUTED_VALUE"""),20550.0)</f>
        <v>20550</v>
      </c>
      <c r="E1215" s="1">
        <f>IFERROR(__xludf.DUMMYFUNCTION("""COMPUTED_VALUE"""),21150.0)</f>
        <v>21150</v>
      </c>
      <c r="F1215" s="1">
        <f>IFERROR(__xludf.DUMMYFUNCTION("""COMPUTED_VALUE"""),20537.0)</f>
        <v>20537</v>
      </c>
    </row>
    <row r="1216">
      <c r="A1216" s="2">
        <f>IFERROR(__xludf.DUMMYFUNCTION("""COMPUTED_VALUE"""),44662.64583333333)</f>
        <v>44662.64583</v>
      </c>
      <c r="B1216" s="1">
        <f>IFERROR(__xludf.DUMMYFUNCTION("""COMPUTED_VALUE"""),20950.0)</f>
        <v>20950</v>
      </c>
      <c r="C1216" s="1">
        <f>IFERROR(__xludf.DUMMYFUNCTION("""COMPUTED_VALUE"""),21150.0)</f>
        <v>21150</v>
      </c>
      <c r="D1216" s="1">
        <f>IFERROR(__xludf.DUMMYFUNCTION("""COMPUTED_VALUE"""),20900.0)</f>
        <v>20900</v>
      </c>
      <c r="E1216" s="1">
        <f>IFERROR(__xludf.DUMMYFUNCTION("""COMPUTED_VALUE"""),21000.0)</f>
        <v>21000</v>
      </c>
      <c r="F1216" s="1">
        <f>IFERROR(__xludf.DUMMYFUNCTION("""COMPUTED_VALUE"""),15728.0)</f>
        <v>15728</v>
      </c>
    </row>
    <row r="1217">
      <c r="A1217" s="2">
        <f>IFERROR(__xludf.DUMMYFUNCTION("""COMPUTED_VALUE"""),44663.64583333333)</f>
        <v>44663.64583</v>
      </c>
      <c r="B1217" s="1">
        <f>IFERROR(__xludf.DUMMYFUNCTION("""COMPUTED_VALUE"""),21000.0)</f>
        <v>21000</v>
      </c>
      <c r="C1217" s="1">
        <f>IFERROR(__xludf.DUMMYFUNCTION("""COMPUTED_VALUE"""),21000.0)</f>
        <v>21000</v>
      </c>
      <c r="D1217" s="1">
        <f>IFERROR(__xludf.DUMMYFUNCTION("""COMPUTED_VALUE"""),20750.0)</f>
        <v>20750</v>
      </c>
      <c r="E1217" s="1">
        <f>IFERROR(__xludf.DUMMYFUNCTION("""COMPUTED_VALUE"""),21000.0)</f>
        <v>21000</v>
      </c>
      <c r="F1217" s="1">
        <f>IFERROR(__xludf.DUMMYFUNCTION("""COMPUTED_VALUE"""),36382.0)</f>
        <v>36382</v>
      </c>
    </row>
    <row r="1218">
      <c r="A1218" s="2">
        <f>IFERROR(__xludf.DUMMYFUNCTION("""COMPUTED_VALUE"""),44664.64583333333)</f>
        <v>44664.64583</v>
      </c>
      <c r="B1218" s="1">
        <f>IFERROR(__xludf.DUMMYFUNCTION("""COMPUTED_VALUE"""),21050.0)</f>
        <v>21050</v>
      </c>
      <c r="C1218" s="1">
        <f>IFERROR(__xludf.DUMMYFUNCTION("""COMPUTED_VALUE"""),21200.0)</f>
        <v>21200</v>
      </c>
      <c r="D1218" s="1">
        <f>IFERROR(__xludf.DUMMYFUNCTION("""COMPUTED_VALUE"""),20750.0)</f>
        <v>20750</v>
      </c>
      <c r="E1218" s="1">
        <f>IFERROR(__xludf.DUMMYFUNCTION("""COMPUTED_VALUE"""),20900.0)</f>
        <v>20900</v>
      </c>
      <c r="F1218" s="1">
        <f>IFERROR(__xludf.DUMMYFUNCTION("""COMPUTED_VALUE"""),12474.0)</f>
        <v>12474</v>
      </c>
    </row>
    <row r="1219">
      <c r="A1219" s="2">
        <f>IFERROR(__xludf.DUMMYFUNCTION("""COMPUTED_VALUE"""),44665.64583333333)</f>
        <v>44665.64583</v>
      </c>
      <c r="B1219" s="1">
        <f>IFERROR(__xludf.DUMMYFUNCTION("""COMPUTED_VALUE"""),20900.0)</f>
        <v>20900</v>
      </c>
      <c r="C1219" s="1">
        <f>IFERROR(__xludf.DUMMYFUNCTION("""COMPUTED_VALUE"""),20950.0)</f>
        <v>20950</v>
      </c>
      <c r="D1219" s="1">
        <f>IFERROR(__xludf.DUMMYFUNCTION("""COMPUTED_VALUE"""),20750.0)</f>
        <v>20750</v>
      </c>
      <c r="E1219" s="1">
        <f>IFERROR(__xludf.DUMMYFUNCTION("""COMPUTED_VALUE"""),20900.0)</f>
        <v>20900</v>
      </c>
      <c r="F1219" s="1">
        <f>IFERROR(__xludf.DUMMYFUNCTION("""COMPUTED_VALUE"""),8238.0)</f>
        <v>8238</v>
      </c>
    </row>
    <row r="1220">
      <c r="A1220" s="2">
        <f>IFERROR(__xludf.DUMMYFUNCTION("""COMPUTED_VALUE"""),44666.64583333333)</f>
        <v>44666.64583</v>
      </c>
      <c r="B1220" s="1">
        <f>IFERROR(__xludf.DUMMYFUNCTION("""COMPUTED_VALUE"""),20600.0)</f>
        <v>20600</v>
      </c>
      <c r="C1220" s="1">
        <f>IFERROR(__xludf.DUMMYFUNCTION("""COMPUTED_VALUE"""),20950.0)</f>
        <v>20950</v>
      </c>
      <c r="D1220" s="1">
        <f>IFERROR(__xludf.DUMMYFUNCTION("""COMPUTED_VALUE"""),20600.0)</f>
        <v>20600</v>
      </c>
      <c r="E1220" s="1">
        <f>IFERROR(__xludf.DUMMYFUNCTION("""COMPUTED_VALUE"""),20900.0)</f>
        <v>20900</v>
      </c>
      <c r="F1220" s="1">
        <f>IFERROR(__xludf.DUMMYFUNCTION("""COMPUTED_VALUE"""),7711.0)</f>
        <v>7711</v>
      </c>
    </row>
    <row r="1221">
      <c r="A1221" s="2">
        <f>IFERROR(__xludf.DUMMYFUNCTION("""COMPUTED_VALUE"""),44669.64583333333)</f>
        <v>44669.64583</v>
      </c>
      <c r="B1221" s="1">
        <f>IFERROR(__xludf.DUMMYFUNCTION("""COMPUTED_VALUE"""),21000.0)</f>
        <v>21000</v>
      </c>
      <c r="C1221" s="1">
        <f>IFERROR(__xludf.DUMMYFUNCTION("""COMPUTED_VALUE"""),21000.0)</f>
        <v>21000</v>
      </c>
      <c r="D1221" s="1">
        <f>IFERROR(__xludf.DUMMYFUNCTION("""COMPUTED_VALUE"""),20500.0)</f>
        <v>20500</v>
      </c>
      <c r="E1221" s="1">
        <f>IFERROR(__xludf.DUMMYFUNCTION("""COMPUTED_VALUE"""),20850.0)</f>
        <v>20850</v>
      </c>
      <c r="F1221" s="1">
        <f>IFERROR(__xludf.DUMMYFUNCTION("""COMPUTED_VALUE"""),21142.0)</f>
        <v>21142</v>
      </c>
    </row>
    <row r="1222">
      <c r="A1222" s="2">
        <f>IFERROR(__xludf.DUMMYFUNCTION("""COMPUTED_VALUE"""),44670.64583333333)</f>
        <v>44670.64583</v>
      </c>
      <c r="B1222" s="1">
        <f>IFERROR(__xludf.DUMMYFUNCTION("""COMPUTED_VALUE"""),20850.0)</f>
        <v>20850</v>
      </c>
      <c r="C1222" s="1">
        <f>IFERROR(__xludf.DUMMYFUNCTION("""COMPUTED_VALUE"""),21100.0)</f>
        <v>21100</v>
      </c>
      <c r="D1222" s="1">
        <f>IFERROR(__xludf.DUMMYFUNCTION("""COMPUTED_VALUE"""),20550.0)</f>
        <v>20550</v>
      </c>
      <c r="E1222" s="1">
        <f>IFERROR(__xludf.DUMMYFUNCTION("""COMPUTED_VALUE"""),21000.0)</f>
        <v>21000</v>
      </c>
      <c r="F1222" s="1">
        <f>IFERROR(__xludf.DUMMYFUNCTION("""COMPUTED_VALUE"""),52302.0)</f>
        <v>52302</v>
      </c>
    </row>
    <row r="1223">
      <c r="A1223" s="2">
        <f>IFERROR(__xludf.DUMMYFUNCTION("""COMPUTED_VALUE"""),44671.64583333333)</f>
        <v>44671.64583</v>
      </c>
      <c r="B1223" s="1">
        <f>IFERROR(__xludf.DUMMYFUNCTION("""COMPUTED_VALUE"""),21100.0)</f>
        <v>21100</v>
      </c>
      <c r="C1223" s="1">
        <f>IFERROR(__xludf.DUMMYFUNCTION("""COMPUTED_VALUE"""),21100.0)</f>
        <v>21100</v>
      </c>
      <c r="D1223" s="1">
        <f>IFERROR(__xludf.DUMMYFUNCTION("""COMPUTED_VALUE"""),20900.0)</f>
        <v>20900</v>
      </c>
      <c r="E1223" s="1">
        <f>IFERROR(__xludf.DUMMYFUNCTION("""COMPUTED_VALUE"""),21100.0)</f>
        <v>21100</v>
      </c>
      <c r="F1223" s="1">
        <f>IFERROR(__xludf.DUMMYFUNCTION("""COMPUTED_VALUE"""),17317.0)</f>
        <v>17317</v>
      </c>
    </row>
    <row r="1224">
      <c r="A1224" s="2">
        <f>IFERROR(__xludf.DUMMYFUNCTION("""COMPUTED_VALUE"""),44672.64583333333)</f>
        <v>44672.64583</v>
      </c>
      <c r="B1224" s="1">
        <f>IFERROR(__xludf.DUMMYFUNCTION("""COMPUTED_VALUE"""),21000.0)</f>
        <v>21000</v>
      </c>
      <c r="C1224" s="1">
        <f>IFERROR(__xludf.DUMMYFUNCTION("""COMPUTED_VALUE"""),21700.0)</f>
        <v>21700</v>
      </c>
      <c r="D1224" s="1">
        <f>IFERROR(__xludf.DUMMYFUNCTION("""COMPUTED_VALUE"""),20900.0)</f>
        <v>20900</v>
      </c>
      <c r="E1224" s="1">
        <f>IFERROR(__xludf.DUMMYFUNCTION("""COMPUTED_VALUE"""),21550.0)</f>
        <v>21550</v>
      </c>
      <c r="F1224" s="1">
        <f>IFERROR(__xludf.DUMMYFUNCTION("""COMPUTED_VALUE"""),76128.0)</f>
        <v>76128</v>
      </c>
    </row>
    <row r="1225">
      <c r="A1225" s="2">
        <f>IFERROR(__xludf.DUMMYFUNCTION("""COMPUTED_VALUE"""),44673.64583333333)</f>
        <v>44673.64583</v>
      </c>
      <c r="B1225" s="1">
        <f>IFERROR(__xludf.DUMMYFUNCTION("""COMPUTED_VALUE"""),21350.0)</f>
        <v>21350</v>
      </c>
      <c r="C1225" s="1">
        <f>IFERROR(__xludf.DUMMYFUNCTION("""COMPUTED_VALUE"""),21650.0)</f>
        <v>21650</v>
      </c>
      <c r="D1225" s="1">
        <f>IFERROR(__xludf.DUMMYFUNCTION("""COMPUTED_VALUE"""),21250.0)</f>
        <v>21250</v>
      </c>
      <c r="E1225" s="1">
        <f>IFERROR(__xludf.DUMMYFUNCTION("""COMPUTED_VALUE"""),21550.0)</f>
        <v>21550</v>
      </c>
      <c r="F1225" s="1">
        <f>IFERROR(__xludf.DUMMYFUNCTION("""COMPUTED_VALUE"""),22102.0)</f>
        <v>22102</v>
      </c>
    </row>
    <row r="1226">
      <c r="A1226" s="2">
        <f>IFERROR(__xludf.DUMMYFUNCTION("""COMPUTED_VALUE"""),44676.64583333333)</f>
        <v>44676.64583</v>
      </c>
      <c r="B1226" s="1">
        <f>IFERROR(__xludf.DUMMYFUNCTION("""COMPUTED_VALUE"""),21300.0)</f>
        <v>21300</v>
      </c>
      <c r="C1226" s="1">
        <f>IFERROR(__xludf.DUMMYFUNCTION("""COMPUTED_VALUE"""),21450.0)</f>
        <v>21450</v>
      </c>
      <c r="D1226" s="1">
        <f>IFERROR(__xludf.DUMMYFUNCTION("""COMPUTED_VALUE"""),21150.0)</f>
        <v>21150</v>
      </c>
      <c r="E1226" s="1">
        <f>IFERROR(__xludf.DUMMYFUNCTION("""COMPUTED_VALUE"""),21300.0)</f>
        <v>21300</v>
      </c>
      <c r="F1226" s="1">
        <f>IFERROR(__xludf.DUMMYFUNCTION("""COMPUTED_VALUE"""),22888.0)</f>
        <v>22888</v>
      </c>
    </row>
    <row r="1227">
      <c r="A1227" s="2">
        <f>IFERROR(__xludf.DUMMYFUNCTION("""COMPUTED_VALUE"""),44677.64583333333)</f>
        <v>44677.64583</v>
      </c>
      <c r="B1227" s="1">
        <f>IFERROR(__xludf.DUMMYFUNCTION("""COMPUTED_VALUE"""),21300.0)</f>
        <v>21300</v>
      </c>
      <c r="C1227" s="1">
        <f>IFERROR(__xludf.DUMMYFUNCTION("""COMPUTED_VALUE"""),21550.0)</f>
        <v>21550</v>
      </c>
      <c r="D1227" s="1">
        <f>IFERROR(__xludf.DUMMYFUNCTION("""COMPUTED_VALUE"""),21250.0)</f>
        <v>21250</v>
      </c>
      <c r="E1227" s="1">
        <f>IFERROR(__xludf.DUMMYFUNCTION("""COMPUTED_VALUE"""),21400.0)</f>
        <v>21400</v>
      </c>
      <c r="F1227" s="1">
        <f>IFERROR(__xludf.DUMMYFUNCTION("""COMPUTED_VALUE"""),23130.0)</f>
        <v>23130</v>
      </c>
    </row>
    <row r="1228">
      <c r="A1228" s="2">
        <f>IFERROR(__xludf.DUMMYFUNCTION("""COMPUTED_VALUE"""),44678.64583333333)</f>
        <v>44678.64583</v>
      </c>
      <c r="B1228" s="1">
        <f>IFERROR(__xludf.DUMMYFUNCTION("""COMPUTED_VALUE"""),21200.0)</f>
        <v>21200</v>
      </c>
      <c r="C1228" s="1">
        <f>IFERROR(__xludf.DUMMYFUNCTION("""COMPUTED_VALUE"""),21250.0)</f>
        <v>21250</v>
      </c>
      <c r="D1228" s="1">
        <f>IFERROR(__xludf.DUMMYFUNCTION("""COMPUTED_VALUE"""),20600.0)</f>
        <v>20600</v>
      </c>
      <c r="E1228" s="1">
        <f>IFERROR(__xludf.DUMMYFUNCTION("""COMPUTED_VALUE"""),20750.0)</f>
        <v>20750</v>
      </c>
      <c r="F1228" s="1">
        <f>IFERROR(__xludf.DUMMYFUNCTION("""COMPUTED_VALUE"""),42198.0)</f>
        <v>42198</v>
      </c>
    </row>
    <row r="1229">
      <c r="A1229" s="2">
        <f>IFERROR(__xludf.DUMMYFUNCTION("""COMPUTED_VALUE"""),44679.64583333333)</f>
        <v>44679.64583</v>
      </c>
      <c r="B1229" s="1">
        <f>IFERROR(__xludf.DUMMYFUNCTION("""COMPUTED_VALUE"""),20750.0)</f>
        <v>20750</v>
      </c>
      <c r="C1229" s="1">
        <f>IFERROR(__xludf.DUMMYFUNCTION("""COMPUTED_VALUE"""),21000.0)</f>
        <v>21000</v>
      </c>
      <c r="D1229" s="1">
        <f>IFERROR(__xludf.DUMMYFUNCTION("""COMPUTED_VALUE"""),19950.0)</f>
        <v>19950</v>
      </c>
      <c r="E1229" s="1">
        <f>IFERROR(__xludf.DUMMYFUNCTION("""COMPUTED_VALUE"""),20300.0)</f>
        <v>20300</v>
      </c>
      <c r="F1229" s="1">
        <f>IFERROR(__xludf.DUMMYFUNCTION("""COMPUTED_VALUE"""),62036.0)</f>
        <v>62036</v>
      </c>
    </row>
    <row r="1230">
      <c r="A1230" s="2">
        <f>IFERROR(__xludf.DUMMYFUNCTION("""COMPUTED_VALUE"""),44680.64583333333)</f>
        <v>44680.64583</v>
      </c>
      <c r="B1230" s="1">
        <f>IFERROR(__xludf.DUMMYFUNCTION("""COMPUTED_VALUE"""),20450.0)</f>
        <v>20450</v>
      </c>
      <c r="C1230" s="1">
        <f>IFERROR(__xludf.DUMMYFUNCTION("""COMPUTED_VALUE"""),20450.0)</f>
        <v>20450</v>
      </c>
      <c r="D1230" s="1">
        <f>IFERROR(__xludf.DUMMYFUNCTION("""COMPUTED_VALUE"""),20050.0)</f>
        <v>20050</v>
      </c>
      <c r="E1230" s="1">
        <f>IFERROR(__xludf.DUMMYFUNCTION("""COMPUTED_VALUE"""),20300.0)</f>
        <v>20300</v>
      </c>
      <c r="F1230" s="1">
        <f>IFERROR(__xludf.DUMMYFUNCTION("""COMPUTED_VALUE"""),21201.0)</f>
        <v>21201</v>
      </c>
    </row>
    <row r="1231">
      <c r="A1231" s="2">
        <f>IFERROR(__xludf.DUMMYFUNCTION("""COMPUTED_VALUE"""),44683.64583333333)</f>
        <v>44683.64583</v>
      </c>
      <c r="B1231" s="1">
        <f>IFERROR(__xludf.DUMMYFUNCTION("""COMPUTED_VALUE"""),20000.0)</f>
        <v>20000</v>
      </c>
      <c r="C1231" s="1">
        <f>IFERROR(__xludf.DUMMYFUNCTION("""COMPUTED_VALUE"""),20200.0)</f>
        <v>20200</v>
      </c>
      <c r="D1231" s="1">
        <f>IFERROR(__xludf.DUMMYFUNCTION("""COMPUTED_VALUE"""),19950.0)</f>
        <v>19950</v>
      </c>
      <c r="E1231" s="1">
        <f>IFERROR(__xludf.DUMMYFUNCTION("""COMPUTED_VALUE"""),20200.0)</f>
        <v>20200</v>
      </c>
      <c r="F1231" s="1">
        <f>IFERROR(__xludf.DUMMYFUNCTION("""COMPUTED_VALUE"""),16417.0)</f>
        <v>16417</v>
      </c>
    </row>
    <row r="1232">
      <c r="A1232" s="2">
        <f>IFERROR(__xludf.DUMMYFUNCTION("""COMPUTED_VALUE"""),44684.64583333333)</f>
        <v>44684.64583</v>
      </c>
      <c r="B1232" s="1">
        <f>IFERROR(__xludf.DUMMYFUNCTION("""COMPUTED_VALUE"""),20200.0)</f>
        <v>20200</v>
      </c>
      <c r="C1232" s="1">
        <f>IFERROR(__xludf.DUMMYFUNCTION("""COMPUTED_VALUE"""),20450.0)</f>
        <v>20450</v>
      </c>
      <c r="D1232" s="1">
        <f>IFERROR(__xludf.DUMMYFUNCTION("""COMPUTED_VALUE"""),20150.0)</f>
        <v>20150</v>
      </c>
      <c r="E1232" s="1">
        <f>IFERROR(__xludf.DUMMYFUNCTION("""COMPUTED_VALUE"""),20400.0)</f>
        <v>20400</v>
      </c>
      <c r="F1232" s="1">
        <f>IFERROR(__xludf.DUMMYFUNCTION("""COMPUTED_VALUE"""),9281.0)</f>
        <v>9281</v>
      </c>
    </row>
    <row r="1233">
      <c r="A1233" s="2">
        <f>IFERROR(__xludf.DUMMYFUNCTION("""COMPUTED_VALUE"""),44685.64583333333)</f>
        <v>44685.64583</v>
      </c>
      <c r="B1233" s="1">
        <f>IFERROR(__xludf.DUMMYFUNCTION("""COMPUTED_VALUE"""),20450.0)</f>
        <v>20450</v>
      </c>
      <c r="C1233" s="1">
        <f>IFERROR(__xludf.DUMMYFUNCTION("""COMPUTED_VALUE"""),20450.0)</f>
        <v>20450</v>
      </c>
      <c r="D1233" s="1">
        <f>IFERROR(__xludf.DUMMYFUNCTION("""COMPUTED_VALUE"""),19950.0)</f>
        <v>19950</v>
      </c>
      <c r="E1233" s="1">
        <f>IFERROR(__xludf.DUMMYFUNCTION("""COMPUTED_VALUE"""),20300.0)</f>
        <v>20300</v>
      </c>
      <c r="F1233" s="1">
        <f>IFERROR(__xludf.DUMMYFUNCTION("""COMPUTED_VALUE"""),26272.0)</f>
        <v>26272</v>
      </c>
    </row>
    <row r="1234">
      <c r="A1234" s="2">
        <f>IFERROR(__xludf.DUMMYFUNCTION("""COMPUTED_VALUE"""),44687.64583333333)</f>
        <v>44687.64583</v>
      </c>
      <c r="B1234" s="1">
        <f>IFERROR(__xludf.DUMMYFUNCTION("""COMPUTED_VALUE"""),20050.0)</f>
        <v>20050</v>
      </c>
      <c r="C1234" s="1">
        <f>IFERROR(__xludf.DUMMYFUNCTION("""COMPUTED_VALUE"""),20500.0)</f>
        <v>20500</v>
      </c>
      <c r="D1234" s="1">
        <f>IFERROR(__xludf.DUMMYFUNCTION("""COMPUTED_VALUE"""),19900.0)</f>
        <v>19900</v>
      </c>
      <c r="E1234" s="1">
        <f>IFERROR(__xludf.DUMMYFUNCTION("""COMPUTED_VALUE"""),20450.0)</f>
        <v>20450</v>
      </c>
      <c r="F1234" s="1">
        <f>IFERROR(__xludf.DUMMYFUNCTION("""COMPUTED_VALUE"""),21752.0)</f>
        <v>21752</v>
      </c>
    </row>
    <row r="1235">
      <c r="A1235" s="2">
        <f>IFERROR(__xludf.DUMMYFUNCTION("""COMPUTED_VALUE"""),44690.64583333333)</f>
        <v>44690.64583</v>
      </c>
      <c r="B1235" s="1">
        <f>IFERROR(__xludf.DUMMYFUNCTION("""COMPUTED_VALUE"""),20150.0)</f>
        <v>20150</v>
      </c>
      <c r="C1235" s="1">
        <f>IFERROR(__xludf.DUMMYFUNCTION("""COMPUTED_VALUE"""),20300.0)</f>
        <v>20300</v>
      </c>
      <c r="D1235" s="1">
        <f>IFERROR(__xludf.DUMMYFUNCTION("""COMPUTED_VALUE"""),19750.0)</f>
        <v>19750</v>
      </c>
      <c r="E1235" s="1">
        <f>IFERROR(__xludf.DUMMYFUNCTION("""COMPUTED_VALUE"""),20200.0)</f>
        <v>20200</v>
      </c>
      <c r="F1235" s="1">
        <f>IFERROR(__xludf.DUMMYFUNCTION("""COMPUTED_VALUE"""),50428.0)</f>
        <v>50428</v>
      </c>
    </row>
    <row r="1236">
      <c r="A1236" s="2">
        <f>IFERROR(__xludf.DUMMYFUNCTION("""COMPUTED_VALUE"""),44691.64583333333)</f>
        <v>44691.64583</v>
      </c>
      <c r="B1236" s="1">
        <f>IFERROR(__xludf.DUMMYFUNCTION("""COMPUTED_VALUE"""),19600.0)</f>
        <v>19600</v>
      </c>
      <c r="C1236" s="1">
        <f>IFERROR(__xludf.DUMMYFUNCTION("""COMPUTED_VALUE"""),20200.0)</f>
        <v>20200</v>
      </c>
      <c r="D1236" s="1">
        <f>IFERROR(__xludf.DUMMYFUNCTION("""COMPUTED_VALUE"""),19550.0)</f>
        <v>19550</v>
      </c>
      <c r="E1236" s="1">
        <f>IFERROR(__xludf.DUMMYFUNCTION("""COMPUTED_VALUE"""),20200.0)</f>
        <v>20200</v>
      </c>
      <c r="F1236" s="1">
        <f>IFERROR(__xludf.DUMMYFUNCTION("""COMPUTED_VALUE"""),21577.0)</f>
        <v>21577</v>
      </c>
    </row>
    <row r="1237">
      <c r="A1237" s="2">
        <f>IFERROR(__xludf.DUMMYFUNCTION("""COMPUTED_VALUE"""),44692.64583333333)</f>
        <v>44692.64583</v>
      </c>
      <c r="B1237" s="1">
        <f>IFERROR(__xludf.DUMMYFUNCTION("""COMPUTED_VALUE"""),20050.0)</f>
        <v>20050</v>
      </c>
      <c r="C1237" s="1">
        <f>IFERROR(__xludf.DUMMYFUNCTION("""COMPUTED_VALUE"""),20350.0)</f>
        <v>20350</v>
      </c>
      <c r="D1237" s="1">
        <f>IFERROR(__xludf.DUMMYFUNCTION("""COMPUTED_VALUE"""),19850.0)</f>
        <v>19850</v>
      </c>
      <c r="E1237" s="1">
        <f>IFERROR(__xludf.DUMMYFUNCTION("""COMPUTED_VALUE"""),20150.0)</f>
        <v>20150</v>
      </c>
      <c r="F1237" s="1">
        <f>IFERROR(__xludf.DUMMYFUNCTION("""COMPUTED_VALUE"""),17155.0)</f>
        <v>17155</v>
      </c>
    </row>
    <row r="1238">
      <c r="A1238" s="2">
        <f>IFERROR(__xludf.DUMMYFUNCTION("""COMPUTED_VALUE"""),44693.64583333333)</f>
        <v>44693.64583</v>
      </c>
      <c r="B1238" s="1">
        <f>IFERROR(__xludf.DUMMYFUNCTION("""COMPUTED_VALUE"""),19850.0)</f>
        <v>19850</v>
      </c>
      <c r="C1238" s="1">
        <f>IFERROR(__xludf.DUMMYFUNCTION("""COMPUTED_VALUE"""),20250.0)</f>
        <v>20250</v>
      </c>
      <c r="D1238" s="1">
        <f>IFERROR(__xludf.DUMMYFUNCTION("""COMPUTED_VALUE"""),19850.0)</f>
        <v>19850</v>
      </c>
      <c r="E1238" s="1">
        <f>IFERROR(__xludf.DUMMYFUNCTION("""COMPUTED_VALUE"""),20150.0)</f>
        <v>20150</v>
      </c>
      <c r="F1238" s="1">
        <f>IFERROR(__xludf.DUMMYFUNCTION("""COMPUTED_VALUE"""),11388.0)</f>
        <v>11388</v>
      </c>
    </row>
    <row r="1239">
      <c r="A1239" s="2">
        <f>IFERROR(__xludf.DUMMYFUNCTION("""COMPUTED_VALUE"""),44694.64583333333)</f>
        <v>44694.64583</v>
      </c>
      <c r="B1239" s="1">
        <f>IFERROR(__xludf.DUMMYFUNCTION("""COMPUTED_VALUE"""),19900.0)</f>
        <v>19900</v>
      </c>
      <c r="C1239" s="1">
        <f>IFERROR(__xludf.DUMMYFUNCTION("""COMPUTED_VALUE"""),20450.0)</f>
        <v>20450</v>
      </c>
      <c r="D1239" s="1">
        <f>IFERROR(__xludf.DUMMYFUNCTION("""COMPUTED_VALUE"""),19900.0)</f>
        <v>19900</v>
      </c>
      <c r="E1239" s="1">
        <f>IFERROR(__xludf.DUMMYFUNCTION("""COMPUTED_VALUE"""),20300.0)</f>
        <v>20300</v>
      </c>
      <c r="F1239" s="1">
        <f>IFERROR(__xludf.DUMMYFUNCTION("""COMPUTED_VALUE"""),10774.0)</f>
        <v>10774</v>
      </c>
    </row>
    <row r="1240">
      <c r="A1240" s="2">
        <f>IFERROR(__xludf.DUMMYFUNCTION("""COMPUTED_VALUE"""),44697.64583333333)</f>
        <v>44697.64583</v>
      </c>
      <c r="B1240" s="1">
        <f>IFERROR(__xludf.DUMMYFUNCTION("""COMPUTED_VALUE"""),20200.0)</f>
        <v>20200</v>
      </c>
      <c r="C1240" s="1">
        <f>IFERROR(__xludf.DUMMYFUNCTION("""COMPUTED_VALUE"""),20300.0)</f>
        <v>20300</v>
      </c>
      <c r="D1240" s="1">
        <f>IFERROR(__xludf.DUMMYFUNCTION("""COMPUTED_VALUE"""),20050.0)</f>
        <v>20050</v>
      </c>
      <c r="E1240" s="1">
        <f>IFERROR(__xludf.DUMMYFUNCTION("""COMPUTED_VALUE"""),20250.0)</f>
        <v>20250</v>
      </c>
      <c r="F1240" s="1">
        <f>IFERROR(__xludf.DUMMYFUNCTION("""COMPUTED_VALUE"""),6630.0)</f>
        <v>6630</v>
      </c>
    </row>
    <row r="1241">
      <c r="A1241" s="2">
        <f>IFERROR(__xludf.DUMMYFUNCTION("""COMPUTED_VALUE"""),44698.64583333333)</f>
        <v>44698.64583</v>
      </c>
      <c r="B1241" s="1">
        <f>IFERROR(__xludf.DUMMYFUNCTION("""COMPUTED_VALUE"""),20000.0)</f>
        <v>20000</v>
      </c>
      <c r="C1241" s="1">
        <f>IFERROR(__xludf.DUMMYFUNCTION("""COMPUTED_VALUE"""),20150.0)</f>
        <v>20150</v>
      </c>
      <c r="D1241" s="1">
        <f>IFERROR(__xludf.DUMMYFUNCTION("""COMPUTED_VALUE"""),19750.0)</f>
        <v>19750</v>
      </c>
      <c r="E1241" s="1">
        <f>IFERROR(__xludf.DUMMYFUNCTION("""COMPUTED_VALUE"""),20000.0)</f>
        <v>20000</v>
      </c>
      <c r="F1241" s="1">
        <f>IFERROR(__xludf.DUMMYFUNCTION("""COMPUTED_VALUE"""),41888.0)</f>
        <v>41888</v>
      </c>
    </row>
    <row r="1242">
      <c r="A1242" s="2">
        <f>IFERROR(__xludf.DUMMYFUNCTION("""COMPUTED_VALUE"""),44699.64583333333)</f>
        <v>44699.64583</v>
      </c>
      <c r="B1242" s="1">
        <f>IFERROR(__xludf.DUMMYFUNCTION("""COMPUTED_VALUE"""),20100.0)</f>
        <v>20100</v>
      </c>
      <c r="C1242" s="1">
        <f>IFERROR(__xludf.DUMMYFUNCTION("""COMPUTED_VALUE"""),20100.0)</f>
        <v>20100</v>
      </c>
      <c r="D1242" s="1">
        <f>IFERROR(__xludf.DUMMYFUNCTION("""COMPUTED_VALUE"""),19850.0)</f>
        <v>19850</v>
      </c>
      <c r="E1242" s="1">
        <f>IFERROR(__xludf.DUMMYFUNCTION("""COMPUTED_VALUE"""),20050.0)</f>
        <v>20050</v>
      </c>
      <c r="F1242" s="1">
        <f>IFERROR(__xludf.DUMMYFUNCTION("""COMPUTED_VALUE"""),18287.0)</f>
        <v>18287</v>
      </c>
    </row>
    <row r="1243">
      <c r="A1243" s="2">
        <f>IFERROR(__xludf.DUMMYFUNCTION("""COMPUTED_VALUE"""),44700.64583333333)</f>
        <v>44700.64583</v>
      </c>
      <c r="B1243" s="1">
        <f>IFERROR(__xludf.DUMMYFUNCTION("""COMPUTED_VALUE"""),19750.0)</f>
        <v>19750</v>
      </c>
      <c r="C1243" s="1">
        <f>IFERROR(__xludf.DUMMYFUNCTION("""COMPUTED_VALUE"""),20000.0)</f>
        <v>20000</v>
      </c>
      <c r="D1243" s="1">
        <f>IFERROR(__xludf.DUMMYFUNCTION("""COMPUTED_VALUE"""),19750.0)</f>
        <v>19750</v>
      </c>
      <c r="E1243" s="1">
        <f>IFERROR(__xludf.DUMMYFUNCTION("""COMPUTED_VALUE"""),19950.0)</f>
        <v>19950</v>
      </c>
      <c r="F1243" s="1">
        <f>IFERROR(__xludf.DUMMYFUNCTION("""COMPUTED_VALUE"""),12398.0)</f>
        <v>12398</v>
      </c>
    </row>
    <row r="1244">
      <c r="A1244" s="2">
        <f>IFERROR(__xludf.DUMMYFUNCTION("""COMPUTED_VALUE"""),44701.64583333333)</f>
        <v>44701.64583</v>
      </c>
      <c r="B1244" s="1">
        <f>IFERROR(__xludf.DUMMYFUNCTION("""COMPUTED_VALUE"""),20950.0)</f>
        <v>20950</v>
      </c>
      <c r="C1244" s="1">
        <f>IFERROR(__xludf.DUMMYFUNCTION("""COMPUTED_VALUE"""),21800.0)</f>
        <v>21800</v>
      </c>
      <c r="D1244" s="1">
        <f>IFERROR(__xludf.DUMMYFUNCTION("""COMPUTED_VALUE"""),20650.0)</f>
        <v>20650</v>
      </c>
      <c r="E1244" s="1">
        <f>IFERROR(__xludf.DUMMYFUNCTION("""COMPUTED_VALUE"""),21000.0)</f>
        <v>21000</v>
      </c>
      <c r="F1244" s="1">
        <f>IFERROR(__xludf.DUMMYFUNCTION("""COMPUTED_VALUE"""),106900.0)</f>
        <v>106900</v>
      </c>
    </row>
    <row r="1245">
      <c r="A1245" s="2">
        <f>IFERROR(__xludf.DUMMYFUNCTION("""COMPUTED_VALUE"""),44704.64583333333)</f>
        <v>44704.64583</v>
      </c>
      <c r="B1245" s="1">
        <f>IFERROR(__xludf.DUMMYFUNCTION("""COMPUTED_VALUE"""),21050.0)</f>
        <v>21050</v>
      </c>
      <c r="C1245" s="1">
        <f>IFERROR(__xludf.DUMMYFUNCTION("""COMPUTED_VALUE"""),21150.0)</f>
        <v>21150</v>
      </c>
      <c r="D1245" s="1">
        <f>IFERROR(__xludf.DUMMYFUNCTION("""COMPUTED_VALUE"""),20500.0)</f>
        <v>20500</v>
      </c>
      <c r="E1245" s="1">
        <f>IFERROR(__xludf.DUMMYFUNCTION("""COMPUTED_VALUE"""),20900.0)</f>
        <v>20900</v>
      </c>
      <c r="F1245" s="1">
        <f>IFERROR(__xludf.DUMMYFUNCTION("""COMPUTED_VALUE"""),26410.0)</f>
        <v>26410</v>
      </c>
    </row>
    <row r="1246">
      <c r="A1246" s="2">
        <f>IFERROR(__xludf.DUMMYFUNCTION("""COMPUTED_VALUE"""),44705.64583333333)</f>
        <v>44705.64583</v>
      </c>
      <c r="B1246" s="1">
        <f>IFERROR(__xludf.DUMMYFUNCTION("""COMPUTED_VALUE"""),20650.0)</f>
        <v>20650</v>
      </c>
      <c r="C1246" s="1">
        <f>IFERROR(__xludf.DUMMYFUNCTION("""COMPUTED_VALUE"""),20700.0)</f>
        <v>20700</v>
      </c>
      <c r="D1246" s="1">
        <f>IFERROR(__xludf.DUMMYFUNCTION("""COMPUTED_VALUE"""),20150.0)</f>
        <v>20150</v>
      </c>
      <c r="E1246" s="1">
        <f>IFERROR(__xludf.DUMMYFUNCTION("""COMPUTED_VALUE"""),20400.0)</f>
        <v>20400</v>
      </c>
      <c r="F1246" s="1">
        <f>IFERROR(__xludf.DUMMYFUNCTION("""COMPUTED_VALUE"""),22111.0)</f>
        <v>22111</v>
      </c>
    </row>
    <row r="1247">
      <c r="A1247" s="2">
        <f>IFERROR(__xludf.DUMMYFUNCTION("""COMPUTED_VALUE"""),44706.64583333333)</f>
        <v>44706.64583</v>
      </c>
      <c r="B1247" s="1">
        <f>IFERROR(__xludf.DUMMYFUNCTION("""COMPUTED_VALUE"""),20300.0)</f>
        <v>20300</v>
      </c>
      <c r="C1247" s="1">
        <f>IFERROR(__xludf.DUMMYFUNCTION("""COMPUTED_VALUE"""),20400.0)</f>
        <v>20400</v>
      </c>
      <c r="D1247" s="1">
        <f>IFERROR(__xludf.DUMMYFUNCTION("""COMPUTED_VALUE"""),20000.0)</f>
        <v>20000</v>
      </c>
      <c r="E1247" s="1">
        <f>IFERROR(__xludf.DUMMYFUNCTION("""COMPUTED_VALUE"""),20150.0)</f>
        <v>20150</v>
      </c>
      <c r="F1247" s="1">
        <f>IFERROR(__xludf.DUMMYFUNCTION("""COMPUTED_VALUE"""),16460.0)</f>
        <v>16460</v>
      </c>
    </row>
    <row r="1248">
      <c r="A1248" s="2">
        <f>IFERROR(__xludf.DUMMYFUNCTION("""COMPUTED_VALUE"""),44707.64583333333)</f>
        <v>44707.64583</v>
      </c>
      <c r="B1248" s="1">
        <f>IFERROR(__xludf.DUMMYFUNCTION("""COMPUTED_VALUE"""),20200.0)</f>
        <v>20200</v>
      </c>
      <c r="C1248" s="1">
        <f>IFERROR(__xludf.DUMMYFUNCTION("""COMPUTED_VALUE"""),20500.0)</f>
        <v>20500</v>
      </c>
      <c r="D1248" s="1">
        <f>IFERROR(__xludf.DUMMYFUNCTION("""COMPUTED_VALUE"""),20050.0)</f>
        <v>20050</v>
      </c>
      <c r="E1248" s="1">
        <f>IFERROR(__xludf.DUMMYFUNCTION("""COMPUTED_VALUE"""),20300.0)</f>
        <v>20300</v>
      </c>
      <c r="F1248" s="1">
        <f>IFERROR(__xludf.DUMMYFUNCTION("""COMPUTED_VALUE"""),23877.0)</f>
        <v>23877</v>
      </c>
    </row>
    <row r="1249">
      <c r="A1249" s="2">
        <f>IFERROR(__xludf.DUMMYFUNCTION("""COMPUTED_VALUE"""),44708.64583333333)</f>
        <v>44708.64583</v>
      </c>
      <c r="B1249" s="1">
        <f>IFERROR(__xludf.DUMMYFUNCTION("""COMPUTED_VALUE"""),20350.0)</f>
        <v>20350</v>
      </c>
      <c r="C1249" s="1">
        <f>IFERROR(__xludf.DUMMYFUNCTION("""COMPUTED_VALUE"""),20400.0)</f>
        <v>20400</v>
      </c>
      <c r="D1249" s="1">
        <f>IFERROR(__xludf.DUMMYFUNCTION("""COMPUTED_VALUE"""),19900.0)</f>
        <v>19900</v>
      </c>
      <c r="E1249" s="1">
        <f>IFERROR(__xludf.DUMMYFUNCTION("""COMPUTED_VALUE"""),20050.0)</f>
        <v>20050</v>
      </c>
      <c r="F1249" s="1">
        <f>IFERROR(__xludf.DUMMYFUNCTION("""COMPUTED_VALUE"""),31257.0)</f>
        <v>31257</v>
      </c>
    </row>
    <row r="1250">
      <c r="A1250" s="2">
        <f>IFERROR(__xludf.DUMMYFUNCTION("""COMPUTED_VALUE"""),44711.64583333333)</f>
        <v>44711.64583</v>
      </c>
      <c r="B1250" s="1">
        <f>IFERROR(__xludf.DUMMYFUNCTION("""COMPUTED_VALUE"""),20200.0)</f>
        <v>20200</v>
      </c>
      <c r="C1250" s="1">
        <f>IFERROR(__xludf.DUMMYFUNCTION("""COMPUTED_VALUE"""),20200.0)</f>
        <v>20200</v>
      </c>
      <c r="D1250" s="1">
        <f>IFERROR(__xludf.DUMMYFUNCTION("""COMPUTED_VALUE"""),19950.0)</f>
        <v>19950</v>
      </c>
      <c r="E1250" s="1">
        <f>IFERROR(__xludf.DUMMYFUNCTION("""COMPUTED_VALUE"""),19950.0)</f>
        <v>19950</v>
      </c>
      <c r="F1250" s="1">
        <f>IFERROR(__xludf.DUMMYFUNCTION("""COMPUTED_VALUE"""),24885.0)</f>
        <v>24885</v>
      </c>
    </row>
    <row r="1251">
      <c r="A1251" s="2">
        <f>IFERROR(__xludf.DUMMYFUNCTION("""COMPUTED_VALUE"""),44712.64583333333)</f>
        <v>44712.64583</v>
      </c>
      <c r="B1251" s="1">
        <f>IFERROR(__xludf.DUMMYFUNCTION("""COMPUTED_VALUE"""),19800.0)</f>
        <v>19800</v>
      </c>
      <c r="C1251" s="1">
        <f>IFERROR(__xludf.DUMMYFUNCTION("""COMPUTED_VALUE"""),20200.0)</f>
        <v>20200</v>
      </c>
      <c r="D1251" s="1">
        <f>IFERROR(__xludf.DUMMYFUNCTION("""COMPUTED_VALUE"""),19800.0)</f>
        <v>19800</v>
      </c>
      <c r="E1251" s="1">
        <f>IFERROR(__xludf.DUMMYFUNCTION("""COMPUTED_VALUE"""),19950.0)</f>
        <v>19950</v>
      </c>
      <c r="F1251" s="1">
        <f>IFERROR(__xludf.DUMMYFUNCTION("""COMPUTED_VALUE"""),22657.0)</f>
        <v>22657</v>
      </c>
    </row>
    <row r="1252">
      <c r="A1252" s="2">
        <f>IFERROR(__xludf.DUMMYFUNCTION("""COMPUTED_VALUE"""),44714.64583333333)</f>
        <v>44714.64583</v>
      </c>
      <c r="B1252" s="1">
        <f>IFERROR(__xludf.DUMMYFUNCTION("""COMPUTED_VALUE"""),20000.0)</f>
        <v>20000</v>
      </c>
      <c r="C1252" s="1">
        <f>IFERROR(__xludf.DUMMYFUNCTION("""COMPUTED_VALUE"""),20300.0)</f>
        <v>20300</v>
      </c>
      <c r="D1252" s="1">
        <f>IFERROR(__xludf.DUMMYFUNCTION("""COMPUTED_VALUE"""),20000.0)</f>
        <v>20000</v>
      </c>
      <c r="E1252" s="1">
        <f>IFERROR(__xludf.DUMMYFUNCTION("""COMPUTED_VALUE"""),20200.0)</f>
        <v>20200</v>
      </c>
      <c r="F1252" s="1">
        <f>IFERROR(__xludf.DUMMYFUNCTION("""COMPUTED_VALUE"""),6117.0)</f>
        <v>6117</v>
      </c>
    </row>
    <row r="1253">
      <c r="A1253" s="2">
        <f>IFERROR(__xludf.DUMMYFUNCTION("""COMPUTED_VALUE"""),44715.64583333333)</f>
        <v>44715.64583</v>
      </c>
      <c r="B1253" s="1">
        <f>IFERROR(__xludf.DUMMYFUNCTION("""COMPUTED_VALUE"""),20300.0)</f>
        <v>20300</v>
      </c>
      <c r="C1253" s="1">
        <f>IFERROR(__xludf.DUMMYFUNCTION("""COMPUTED_VALUE"""),20350.0)</f>
        <v>20350</v>
      </c>
      <c r="D1253" s="1">
        <f>IFERROR(__xludf.DUMMYFUNCTION("""COMPUTED_VALUE"""),19800.0)</f>
        <v>19800</v>
      </c>
      <c r="E1253" s="1">
        <f>IFERROR(__xludf.DUMMYFUNCTION("""COMPUTED_VALUE"""),20000.0)</f>
        <v>20000</v>
      </c>
      <c r="F1253" s="1">
        <f>IFERROR(__xludf.DUMMYFUNCTION("""COMPUTED_VALUE"""),27478.0)</f>
        <v>27478</v>
      </c>
    </row>
    <row r="1254">
      <c r="A1254" s="2">
        <f>IFERROR(__xludf.DUMMYFUNCTION("""COMPUTED_VALUE"""),44719.64583333333)</f>
        <v>44719.64583</v>
      </c>
      <c r="B1254" s="1">
        <f>IFERROR(__xludf.DUMMYFUNCTION("""COMPUTED_VALUE"""),19850.0)</f>
        <v>19850</v>
      </c>
      <c r="C1254" s="1">
        <f>IFERROR(__xludf.DUMMYFUNCTION("""COMPUTED_VALUE"""),20200.0)</f>
        <v>20200</v>
      </c>
      <c r="D1254" s="1">
        <f>IFERROR(__xludf.DUMMYFUNCTION("""COMPUTED_VALUE"""),19350.0)</f>
        <v>19350</v>
      </c>
      <c r="E1254" s="1">
        <f>IFERROR(__xludf.DUMMYFUNCTION("""COMPUTED_VALUE"""),20150.0)</f>
        <v>20150</v>
      </c>
      <c r="F1254" s="1">
        <f>IFERROR(__xludf.DUMMYFUNCTION("""COMPUTED_VALUE"""),48338.0)</f>
        <v>48338</v>
      </c>
    </row>
    <row r="1255">
      <c r="A1255" s="2">
        <f>IFERROR(__xludf.DUMMYFUNCTION("""COMPUTED_VALUE"""),44720.64583333333)</f>
        <v>44720.64583</v>
      </c>
      <c r="B1255" s="1">
        <f>IFERROR(__xludf.DUMMYFUNCTION("""COMPUTED_VALUE"""),19950.0)</f>
        <v>19950</v>
      </c>
      <c r="C1255" s="1">
        <f>IFERROR(__xludf.DUMMYFUNCTION("""COMPUTED_VALUE"""),20100.0)</f>
        <v>20100</v>
      </c>
      <c r="D1255" s="1">
        <f>IFERROR(__xludf.DUMMYFUNCTION("""COMPUTED_VALUE"""),19750.0)</f>
        <v>19750</v>
      </c>
      <c r="E1255" s="1">
        <f>IFERROR(__xludf.DUMMYFUNCTION("""COMPUTED_VALUE"""),20100.0)</f>
        <v>20100</v>
      </c>
      <c r="F1255" s="1">
        <f>IFERROR(__xludf.DUMMYFUNCTION("""COMPUTED_VALUE"""),17492.0)</f>
        <v>17492</v>
      </c>
    </row>
    <row r="1256">
      <c r="A1256" s="2">
        <f>IFERROR(__xludf.DUMMYFUNCTION("""COMPUTED_VALUE"""),44721.64583333333)</f>
        <v>44721.64583</v>
      </c>
      <c r="B1256" s="1">
        <f>IFERROR(__xludf.DUMMYFUNCTION("""COMPUTED_VALUE"""),19900.0)</f>
        <v>19900</v>
      </c>
      <c r="C1256" s="1">
        <f>IFERROR(__xludf.DUMMYFUNCTION("""COMPUTED_VALUE"""),20100.0)</f>
        <v>20100</v>
      </c>
      <c r="D1256" s="1">
        <f>IFERROR(__xludf.DUMMYFUNCTION("""COMPUTED_VALUE"""),19600.0)</f>
        <v>19600</v>
      </c>
      <c r="E1256" s="1">
        <f>IFERROR(__xludf.DUMMYFUNCTION("""COMPUTED_VALUE"""),19650.0)</f>
        <v>19650</v>
      </c>
      <c r="F1256" s="1">
        <f>IFERROR(__xludf.DUMMYFUNCTION("""COMPUTED_VALUE"""),16265.0)</f>
        <v>16265</v>
      </c>
    </row>
    <row r="1257">
      <c r="A1257" s="2">
        <f>IFERROR(__xludf.DUMMYFUNCTION("""COMPUTED_VALUE"""),44722.64583333333)</f>
        <v>44722.64583</v>
      </c>
      <c r="B1257" s="1">
        <f>IFERROR(__xludf.DUMMYFUNCTION("""COMPUTED_VALUE"""),19600.0)</f>
        <v>19600</v>
      </c>
      <c r="C1257" s="1">
        <f>IFERROR(__xludf.DUMMYFUNCTION("""COMPUTED_VALUE"""),20000.0)</f>
        <v>20000</v>
      </c>
      <c r="D1257" s="1">
        <f>IFERROR(__xludf.DUMMYFUNCTION("""COMPUTED_VALUE"""),19550.0)</f>
        <v>19550</v>
      </c>
      <c r="E1257" s="1">
        <f>IFERROR(__xludf.DUMMYFUNCTION("""COMPUTED_VALUE"""),20000.0)</f>
        <v>20000</v>
      </c>
      <c r="F1257" s="1">
        <f>IFERROR(__xludf.DUMMYFUNCTION("""COMPUTED_VALUE"""),8153.0)</f>
        <v>8153</v>
      </c>
    </row>
    <row r="1258">
      <c r="A1258" s="2">
        <f>IFERROR(__xludf.DUMMYFUNCTION("""COMPUTED_VALUE"""),44725.64583333333)</f>
        <v>44725.64583</v>
      </c>
      <c r="B1258" s="1">
        <f>IFERROR(__xludf.DUMMYFUNCTION("""COMPUTED_VALUE"""),19650.0)</f>
        <v>19650</v>
      </c>
      <c r="C1258" s="1">
        <f>IFERROR(__xludf.DUMMYFUNCTION("""COMPUTED_VALUE"""),19700.0)</f>
        <v>19700</v>
      </c>
      <c r="D1258" s="1">
        <f>IFERROR(__xludf.DUMMYFUNCTION("""COMPUTED_VALUE"""),19000.0)</f>
        <v>19000</v>
      </c>
      <c r="E1258" s="1">
        <f>IFERROR(__xludf.DUMMYFUNCTION("""COMPUTED_VALUE"""),19500.0)</f>
        <v>19500</v>
      </c>
      <c r="F1258" s="1">
        <f>IFERROR(__xludf.DUMMYFUNCTION("""COMPUTED_VALUE"""),37238.0)</f>
        <v>37238</v>
      </c>
    </row>
    <row r="1259">
      <c r="A1259" s="2">
        <f>IFERROR(__xludf.DUMMYFUNCTION("""COMPUTED_VALUE"""),44726.64583333333)</f>
        <v>44726.64583</v>
      </c>
      <c r="B1259" s="1">
        <f>IFERROR(__xludf.DUMMYFUNCTION("""COMPUTED_VALUE"""),19000.0)</f>
        <v>19000</v>
      </c>
      <c r="C1259" s="1">
        <f>IFERROR(__xludf.DUMMYFUNCTION("""COMPUTED_VALUE"""),19450.0)</f>
        <v>19450</v>
      </c>
      <c r="D1259" s="1">
        <f>IFERROR(__xludf.DUMMYFUNCTION("""COMPUTED_VALUE"""),18800.0)</f>
        <v>18800</v>
      </c>
      <c r="E1259" s="1">
        <f>IFERROR(__xludf.DUMMYFUNCTION("""COMPUTED_VALUE"""),19100.0)</f>
        <v>19100</v>
      </c>
      <c r="F1259" s="1">
        <f>IFERROR(__xludf.DUMMYFUNCTION("""COMPUTED_VALUE"""),47827.0)</f>
        <v>47827</v>
      </c>
    </row>
    <row r="1260">
      <c r="A1260" s="2">
        <f>IFERROR(__xludf.DUMMYFUNCTION("""COMPUTED_VALUE"""),44727.64583333333)</f>
        <v>44727.64583</v>
      </c>
      <c r="B1260" s="1">
        <f>IFERROR(__xludf.DUMMYFUNCTION("""COMPUTED_VALUE"""),19150.0)</f>
        <v>19150</v>
      </c>
      <c r="C1260" s="1">
        <f>IFERROR(__xludf.DUMMYFUNCTION("""COMPUTED_VALUE"""),19200.0)</f>
        <v>19200</v>
      </c>
      <c r="D1260" s="1">
        <f>IFERROR(__xludf.DUMMYFUNCTION("""COMPUTED_VALUE"""),18350.0)</f>
        <v>18350</v>
      </c>
      <c r="E1260" s="1">
        <f>IFERROR(__xludf.DUMMYFUNCTION("""COMPUTED_VALUE"""),18850.0)</f>
        <v>18850</v>
      </c>
      <c r="F1260" s="1">
        <f>IFERROR(__xludf.DUMMYFUNCTION("""COMPUTED_VALUE"""),42554.0)</f>
        <v>42554</v>
      </c>
    </row>
    <row r="1261">
      <c r="A1261" s="2">
        <f>IFERROR(__xludf.DUMMYFUNCTION("""COMPUTED_VALUE"""),44728.64583333333)</f>
        <v>44728.64583</v>
      </c>
      <c r="B1261" s="1">
        <f>IFERROR(__xludf.DUMMYFUNCTION("""COMPUTED_VALUE"""),19000.0)</f>
        <v>19000</v>
      </c>
      <c r="C1261" s="1">
        <f>IFERROR(__xludf.DUMMYFUNCTION("""COMPUTED_VALUE"""),19100.0)</f>
        <v>19100</v>
      </c>
      <c r="D1261" s="1">
        <f>IFERROR(__xludf.DUMMYFUNCTION("""COMPUTED_VALUE"""),18000.0)</f>
        <v>18000</v>
      </c>
      <c r="E1261" s="1">
        <f>IFERROR(__xludf.DUMMYFUNCTION("""COMPUTED_VALUE"""),19050.0)</f>
        <v>19050</v>
      </c>
      <c r="F1261" s="1">
        <f>IFERROR(__xludf.DUMMYFUNCTION("""COMPUTED_VALUE"""),73813.0)</f>
        <v>73813</v>
      </c>
    </row>
    <row r="1262">
      <c r="A1262" s="2">
        <f>IFERROR(__xludf.DUMMYFUNCTION("""COMPUTED_VALUE"""),44729.64583333333)</f>
        <v>44729.64583</v>
      </c>
      <c r="B1262" s="1">
        <f>IFERROR(__xludf.DUMMYFUNCTION("""COMPUTED_VALUE"""),18250.0)</f>
        <v>18250</v>
      </c>
      <c r="C1262" s="1">
        <f>IFERROR(__xludf.DUMMYFUNCTION("""COMPUTED_VALUE"""),19150.0)</f>
        <v>19150</v>
      </c>
      <c r="D1262" s="1">
        <f>IFERROR(__xludf.DUMMYFUNCTION("""COMPUTED_VALUE"""),18200.0)</f>
        <v>18200</v>
      </c>
      <c r="E1262" s="1">
        <f>IFERROR(__xludf.DUMMYFUNCTION("""COMPUTED_VALUE"""),19150.0)</f>
        <v>19150</v>
      </c>
      <c r="F1262" s="1">
        <f>IFERROR(__xludf.DUMMYFUNCTION("""COMPUTED_VALUE"""),12502.0)</f>
        <v>12502</v>
      </c>
    </row>
    <row r="1263">
      <c r="A1263" s="2">
        <f>IFERROR(__xludf.DUMMYFUNCTION("""COMPUTED_VALUE"""),44732.64583333333)</f>
        <v>44732.64583</v>
      </c>
      <c r="B1263" s="1">
        <f>IFERROR(__xludf.DUMMYFUNCTION("""COMPUTED_VALUE"""),19150.0)</f>
        <v>19150</v>
      </c>
      <c r="C1263" s="1">
        <f>IFERROR(__xludf.DUMMYFUNCTION("""COMPUTED_VALUE"""),19150.0)</f>
        <v>19150</v>
      </c>
      <c r="D1263" s="1">
        <f>IFERROR(__xludf.DUMMYFUNCTION("""COMPUTED_VALUE"""),18000.0)</f>
        <v>18000</v>
      </c>
      <c r="E1263" s="1">
        <f>IFERROR(__xludf.DUMMYFUNCTION("""COMPUTED_VALUE"""),18600.0)</f>
        <v>18600</v>
      </c>
      <c r="F1263" s="1">
        <f>IFERROR(__xludf.DUMMYFUNCTION("""COMPUTED_VALUE"""),41846.0)</f>
        <v>41846</v>
      </c>
    </row>
    <row r="1264">
      <c r="A1264" s="2">
        <f>IFERROR(__xludf.DUMMYFUNCTION("""COMPUTED_VALUE"""),44733.64583333333)</f>
        <v>44733.64583</v>
      </c>
      <c r="B1264" s="1">
        <f>IFERROR(__xludf.DUMMYFUNCTION("""COMPUTED_VALUE"""),18600.0)</f>
        <v>18600</v>
      </c>
      <c r="C1264" s="1">
        <f>IFERROR(__xludf.DUMMYFUNCTION("""COMPUTED_VALUE"""),18850.0)</f>
        <v>18850</v>
      </c>
      <c r="D1264" s="1">
        <f>IFERROR(__xludf.DUMMYFUNCTION("""COMPUTED_VALUE"""),17650.0)</f>
        <v>17650</v>
      </c>
      <c r="E1264" s="1">
        <f>IFERROR(__xludf.DUMMYFUNCTION("""COMPUTED_VALUE"""),18850.0)</f>
        <v>18850</v>
      </c>
      <c r="F1264" s="1">
        <f>IFERROR(__xludf.DUMMYFUNCTION("""COMPUTED_VALUE"""),149343.0)</f>
        <v>149343</v>
      </c>
    </row>
    <row r="1265">
      <c r="A1265" s="2">
        <f>IFERROR(__xludf.DUMMYFUNCTION("""COMPUTED_VALUE"""),44734.64583333333)</f>
        <v>44734.64583</v>
      </c>
      <c r="B1265" s="1">
        <f>IFERROR(__xludf.DUMMYFUNCTION("""COMPUTED_VALUE"""),18850.0)</f>
        <v>18850</v>
      </c>
      <c r="C1265" s="1">
        <f>IFERROR(__xludf.DUMMYFUNCTION("""COMPUTED_VALUE"""),18850.0)</f>
        <v>18850</v>
      </c>
      <c r="D1265" s="1">
        <f>IFERROR(__xludf.DUMMYFUNCTION("""COMPUTED_VALUE"""),15550.0)</f>
        <v>15550</v>
      </c>
      <c r="E1265" s="1">
        <f>IFERROR(__xludf.DUMMYFUNCTION("""COMPUTED_VALUE"""),16350.0)</f>
        <v>16350</v>
      </c>
      <c r="F1265" s="1">
        <f>IFERROR(__xludf.DUMMYFUNCTION("""COMPUTED_VALUE"""),240394.0)</f>
        <v>240394</v>
      </c>
    </row>
    <row r="1266">
      <c r="A1266" s="2">
        <f>IFERROR(__xludf.DUMMYFUNCTION("""COMPUTED_VALUE"""),44735.64583333333)</f>
        <v>44735.64583</v>
      </c>
      <c r="B1266" s="1">
        <f>IFERROR(__xludf.DUMMYFUNCTION("""COMPUTED_VALUE"""),16350.0)</f>
        <v>16350</v>
      </c>
      <c r="C1266" s="1">
        <f>IFERROR(__xludf.DUMMYFUNCTION("""COMPUTED_VALUE"""),16350.0)</f>
        <v>16350</v>
      </c>
      <c r="D1266" s="1">
        <f>IFERROR(__xludf.DUMMYFUNCTION("""COMPUTED_VALUE"""),11450.0)</f>
        <v>11450</v>
      </c>
      <c r="E1266" s="1">
        <f>IFERROR(__xludf.DUMMYFUNCTION("""COMPUTED_VALUE"""),11500.0)</f>
        <v>11500</v>
      </c>
      <c r="F1266" s="1">
        <f>IFERROR(__xludf.DUMMYFUNCTION("""COMPUTED_VALUE"""),2763999.0)</f>
        <v>2763999</v>
      </c>
    </row>
    <row r="1267">
      <c r="A1267" s="2">
        <f>IFERROR(__xludf.DUMMYFUNCTION("""COMPUTED_VALUE"""),44736.64583333333)</f>
        <v>44736.64583</v>
      </c>
      <c r="B1267" s="1">
        <f>IFERROR(__xludf.DUMMYFUNCTION("""COMPUTED_VALUE"""),11700.0)</f>
        <v>11700</v>
      </c>
      <c r="C1267" s="1">
        <f>IFERROR(__xludf.DUMMYFUNCTION("""COMPUTED_VALUE"""),13150.0)</f>
        <v>13150</v>
      </c>
      <c r="D1267" s="1">
        <f>IFERROR(__xludf.DUMMYFUNCTION("""COMPUTED_VALUE"""),11700.0)</f>
        <v>11700</v>
      </c>
      <c r="E1267" s="1">
        <f>IFERROR(__xludf.DUMMYFUNCTION("""COMPUTED_VALUE"""),12900.0)</f>
        <v>12900</v>
      </c>
      <c r="F1267" s="1">
        <f>IFERROR(__xludf.DUMMYFUNCTION("""COMPUTED_VALUE"""),1697925.0)</f>
        <v>1697925</v>
      </c>
    </row>
    <row r="1268">
      <c r="A1268" s="2">
        <f>IFERROR(__xludf.DUMMYFUNCTION("""COMPUTED_VALUE"""),44739.64583333333)</f>
        <v>44739.64583</v>
      </c>
      <c r="B1268" s="1">
        <f>IFERROR(__xludf.DUMMYFUNCTION("""COMPUTED_VALUE"""),13500.0)</f>
        <v>13500</v>
      </c>
      <c r="C1268" s="1">
        <f>IFERROR(__xludf.DUMMYFUNCTION("""COMPUTED_VALUE"""),13500.0)</f>
        <v>13500</v>
      </c>
      <c r="D1268" s="1">
        <f>IFERROR(__xludf.DUMMYFUNCTION("""COMPUTED_VALUE"""),12200.0)</f>
        <v>12200</v>
      </c>
      <c r="E1268" s="1">
        <f>IFERROR(__xludf.DUMMYFUNCTION("""COMPUTED_VALUE"""),12600.0)</f>
        <v>12600</v>
      </c>
      <c r="F1268" s="1">
        <f>IFERROR(__xludf.DUMMYFUNCTION("""COMPUTED_VALUE"""),470395.0)</f>
        <v>470395</v>
      </c>
    </row>
    <row r="1269">
      <c r="A1269" s="2">
        <f>IFERROR(__xludf.DUMMYFUNCTION("""COMPUTED_VALUE"""),44740.64583333333)</f>
        <v>44740.64583</v>
      </c>
      <c r="B1269" s="1">
        <f>IFERROR(__xludf.DUMMYFUNCTION("""COMPUTED_VALUE"""),12650.0)</f>
        <v>12650</v>
      </c>
      <c r="C1269" s="1">
        <f>IFERROR(__xludf.DUMMYFUNCTION("""COMPUTED_VALUE"""),12850.0)</f>
        <v>12850</v>
      </c>
      <c r="D1269" s="1">
        <f>IFERROR(__xludf.DUMMYFUNCTION("""COMPUTED_VALUE"""),12300.0)</f>
        <v>12300</v>
      </c>
      <c r="E1269" s="1">
        <f>IFERROR(__xludf.DUMMYFUNCTION("""COMPUTED_VALUE"""),12300.0)</f>
        <v>12300</v>
      </c>
      <c r="F1269" s="1">
        <f>IFERROR(__xludf.DUMMYFUNCTION("""COMPUTED_VALUE"""),180584.0)</f>
        <v>180584</v>
      </c>
    </row>
    <row r="1270">
      <c r="A1270" s="2">
        <f>IFERROR(__xludf.DUMMYFUNCTION("""COMPUTED_VALUE"""),44741.64583333333)</f>
        <v>44741.64583</v>
      </c>
      <c r="B1270" s="1">
        <f>IFERROR(__xludf.DUMMYFUNCTION("""COMPUTED_VALUE"""),12000.0)</f>
        <v>12000</v>
      </c>
      <c r="C1270" s="1">
        <f>IFERROR(__xludf.DUMMYFUNCTION("""COMPUTED_VALUE"""),12900.0)</f>
        <v>12900</v>
      </c>
      <c r="D1270" s="1">
        <f>IFERROR(__xludf.DUMMYFUNCTION("""COMPUTED_VALUE"""),11650.0)</f>
        <v>11650</v>
      </c>
      <c r="E1270" s="1">
        <f>IFERROR(__xludf.DUMMYFUNCTION("""COMPUTED_VALUE"""),12550.0)</f>
        <v>12550</v>
      </c>
      <c r="F1270" s="1">
        <f>IFERROR(__xludf.DUMMYFUNCTION("""COMPUTED_VALUE"""),242256.0)</f>
        <v>242256</v>
      </c>
    </row>
    <row r="1271">
      <c r="A1271" s="2">
        <f>IFERROR(__xludf.DUMMYFUNCTION("""COMPUTED_VALUE"""),44742.64583333333)</f>
        <v>44742.64583</v>
      </c>
      <c r="B1271" s="1">
        <f>IFERROR(__xludf.DUMMYFUNCTION("""COMPUTED_VALUE"""),12600.0)</f>
        <v>12600</v>
      </c>
      <c r="C1271" s="1">
        <f>IFERROR(__xludf.DUMMYFUNCTION("""COMPUTED_VALUE"""),13500.0)</f>
        <v>13500</v>
      </c>
      <c r="D1271" s="1">
        <f>IFERROR(__xludf.DUMMYFUNCTION("""COMPUTED_VALUE"""),12500.0)</f>
        <v>12500</v>
      </c>
      <c r="E1271" s="1">
        <f>IFERROR(__xludf.DUMMYFUNCTION("""COMPUTED_VALUE"""),13000.0)</f>
        <v>13000</v>
      </c>
      <c r="F1271" s="1">
        <f>IFERROR(__xludf.DUMMYFUNCTION("""COMPUTED_VALUE"""),297545.0)</f>
        <v>297545</v>
      </c>
    </row>
    <row r="1272">
      <c r="A1272" s="2">
        <f>IFERROR(__xludf.DUMMYFUNCTION("""COMPUTED_VALUE"""),44743.64583333333)</f>
        <v>44743.64583</v>
      </c>
      <c r="B1272" s="1">
        <f>IFERROR(__xludf.DUMMYFUNCTION("""COMPUTED_VALUE"""),13100.0)</f>
        <v>13100</v>
      </c>
      <c r="C1272" s="1">
        <f>IFERROR(__xludf.DUMMYFUNCTION("""COMPUTED_VALUE"""),13400.0)</f>
        <v>13400</v>
      </c>
      <c r="D1272" s="1">
        <f>IFERROR(__xludf.DUMMYFUNCTION("""COMPUTED_VALUE"""),12700.0)</f>
        <v>12700</v>
      </c>
      <c r="E1272" s="1">
        <f>IFERROR(__xludf.DUMMYFUNCTION("""COMPUTED_VALUE"""),12700.0)</f>
        <v>12700</v>
      </c>
      <c r="F1272" s="1">
        <f>IFERROR(__xludf.DUMMYFUNCTION("""COMPUTED_VALUE"""),181767.0)</f>
        <v>181767</v>
      </c>
    </row>
    <row r="1273">
      <c r="A1273" s="2">
        <f>IFERROR(__xludf.DUMMYFUNCTION("""COMPUTED_VALUE"""),44746.64583333333)</f>
        <v>44746.64583</v>
      </c>
      <c r="B1273" s="1">
        <f>IFERROR(__xludf.DUMMYFUNCTION("""COMPUTED_VALUE"""),12600.0)</f>
        <v>12600</v>
      </c>
      <c r="C1273" s="1">
        <f>IFERROR(__xludf.DUMMYFUNCTION("""COMPUTED_VALUE"""),13100.0)</f>
        <v>13100</v>
      </c>
      <c r="D1273" s="1">
        <f>IFERROR(__xludf.DUMMYFUNCTION("""COMPUTED_VALUE"""),12100.0)</f>
        <v>12100</v>
      </c>
      <c r="E1273" s="1">
        <f>IFERROR(__xludf.DUMMYFUNCTION("""COMPUTED_VALUE"""),12400.0)</f>
        <v>12400</v>
      </c>
      <c r="F1273" s="1">
        <f>IFERROR(__xludf.DUMMYFUNCTION("""COMPUTED_VALUE"""),139702.0)</f>
        <v>139702</v>
      </c>
    </row>
    <row r="1274">
      <c r="A1274" s="2">
        <f>IFERROR(__xludf.DUMMYFUNCTION("""COMPUTED_VALUE"""),44747.64583333333)</f>
        <v>44747.64583</v>
      </c>
      <c r="B1274" s="1">
        <f>IFERROR(__xludf.DUMMYFUNCTION("""COMPUTED_VALUE"""),12550.0)</f>
        <v>12550</v>
      </c>
      <c r="C1274" s="1">
        <f>IFERROR(__xludf.DUMMYFUNCTION("""COMPUTED_VALUE"""),13200.0)</f>
        <v>13200</v>
      </c>
      <c r="D1274" s="1">
        <f>IFERROR(__xludf.DUMMYFUNCTION("""COMPUTED_VALUE"""),12500.0)</f>
        <v>12500</v>
      </c>
      <c r="E1274" s="1">
        <f>IFERROR(__xludf.DUMMYFUNCTION("""COMPUTED_VALUE"""),12800.0)</f>
        <v>12800</v>
      </c>
      <c r="F1274" s="1">
        <f>IFERROR(__xludf.DUMMYFUNCTION("""COMPUTED_VALUE"""),86120.0)</f>
        <v>86120</v>
      </c>
    </row>
    <row r="1275">
      <c r="A1275" s="2">
        <f>IFERROR(__xludf.DUMMYFUNCTION("""COMPUTED_VALUE"""),44748.64583333333)</f>
        <v>44748.64583</v>
      </c>
      <c r="B1275" s="1">
        <f>IFERROR(__xludf.DUMMYFUNCTION("""COMPUTED_VALUE"""),12800.0)</f>
        <v>12800</v>
      </c>
      <c r="C1275" s="1">
        <f>IFERROR(__xludf.DUMMYFUNCTION("""COMPUTED_VALUE"""),12900.0)</f>
        <v>12900</v>
      </c>
      <c r="D1275" s="1">
        <f>IFERROR(__xludf.DUMMYFUNCTION("""COMPUTED_VALUE"""),12300.0)</f>
        <v>12300</v>
      </c>
      <c r="E1275" s="1">
        <f>IFERROR(__xludf.DUMMYFUNCTION("""COMPUTED_VALUE"""),12300.0)</f>
        <v>12300</v>
      </c>
      <c r="F1275" s="1">
        <f>IFERROR(__xludf.DUMMYFUNCTION("""COMPUTED_VALUE"""),56722.0)</f>
        <v>56722</v>
      </c>
    </row>
    <row r="1276">
      <c r="A1276" s="2">
        <f>IFERROR(__xludf.DUMMYFUNCTION("""COMPUTED_VALUE"""),44749.64583333333)</f>
        <v>44749.64583</v>
      </c>
      <c r="B1276" s="1">
        <f>IFERROR(__xludf.DUMMYFUNCTION("""COMPUTED_VALUE"""),12500.0)</f>
        <v>12500</v>
      </c>
      <c r="C1276" s="1">
        <f>IFERROR(__xludf.DUMMYFUNCTION("""COMPUTED_VALUE"""),12700.0)</f>
        <v>12700</v>
      </c>
      <c r="D1276" s="1">
        <f>IFERROR(__xludf.DUMMYFUNCTION("""COMPUTED_VALUE"""),12300.0)</f>
        <v>12300</v>
      </c>
      <c r="E1276" s="1">
        <f>IFERROR(__xludf.DUMMYFUNCTION("""COMPUTED_VALUE"""),12500.0)</f>
        <v>12500</v>
      </c>
      <c r="F1276" s="1">
        <f>IFERROR(__xludf.DUMMYFUNCTION("""COMPUTED_VALUE"""),48097.0)</f>
        <v>48097</v>
      </c>
    </row>
    <row r="1277">
      <c r="A1277" s="2">
        <f>IFERROR(__xludf.DUMMYFUNCTION("""COMPUTED_VALUE"""),44750.64583333333)</f>
        <v>44750.64583</v>
      </c>
      <c r="B1277" s="1">
        <f>IFERROR(__xludf.DUMMYFUNCTION("""COMPUTED_VALUE"""),12550.0)</f>
        <v>12550</v>
      </c>
      <c r="C1277" s="1">
        <f>IFERROR(__xludf.DUMMYFUNCTION("""COMPUTED_VALUE"""),12700.0)</f>
        <v>12700</v>
      </c>
      <c r="D1277" s="1">
        <f>IFERROR(__xludf.DUMMYFUNCTION("""COMPUTED_VALUE"""),12400.0)</f>
        <v>12400</v>
      </c>
      <c r="E1277" s="1">
        <f>IFERROR(__xludf.DUMMYFUNCTION("""COMPUTED_VALUE"""),12600.0)</f>
        <v>12600</v>
      </c>
      <c r="F1277" s="1">
        <f>IFERROR(__xludf.DUMMYFUNCTION("""COMPUTED_VALUE"""),43194.0)</f>
        <v>43194</v>
      </c>
    </row>
    <row r="1278">
      <c r="A1278" s="2">
        <f>IFERROR(__xludf.DUMMYFUNCTION("""COMPUTED_VALUE"""),44753.64583333333)</f>
        <v>44753.64583</v>
      </c>
      <c r="B1278" s="1">
        <f>IFERROR(__xludf.DUMMYFUNCTION("""COMPUTED_VALUE"""),12700.0)</f>
        <v>12700</v>
      </c>
      <c r="C1278" s="1">
        <f>IFERROR(__xludf.DUMMYFUNCTION("""COMPUTED_VALUE"""),12700.0)</f>
        <v>12700</v>
      </c>
      <c r="D1278" s="1">
        <f>IFERROR(__xludf.DUMMYFUNCTION("""COMPUTED_VALUE"""),12150.0)</f>
        <v>12150</v>
      </c>
      <c r="E1278" s="1">
        <f>IFERROR(__xludf.DUMMYFUNCTION("""COMPUTED_VALUE"""),12250.0)</f>
        <v>12250</v>
      </c>
      <c r="F1278" s="1">
        <f>IFERROR(__xludf.DUMMYFUNCTION("""COMPUTED_VALUE"""),47915.0)</f>
        <v>47915</v>
      </c>
    </row>
    <row r="1279">
      <c r="A1279" s="2">
        <f>IFERROR(__xludf.DUMMYFUNCTION("""COMPUTED_VALUE"""),44754.64583333333)</f>
        <v>44754.64583</v>
      </c>
      <c r="B1279" s="1">
        <f>IFERROR(__xludf.DUMMYFUNCTION("""COMPUTED_VALUE"""),12350.0)</f>
        <v>12350</v>
      </c>
      <c r="C1279" s="1">
        <f>IFERROR(__xludf.DUMMYFUNCTION("""COMPUTED_VALUE"""),12350.0)</f>
        <v>12350</v>
      </c>
      <c r="D1279" s="1">
        <f>IFERROR(__xludf.DUMMYFUNCTION("""COMPUTED_VALUE"""),11300.0)</f>
        <v>11300</v>
      </c>
      <c r="E1279" s="1">
        <f>IFERROR(__xludf.DUMMYFUNCTION("""COMPUTED_VALUE"""),12050.0)</f>
        <v>12050</v>
      </c>
      <c r="F1279" s="1">
        <f>IFERROR(__xludf.DUMMYFUNCTION("""COMPUTED_VALUE"""),173110.0)</f>
        <v>173110</v>
      </c>
    </row>
    <row r="1280">
      <c r="A1280" s="2">
        <f>IFERROR(__xludf.DUMMYFUNCTION("""COMPUTED_VALUE"""),44755.64583333333)</f>
        <v>44755.64583</v>
      </c>
      <c r="B1280" s="1">
        <f>IFERROR(__xludf.DUMMYFUNCTION("""COMPUTED_VALUE"""),11850.0)</f>
        <v>11850</v>
      </c>
      <c r="C1280" s="1">
        <f>IFERROR(__xludf.DUMMYFUNCTION("""COMPUTED_VALUE"""),12050.0)</f>
        <v>12050</v>
      </c>
      <c r="D1280" s="1">
        <f>IFERROR(__xludf.DUMMYFUNCTION("""COMPUTED_VALUE"""),11550.0)</f>
        <v>11550</v>
      </c>
      <c r="E1280" s="1">
        <f>IFERROR(__xludf.DUMMYFUNCTION("""COMPUTED_VALUE"""),11900.0)</f>
        <v>11900</v>
      </c>
      <c r="F1280" s="1">
        <f>IFERROR(__xludf.DUMMYFUNCTION("""COMPUTED_VALUE"""),54176.0)</f>
        <v>54176</v>
      </c>
    </row>
    <row r="1281">
      <c r="A1281" s="2">
        <f>IFERROR(__xludf.DUMMYFUNCTION("""COMPUTED_VALUE"""),44756.64583333333)</f>
        <v>44756.64583</v>
      </c>
      <c r="B1281" s="1">
        <f>IFERROR(__xludf.DUMMYFUNCTION("""COMPUTED_VALUE"""),11900.0)</f>
        <v>11900</v>
      </c>
      <c r="C1281" s="1">
        <f>IFERROR(__xludf.DUMMYFUNCTION("""COMPUTED_VALUE"""),11950.0)</f>
        <v>11950</v>
      </c>
      <c r="D1281" s="1">
        <f>IFERROR(__xludf.DUMMYFUNCTION("""COMPUTED_VALUE"""),11600.0)</f>
        <v>11600</v>
      </c>
      <c r="E1281" s="1">
        <f>IFERROR(__xludf.DUMMYFUNCTION("""COMPUTED_VALUE"""),11900.0)</f>
        <v>11900</v>
      </c>
      <c r="F1281" s="1">
        <f>IFERROR(__xludf.DUMMYFUNCTION("""COMPUTED_VALUE"""),42864.0)</f>
        <v>42864</v>
      </c>
    </row>
    <row r="1282">
      <c r="A1282" s="2">
        <f>IFERROR(__xludf.DUMMYFUNCTION("""COMPUTED_VALUE"""),44757.64583333333)</f>
        <v>44757.64583</v>
      </c>
      <c r="B1282" s="1">
        <f>IFERROR(__xludf.DUMMYFUNCTION("""COMPUTED_VALUE"""),11900.0)</f>
        <v>11900</v>
      </c>
      <c r="C1282" s="1">
        <f>IFERROR(__xludf.DUMMYFUNCTION("""COMPUTED_VALUE"""),12000.0)</f>
        <v>12000</v>
      </c>
      <c r="D1282" s="1">
        <f>IFERROR(__xludf.DUMMYFUNCTION("""COMPUTED_VALUE"""),11500.0)</f>
        <v>11500</v>
      </c>
      <c r="E1282" s="1">
        <f>IFERROR(__xludf.DUMMYFUNCTION("""COMPUTED_VALUE"""),11850.0)</f>
        <v>11850</v>
      </c>
      <c r="F1282" s="1">
        <f>IFERROR(__xludf.DUMMYFUNCTION("""COMPUTED_VALUE"""),56285.0)</f>
        <v>56285</v>
      </c>
    </row>
    <row r="1283">
      <c r="A1283" s="2">
        <f>IFERROR(__xludf.DUMMYFUNCTION("""COMPUTED_VALUE"""),44760.64583333333)</f>
        <v>44760.64583</v>
      </c>
      <c r="B1283" s="1">
        <f>IFERROR(__xludf.DUMMYFUNCTION("""COMPUTED_VALUE"""),11800.0)</f>
        <v>11800</v>
      </c>
      <c r="C1283" s="1">
        <f>IFERROR(__xludf.DUMMYFUNCTION("""COMPUTED_VALUE"""),12050.0)</f>
        <v>12050</v>
      </c>
      <c r="D1283" s="1">
        <f>IFERROR(__xludf.DUMMYFUNCTION("""COMPUTED_VALUE"""),11750.0)</f>
        <v>11750</v>
      </c>
      <c r="E1283" s="1">
        <f>IFERROR(__xludf.DUMMYFUNCTION("""COMPUTED_VALUE"""),12000.0)</f>
        <v>12000</v>
      </c>
      <c r="F1283" s="1">
        <f>IFERROR(__xludf.DUMMYFUNCTION("""COMPUTED_VALUE"""),51405.0)</f>
        <v>51405</v>
      </c>
    </row>
    <row r="1284">
      <c r="A1284" s="2">
        <f>IFERROR(__xludf.DUMMYFUNCTION("""COMPUTED_VALUE"""),44761.64583333333)</f>
        <v>44761.64583</v>
      </c>
      <c r="B1284" s="1">
        <f>IFERROR(__xludf.DUMMYFUNCTION("""COMPUTED_VALUE"""),11900.0)</f>
        <v>11900</v>
      </c>
      <c r="C1284" s="1">
        <f>IFERROR(__xludf.DUMMYFUNCTION("""COMPUTED_VALUE"""),12650.0)</f>
        <v>12650</v>
      </c>
      <c r="D1284" s="1">
        <f>IFERROR(__xludf.DUMMYFUNCTION("""COMPUTED_VALUE"""),11850.0)</f>
        <v>11850</v>
      </c>
      <c r="E1284" s="1">
        <f>IFERROR(__xludf.DUMMYFUNCTION("""COMPUTED_VALUE"""),12450.0)</f>
        <v>12450</v>
      </c>
      <c r="F1284" s="1">
        <f>IFERROR(__xludf.DUMMYFUNCTION("""COMPUTED_VALUE"""),107455.0)</f>
        <v>107455</v>
      </c>
    </row>
    <row r="1285">
      <c r="A1285" s="2">
        <f>IFERROR(__xludf.DUMMYFUNCTION("""COMPUTED_VALUE"""),44762.64583333333)</f>
        <v>44762.64583</v>
      </c>
      <c r="B1285" s="1">
        <f>IFERROR(__xludf.DUMMYFUNCTION("""COMPUTED_VALUE"""),12600.0)</f>
        <v>12600</v>
      </c>
      <c r="C1285" s="1">
        <f>IFERROR(__xludf.DUMMYFUNCTION("""COMPUTED_VALUE"""),13500.0)</f>
        <v>13500</v>
      </c>
      <c r="D1285" s="1">
        <f>IFERROR(__xludf.DUMMYFUNCTION("""COMPUTED_VALUE"""),12500.0)</f>
        <v>12500</v>
      </c>
      <c r="E1285" s="1">
        <f>IFERROR(__xludf.DUMMYFUNCTION("""COMPUTED_VALUE"""),13150.0)</f>
        <v>13150</v>
      </c>
      <c r="F1285" s="1">
        <f>IFERROR(__xludf.DUMMYFUNCTION("""COMPUTED_VALUE"""),188251.0)</f>
        <v>188251</v>
      </c>
    </row>
    <row r="1286">
      <c r="A1286" s="2">
        <f>IFERROR(__xludf.DUMMYFUNCTION("""COMPUTED_VALUE"""),44763.64583333333)</f>
        <v>44763.64583</v>
      </c>
      <c r="B1286" s="1">
        <f>IFERROR(__xludf.DUMMYFUNCTION("""COMPUTED_VALUE"""),13100.0)</f>
        <v>13100</v>
      </c>
      <c r="C1286" s="1">
        <f>IFERROR(__xludf.DUMMYFUNCTION("""COMPUTED_VALUE"""),15200.0)</f>
        <v>15200</v>
      </c>
      <c r="D1286" s="1">
        <f>IFERROR(__xludf.DUMMYFUNCTION("""COMPUTED_VALUE"""),13000.0)</f>
        <v>13000</v>
      </c>
      <c r="E1286" s="1">
        <f>IFERROR(__xludf.DUMMYFUNCTION("""COMPUTED_VALUE"""),15100.0)</f>
        <v>15100</v>
      </c>
      <c r="F1286" s="1">
        <f>IFERROR(__xludf.DUMMYFUNCTION("""COMPUTED_VALUE"""),445962.0)</f>
        <v>445962</v>
      </c>
    </row>
    <row r="1287">
      <c r="A1287" s="2">
        <f>IFERROR(__xludf.DUMMYFUNCTION("""COMPUTED_VALUE"""),44764.64583333333)</f>
        <v>44764.64583</v>
      </c>
      <c r="B1287" s="1">
        <f>IFERROR(__xludf.DUMMYFUNCTION("""COMPUTED_VALUE"""),15000.0)</f>
        <v>15000</v>
      </c>
      <c r="C1287" s="1">
        <f>IFERROR(__xludf.DUMMYFUNCTION("""COMPUTED_VALUE"""),15300.0)</f>
        <v>15300</v>
      </c>
      <c r="D1287" s="1">
        <f>IFERROR(__xludf.DUMMYFUNCTION("""COMPUTED_VALUE"""),14300.0)</f>
        <v>14300</v>
      </c>
      <c r="E1287" s="1">
        <f>IFERROR(__xludf.DUMMYFUNCTION("""COMPUTED_VALUE"""),14350.0)</f>
        <v>14350</v>
      </c>
      <c r="F1287" s="1">
        <f>IFERROR(__xludf.DUMMYFUNCTION("""COMPUTED_VALUE"""),145769.0)</f>
        <v>145769</v>
      </c>
    </row>
    <row r="1288">
      <c r="A1288" s="2">
        <f>IFERROR(__xludf.DUMMYFUNCTION("""COMPUTED_VALUE"""),44767.64583333333)</f>
        <v>44767.64583</v>
      </c>
      <c r="B1288" s="1">
        <f>IFERROR(__xludf.DUMMYFUNCTION("""COMPUTED_VALUE"""),14250.0)</f>
        <v>14250</v>
      </c>
      <c r="C1288" s="1">
        <f>IFERROR(__xludf.DUMMYFUNCTION("""COMPUTED_VALUE"""),14950.0)</f>
        <v>14950</v>
      </c>
      <c r="D1288" s="1">
        <f>IFERROR(__xludf.DUMMYFUNCTION("""COMPUTED_VALUE"""),14150.0)</f>
        <v>14150</v>
      </c>
      <c r="E1288" s="1">
        <f>IFERROR(__xludf.DUMMYFUNCTION("""COMPUTED_VALUE"""),14700.0)</f>
        <v>14700</v>
      </c>
      <c r="F1288" s="1">
        <f>IFERROR(__xludf.DUMMYFUNCTION("""COMPUTED_VALUE"""),92238.0)</f>
        <v>92238</v>
      </c>
    </row>
    <row r="1289">
      <c r="A1289" s="2">
        <f>IFERROR(__xludf.DUMMYFUNCTION("""COMPUTED_VALUE"""),44768.64583333333)</f>
        <v>44768.64583</v>
      </c>
      <c r="B1289" s="1">
        <f>IFERROR(__xludf.DUMMYFUNCTION("""COMPUTED_VALUE"""),14750.0)</f>
        <v>14750</v>
      </c>
      <c r="C1289" s="1">
        <f>IFERROR(__xludf.DUMMYFUNCTION("""COMPUTED_VALUE"""),15650.0)</f>
        <v>15650</v>
      </c>
      <c r="D1289" s="1">
        <f>IFERROR(__xludf.DUMMYFUNCTION("""COMPUTED_VALUE"""),14750.0)</f>
        <v>14750</v>
      </c>
      <c r="E1289" s="1">
        <f>IFERROR(__xludf.DUMMYFUNCTION("""COMPUTED_VALUE"""),15100.0)</f>
        <v>15100</v>
      </c>
      <c r="F1289" s="1">
        <f>IFERROR(__xludf.DUMMYFUNCTION("""COMPUTED_VALUE"""),193445.0)</f>
        <v>193445</v>
      </c>
    </row>
    <row r="1290">
      <c r="A1290" s="2">
        <f>IFERROR(__xludf.DUMMYFUNCTION("""COMPUTED_VALUE"""),44769.64583333333)</f>
        <v>44769.64583</v>
      </c>
      <c r="B1290" s="1">
        <f>IFERROR(__xludf.DUMMYFUNCTION("""COMPUTED_VALUE"""),15100.0)</f>
        <v>15100</v>
      </c>
      <c r="C1290" s="1">
        <f>IFERROR(__xludf.DUMMYFUNCTION("""COMPUTED_VALUE"""),15650.0)</f>
        <v>15650</v>
      </c>
      <c r="D1290" s="1">
        <f>IFERROR(__xludf.DUMMYFUNCTION("""COMPUTED_VALUE"""),14800.0)</f>
        <v>14800</v>
      </c>
      <c r="E1290" s="1">
        <f>IFERROR(__xludf.DUMMYFUNCTION("""COMPUTED_VALUE"""),15450.0)</f>
        <v>15450</v>
      </c>
      <c r="F1290" s="1">
        <f>IFERROR(__xludf.DUMMYFUNCTION("""COMPUTED_VALUE"""),61248.0)</f>
        <v>61248</v>
      </c>
    </row>
    <row r="1291">
      <c r="A1291" s="2">
        <f>IFERROR(__xludf.DUMMYFUNCTION("""COMPUTED_VALUE"""),44770.64583333333)</f>
        <v>44770.64583</v>
      </c>
      <c r="B1291" s="1">
        <f>IFERROR(__xludf.DUMMYFUNCTION("""COMPUTED_VALUE"""),15450.0)</f>
        <v>15450</v>
      </c>
      <c r="C1291" s="1">
        <f>IFERROR(__xludf.DUMMYFUNCTION("""COMPUTED_VALUE"""),15550.0)</f>
        <v>15550</v>
      </c>
      <c r="D1291" s="1">
        <f>IFERROR(__xludf.DUMMYFUNCTION("""COMPUTED_VALUE"""),14950.0)</f>
        <v>14950</v>
      </c>
      <c r="E1291" s="1">
        <f>IFERROR(__xludf.DUMMYFUNCTION("""COMPUTED_VALUE"""),15200.0)</f>
        <v>15200</v>
      </c>
      <c r="F1291" s="1">
        <f>IFERROR(__xludf.DUMMYFUNCTION("""COMPUTED_VALUE"""),121959.0)</f>
        <v>121959</v>
      </c>
    </row>
    <row r="1292">
      <c r="A1292" s="2">
        <f>IFERROR(__xludf.DUMMYFUNCTION("""COMPUTED_VALUE"""),44771.64583333333)</f>
        <v>44771.64583</v>
      </c>
      <c r="B1292" s="1">
        <f>IFERROR(__xludf.DUMMYFUNCTION("""COMPUTED_VALUE"""),15300.0)</f>
        <v>15300</v>
      </c>
      <c r="C1292" s="1">
        <f>IFERROR(__xludf.DUMMYFUNCTION("""COMPUTED_VALUE"""),15550.0)</f>
        <v>15550</v>
      </c>
      <c r="D1292" s="1">
        <f>IFERROR(__xludf.DUMMYFUNCTION("""COMPUTED_VALUE"""),15150.0)</f>
        <v>15150</v>
      </c>
      <c r="E1292" s="1">
        <f>IFERROR(__xludf.DUMMYFUNCTION("""COMPUTED_VALUE"""),15300.0)</f>
        <v>15300</v>
      </c>
      <c r="F1292" s="1">
        <f>IFERROR(__xludf.DUMMYFUNCTION("""COMPUTED_VALUE"""),72500.0)</f>
        <v>72500</v>
      </c>
    </row>
    <row r="1293">
      <c r="A1293" s="2">
        <f>IFERROR(__xludf.DUMMYFUNCTION("""COMPUTED_VALUE"""),44774.64583333333)</f>
        <v>44774.64583</v>
      </c>
      <c r="B1293" s="1">
        <f>IFERROR(__xludf.DUMMYFUNCTION("""COMPUTED_VALUE"""),15300.0)</f>
        <v>15300</v>
      </c>
      <c r="C1293" s="1">
        <f>IFERROR(__xludf.DUMMYFUNCTION("""COMPUTED_VALUE"""),15650.0)</f>
        <v>15650</v>
      </c>
      <c r="D1293" s="1">
        <f>IFERROR(__xludf.DUMMYFUNCTION("""COMPUTED_VALUE"""),14850.0)</f>
        <v>14850</v>
      </c>
      <c r="E1293" s="1">
        <f>IFERROR(__xludf.DUMMYFUNCTION("""COMPUTED_VALUE"""),14850.0)</f>
        <v>14850</v>
      </c>
      <c r="F1293" s="1">
        <f>IFERROR(__xludf.DUMMYFUNCTION("""COMPUTED_VALUE"""),137848.0)</f>
        <v>137848</v>
      </c>
    </row>
    <row r="1294">
      <c r="A1294" s="2">
        <f>IFERROR(__xludf.DUMMYFUNCTION("""COMPUTED_VALUE"""),44775.64583333333)</f>
        <v>44775.64583</v>
      </c>
      <c r="B1294" s="1">
        <f>IFERROR(__xludf.DUMMYFUNCTION("""COMPUTED_VALUE"""),14850.0)</f>
        <v>14850</v>
      </c>
      <c r="C1294" s="1">
        <f>IFERROR(__xludf.DUMMYFUNCTION("""COMPUTED_VALUE"""),15200.0)</f>
        <v>15200</v>
      </c>
      <c r="D1294" s="1">
        <f>IFERROR(__xludf.DUMMYFUNCTION("""COMPUTED_VALUE"""),14600.0)</f>
        <v>14600</v>
      </c>
      <c r="E1294" s="1">
        <f>IFERROR(__xludf.DUMMYFUNCTION("""COMPUTED_VALUE"""),15050.0)</f>
        <v>15050</v>
      </c>
      <c r="F1294" s="1">
        <f>IFERROR(__xludf.DUMMYFUNCTION("""COMPUTED_VALUE"""),83040.0)</f>
        <v>83040</v>
      </c>
    </row>
    <row r="1295">
      <c r="A1295" s="2">
        <f>IFERROR(__xludf.DUMMYFUNCTION("""COMPUTED_VALUE"""),44776.64583333333)</f>
        <v>44776.64583</v>
      </c>
      <c r="B1295" s="1">
        <f>IFERROR(__xludf.DUMMYFUNCTION("""COMPUTED_VALUE"""),16200.0)</f>
        <v>16200</v>
      </c>
      <c r="C1295" s="1">
        <f>IFERROR(__xludf.DUMMYFUNCTION("""COMPUTED_VALUE"""),17800.0)</f>
        <v>17800</v>
      </c>
      <c r="D1295" s="1">
        <f>IFERROR(__xludf.DUMMYFUNCTION("""COMPUTED_VALUE"""),15000.0)</f>
        <v>15000</v>
      </c>
      <c r="E1295" s="1">
        <f>IFERROR(__xludf.DUMMYFUNCTION("""COMPUTED_VALUE"""),15350.0)</f>
        <v>15350</v>
      </c>
      <c r="F1295" s="1">
        <f>IFERROR(__xludf.DUMMYFUNCTION("""COMPUTED_VALUE"""),791006.0)</f>
        <v>791006</v>
      </c>
    </row>
    <row r="1296">
      <c r="A1296" s="2">
        <f>IFERROR(__xludf.DUMMYFUNCTION("""COMPUTED_VALUE"""),44777.64583333333)</f>
        <v>44777.64583</v>
      </c>
      <c r="B1296" s="1">
        <f>IFERROR(__xludf.DUMMYFUNCTION("""COMPUTED_VALUE"""),15300.0)</f>
        <v>15300</v>
      </c>
      <c r="C1296" s="1">
        <f>IFERROR(__xludf.DUMMYFUNCTION("""COMPUTED_VALUE"""),15550.0)</f>
        <v>15550</v>
      </c>
      <c r="D1296" s="1">
        <f>IFERROR(__xludf.DUMMYFUNCTION("""COMPUTED_VALUE"""),14750.0)</f>
        <v>14750</v>
      </c>
      <c r="E1296" s="1">
        <f>IFERROR(__xludf.DUMMYFUNCTION("""COMPUTED_VALUE"""),14800.0)</f>
        <v>14800</v>
      </c>
      <c r="F1296" s="1">
        <f>IFERROR(__xludf.DUMMYFUNCTION("""COMPUTED_VALUE"""),115089.0)</f>
        <v>115089</v>
      </c>
    </row>
    <row r="1297">
      <c r="A1297" s="2">
        <f>IFERROR(__xludf.DUMMYFUNCTION("""COMPUTED_VALUE"""),44778.64583333333)</f>
        <v>44778.64583</v>
      </c>
      <c r="B1297" s="1">
        <f>IFERROR(__xludf.DUMMYFUNCTION("""COMPUTED_VALUE"""),14850.0)</f>
        <v>14850</v>
      </c>
      <c r="C1297" s="1">
        <f>IFERROR(__xludf.DUMMYFUNCTION("""COMPUTED_VALUE"""),14950.0)</f>
        <v>14950</v>
      </c>
      <c r="D1297" s="1">
        <f>IFERROR(__xludf.DUMMYFUNCTION("""COMPUTED_VALUE"""),14650.0)</f>
        <v>14650</v>
      </c>
      <c r="E1297" s="1">
        <f>IFERROR(__xludf.DUMMYFUNCTION("""COMPUTED_VALUE"""),14750.0)</f>
        <v>14750</v>
      </c>
      <c r="F1297" s="1">
        <f>IFERROR(__xludf.DUMMYFUNCTION("""COMPUTED_VALUE"""),52795.0)</f>
        <v>52795</v>
      </c>
    </row>
    <row r="1298">
      <c r="A1298" s="2">
        <f>IFERROR(__xludf.DUMMYFUNCTION("""COMPUTED_VALUE"""),44781.64583333333)</f>
        <v>44781.64583</v>
      </c>
      <c r="B1298" s="1">
        <f>IFERROR(__xludf.DUMMYFUNCTION("""COMPUTED_VALUE"""),14750.0)</f>
        <v>14750</v>
      </c>
      <c r="C1298" s="1">
        <f>IFERROR(__xludf.DUMMYFUNCTION("""COMPUTED_VALUE"""),16200.0)</f>
        <v>16200</v>
      </c>
      <c r="D1298" s="1">
        <f>IFERROR(__xludf.DUMMYFUNCTION("""COMPUTED_VALUE"""),14700.0)</f>
        <v>14700</v>
      </c>
      <c r="E1298" s="1">
        <f>IFERROR(__xludf.DUMMYFUNCTION("""COMPUTED_VALUE"""),16000.0)</f>
        <v>16000</v>
      </c>
      <c r="F1298" s="1">
        <f>IFERROR(__xludf.DUMMYFUNCTION("""COMPUTED_VALUE"""),269349.0)</f>
        <v>269349</v>
      </c>
    </row>
    <row r="1299">
      <c r="A1299" s="2">
        <f>IFERROR(__xludf.DUMMYFUNCTION("""COMPUTED_VALUE"""),44782.64583333333)</f>
        <v>44782.64583</v>
      </c>
      <c r="B1299" s="1">
        <f>IFERROR(__xludf.DUMMYFUNCTION("""COMPUTED_VALUE"""),16000.0)</f>
        <v>16000</v>
      </c>
      <c r="C1299" s="1">
        <f>IFERROR(__xludf.DUMMYFUNCTION("""COMPUTED_VALUE"""),16100.0)</f>
        <v>16100</v>
      </c>
      <c r="D1299" s="1">
        <f>IFERROR(__xludf.DUMMYFUNCTION("""COMPUTED_VALUE"""),15750.0)</f>
        <v>15750</v>
      </c>
      <c r="E1299" s="1">
        <f>IFERROR(__xludf.DUMMYFUNCTION("""COMPUTED_VALUE"""),16000.0)</f>
        <v>16000</v>
      </c>
      <c r="F1299" s="1">
        <f>IFERROR(__xludf.DUMMYFUNCTION("""COMPUTED_VALUE"""),45032.0)</f>
        <v>45032</v>
      </c>
    </row>
    <row r="1300">
      <c r="A1300" s="2">
        <f>IFERROR(__xludf.DUMMYFUNCTION("""COMPUTED_VALUE"""),44783.64583333333)</f>
        <v>44783.64583</v>
      </c>
      <c r="B1300" s="1">
        <f>IFERROR(__xludf.DUMMYFUNCTION("""COMPUTED_VALUE"""),15950.0)</f>
        <v>15950</v>
      </c>
      <c r="C1300" s="1">
        <f>IFERROR(__xludf.DUMMYFUNCTION("""COMPUTED_VALUE"""),15950.0)</f>
        <v>15950</v>
      </c>
      <c r="D1300" s="1">
        <f>IFERROR(__xludf.DUMMYFUNCTION("""COMPUTED_VALUE"""),14800.0)</f>
        <v>14800</v>
      </c>
      <c r="E1300" s="1">
        <f>IFERROR(__xludf.DUMMYFUNCTION("""COMPUTED_VALUE"""),15000.0)</f>
        <v>15000</v>
      </c>
      <c r="F1300" s="1">
        <f>IFERROR(__xludf.DUMMYFUNCTION("""COMPUTED_VALUE"""),110344.0)</f>
        <v>110344</v>
      </c>
    </row>
    <row r="1301">
      <c r="A1301" s="2">
        <f>IFERROR(__xludf.DUMMYFUNCTION("""COMPUTED_VALUE"""),44784.64583333333)</f>
        <v>44784.64583</v>
      </c>
      <c r="B1301" s="1">
        <f>IFERROR(__xludf.DUMMYFUNCTION("""COMPUTED_VALUE"""),15100.0)</f>
        <v>15100</v>
      </c>
      <c r="C1301" s="1">
        <f>IFERROR(__xludf.DUMMYFUNCTION("""COMPUTED_VALUE"""),15600.0)</f>
        <v>15600</v>
      </c>
      <c r="D1301" s="1">
        <f>IFERROR(__xludf.DUMMYFUNCTION("""COMPUTED_VALUE"""),14950.0)</f>
        <v>14950</v>
      </c>
      <c r="E1301" s="1">
        <f>IFERROR(__xludf.DUMMYFUNCTION("""COMPUTED_VALUE"""),15400.0)</f>
        <v>15400</v>
      </c>
      <c r="F1301" s="1">
        <f>IFERROR(__xludf.DUMMYFUNCTION("""COMPUTED_VALUE"""),47464.0)</f>
        <v>47464</v>
      </c>
    </row>
    <row r="1302">
      <c r="A1302" s="2">
        <f>IFERROR(__xludf.DUMMYFUNCTION("""COMPUTED_VALUE"""),44785.64583333333)</f>
        <v>44785.64583</v>
      </c>
      <c r="B1302" s="1">
        <f>IFERROR(__xludf.DUMMYFUNCTION("""COMPUTED_VALUE"""),15450.0)</f>
        <v>15450</v>
      </c>
      <c r="C1302" s="1">
        <f>IFERROR(__xludf.DUMMYFUNCTION("""COMPUTED_VALUE"""),16100.0)</f>
        <v>16100</v>
      </c>
      <c r="D1302" s="1">
        <f>IFERROR(__xludf.DUMMYFUNCTION("""COMPUTED_VALUE"""),15200.0)</f>
        <v>15200</v>
      </c>
      <c r="E1302" s="1">
        <f>IFERROR(__xludf.DUMMYFUNCTION("""COMPUTED_VALUE"""),15800.0)</f>
        <v>15800</v>
      </c>
      <c r="F1302" s="1">
        <f>IFERROR(__xludf.DUMMYFUNCTION("""COMPUTED_VALUE"""),41977.0)</f>
        <v>41977</v>
      </c>
    </row>
    <row r="1303">
      <c r="A1303" s="2">
        <f>IFERROR(__xludf.DUMMYFUNCTION("""COMPUTED_VALUE"""),44789.64583333333)</f>
        <v>44789.64583</v>
      </c>
      <c r="B1303" s="1">
        <f>IFERROR(__xludf.DUMMYFUNCTION("""COMPUTED_VALUE"""),15700.0)</f>
        <v>15700</v>
      </c>
      <c r="C1303" s="1">
        <f>IFERROR(__xludf.DUMMYFUNCTION("""COMPUTED_VALUE"""),16900.0)</f>
        <v>16900</v>
      </c>
      <c r="D1303" s="1">
        <f>IFERROR(__xludf.DUMMYFUNCTION("""COMPUTED_VALUE"""),15700.0)</f>
        <v>15700</v>
      </c>
      <c r="E1303" s="1">
        <f>IFERROR(__xludf.DUMMYFUNCTION("""COMPUTED_VALUE"""),16550.0)</f>
        <v>16550</v>
      </c>
      <c r="F1303" s="1">
        <f>IFERROR(__xludf.DUMMYFUNCTION("""COMPUTED_VALUE"""),154314.0)</f>
        <v>154314</v>
      </c>
    </row>
    <row r="1304">
      <c r="A1304" s="2">
        <f>IFERROR(__xludf.DUMMYFUNCTION("""COMPUTED_VALUE"""),44790.64583333333)</f>
        <v>44790.64583</v>
      </c>
      <c r="B1304" s="1">
        <f>IFERROR(__xludf.DUMMYFUNCTION("""COMPUTED_VALUE"""),16350.0)</f>
        <v>16350</v>
      </c>
      <c r="C1304" s="1">
        <f>IFERROR(__xludf.DUMMYFUNCTION("""COMPUTED_VALUE"""),16900.0)</f>
        <v>16900</v>
      </c>
      <c r="D1304" s="1">
        <f>IFERROR(__xludf.DUMMYFUNCTION("""COMPUTED_VALUE"""),16200.0)</f>
        <v>16200</v>
      </c>
      <c r="E1304" s="1">
        <f>IFERROR(__xludf.DUMMYFUNCTION("""COMPUTED_VALUE"""),16550.0)</f>
        <v>16550</v>
      </c>
      <c r="F1304" s="1">
        <f>IFERROR(__xludf.DUMMYFUNCTION("""COMPUTED_VALUE"""),199871.0)</f>
        <v>199871</v>
      </c>
    </row>
    <row r="1305">
      <c r="A1305" s="2">
        <f>IFERROR(__xludf.DUMMYFUNCTION("""COMPUTED_VALUE"""),44791.64583333333)</f>
        <v>44791.64583</v>
      </c>
      <c r="B1305" s="1">
        <f>IFERROR(__xludf.DUMMYFUNCTION("""COMPUTED_VALUE"""),16450.0)</f>
        <v>16450</v>
      </c>
      <c r="C1305" s="1">
        <f>IFERROR(__xludf.DUMMYFUNCTION("""COMPUTED_VALUE"""),18750.0)</f>
        <v>18750</v>
      </c>
      <c r="D1305" s="1">
        <f>IFERROR(__xludf.DUMMYFUNCTION("""COMPUTED_VALUE"""),16200.0)</f>
        <v>16200</v>
      </c>
      <c r="E1305" s="1">
        <f>IFERROR(__xludf.DUMMYFUNCTION("""COMPUTED_VALUE"""),18450.0)</f>
        <v>18450</v>
      </c>
      <c r="F1305" s="1">
        <f>IFERROR(__xludf.DUMMYFUNCTION("""COMPUTED_VALUE"""),586343.0)</f>
        <v>586343</v>
      </c>
    </row>
    <row r="1306">
      <c r="A1306" s="2">
        <f>IFERROR(__xludf.DUMMYFUNCTION("""COMPUTED_VALUE"""),44792.64583333333)</f>
        <v>44792.64583</v>
      </c>
      <c r="B1306" s="1">
        <f>IFERROR(__xludf.DUMMYFUNCTION("""COMPUTED_VALUE"""),18450.0)</f>
        <v>18450</v>
      </c>
      <c r="C1306" s="1">
        <f>IFERROR(__xludf.DUMMYFUNCTION("""COMPUTED_VALUE"""),19500.0)</f>
        <v>19500</v>
      </c>
      <c r="D1306" s="1">
        <f>IFERROR(__xludf.DUMMYFUNCTION("""COMPUTED_VALUE"""),17900.0)</f>
        <v>17900</v>
      </c>
      <c r="E1306" s="1">
        <f>IFERROR(__xludf.DUMMYFUNCTION("""COMPUTED_VALUE"""),18650.0)</f>
        <v>18650</v>
      </c>
      <c r="F1306" s="1">
        <f>IFERROR(__xludf.DUMMYFUNCTION("""COMPUTED_VALUE"""),636714.0)</f>
        <v>636714</v>
      </c>
    </row>
    <row r="1307">
      <c r="A1307" s="2">
        <f>IFERROR(__xludf.DUMMYFUNCTION("""COMPUTED_VALUE"""),44795.64583333333)</f>
        <v>44795.64583</v>
      </c>
      <c r="B1307" s="1">
        <f>IFERROR(__xludf.DUMMYFUNCTION("""COMPUTED_VALUE"""),18600.0)</f>
        <v>18600</v>
      </c>
      <c r="C1307" s="1">
        <f>IFERROR(__xludf.DUMMYFUNCTION("""COMPUTED_VALUE"""),18750.0)</f>
        <v>18750</v>
      </c>
      <c r="D1307" s="1">
        <f>IFERROR(__xludf.DUMMYFUNCTION("""COMPUTED_VALUE"""),17400.0)</f>
        <v>17400</v>
      </c>
      <c r="E1307" s="1">
        <f>IFERROR(__xludf.DUMMYFUNCTION("""COMPUTED_VALUE"""),17800.0)</f>
        <v>17800</v>
      </c>
      <c r="F1307" s="1">
        <f>IFERROR(__xludf.DUMMYFUNCTION("""COMPUTED_VALUE"""),270058.0)</f>
        <v>270058</v>
      </c>
    </row>
    <row r="1308">
      <c r="A1308" s="2">
        <f>IFERROR(__xludf.DUMMYFUNCTION("""COMPUTED_VALUE"""),44796.64583333333)</f>
        <v>44796.64583</v>
      </c>
      <c r="B1308" s="1">
        <f>IFERROR(__xludf.DUMMYFUNCTION("""COMPUTED_VALUE"""),17550.0)</f>
        <v>17550</v>
      </c>
      <c r="C1308" s="1">
        <f>IFERROR(__xludf.DUMMYFUNCTION("""COMPUTED_VALUE"""),17750.0)</f>
        <v>17750</v>
      </c>
      <c r="D1308" s="1">
        <f>IFERROR(__xludf.DUMMYFUNCTION("""COMPUTED_VALUE"""),16700.0)</f>
        <v>16700</v>
      </c>
      <c r="E1308" s="1">
        <f>IFERROR(__xludf.DUMMYFUNCTION("""COMPUTED_VALUE"""),17300.0)</f>
        <v>17300</v>
      </c>
      <c r="F1308" s="1">
        <f>IFERROR(__xludf.DUMMYFUNCTION("""COMPUTED_VALUE"""),202814.0)</f>
        <v>202814</v>
      </c>
    </row>
    <row r="1309">
      <c r="A1309" s="2">
        <f>IFERROR(__xludf.DUMMYFUNCTION("""COMPUTED_VALUE"""),44797.64583333333)</f>
        <v>44797.64583</v>
      </c>
      <c r="B1309" s="1">
        <f>IFERROR(__xludf.DUMMYFUNCTION("""COMPUTED_VALUE"""),17150.0)</f>
        <v>17150</v>
      </c>
      <c r="C1309" s="1">
        <f>IFERROR(__xludf.DUMMYFUNCTION("""COMPUTED_VALUE"""),17550.0)</f>
        <v>17550</v>
      </c>
      <c r="D1309" s="1">
        <f>IFERROR(__xludf.DUMMYFUNCTION("""COMPUTED_VALUE"""),17000.0)</f>
        <v>17000</v>
      </c>
      <c r="E1309" s="1">
        <f>IFERROR(__xludf.DUMMYFUNCTION("""COMPUTED_VALUE"""),17100.0)</f>
        <v>17100</v>
      </c>
      <c r="F1309" s="1">
        <f>IFERROR(__xludf.DUMMYFUNCTION("""COMPUTED_VALUE"""),63940.0)</f>
        <v>63940</v>
      </c>
    </row>
    <row r="1310">
      <c r="A1310" s="2">
        <f>IFERROR(__xludf.DUMMYFUNCTION("""COMPUTED_VALUE"""),44798.64583333333)</f>
        <v>44798.64583</v>
      </c>
      <c r="B1310" s="1">
        <f>IFERROR(__xludf.DUMMYFUNCTION("""COMPUTED_VALUE"""),17100.0)</f>
        <v>17100</v>
      </c>
      <c r="C1310" s="1">
        <f>IFERROR(__xludf.DUMMYFUNCTION("""COMPUTED_VALUE"""),17800.0)</f>
        <v>17800</v>
      </c>
      <c r="D1310" s="1">
        <f>IFERROR(__xludf.DUMMYFUNCTION("""COMPUTED_VALUE"""),17100.0)</f>
        <v>17100</v>
      </c>
      <c r="E1310" s="1">
        <f>IFERROR(__xludf.DUMMYFUNCTION("""COMPUTED_VALUE"""),17450.0)</f>
        <v>17450</v>
      </c>
      <c r="F1310" s="1">
        <f>IFERROR(__xludf.DUMMYFUNCTION("""COMPUTED_VALUE"""),75634.0)</f>
        <v>75634</v>
      </c>
    </row>
    <row r="1311">
      <c r="A1311" s="2">
        <f>IFERROR(__xludf.DUMMYFUNCTION("""COMPUTED_VALUE"""),44799.64583333333)</f>
        <v>44799.64583</v>
      </c>
      <c r="B1311" s="1">
        <f>IFERROR(__xludf.DUMMYFUNCTION("""COMPUTED_VALUE"""),17500.0)</f>
        <v>17500</v>
      </c>
      <c r="C1311" s="1">
        <f>IFERROR(__xludf.DUMMYFUNCTION("""COMPUTED_VALUE"""),17950.0)</f>
        <v>17950</v>
      </c>
      <c r="D1311" s="1">
        <f>IFERROR(__xludf.DUMMYFUNCTION("""COMPUTED_VALUE"""),17150.0)</f>
        <v>17150</v>
      </c>
      <c r="E1311" s="1">
        <f>IFERROR(__xludf.DUMMYFUNCTION("""COMPUTED_VALUE"""),17400.0)</f>
        <v>17400</v>
      </c>
      <c r="F1311" s="1">
        <f>IFERROR(__xludf.DUMMYFUNCTION("""COMPUTED_VALUE"""),65231.0)</f>
        <v>65231</v>
      </c>
    </row>
    <row r="1312">
      <c r="A1312" s="2">
        <f>IFERROR(__xludf.DUMMYFUNCTION("""COMPUTED_VALUE"""),44802.64583333333)</f>
        <v>44802.64583</v>
      </c>
      <c r="B1312" s="1">
        <f>IFERROR(__xludf.DUMMYFUNCTION("""COMPUTED_VALUE"""),16800.0)</f>
        <v>16800</v>
      </c>
      <c r="C1312" s="1">
        <f>IFERROR(__xludf.DUMMYFUNCTION("""COMPUTED_VALUE"""),16850.0)</f>
        <v>16850</v>
      </c>
      <c r="D1312" s="1">
        <f>IFERROR(__xludf.DUMMYFUNCTION("""COMPUTED_VALUE"""),16000.0)</f>
        <v>16000</v>
      </c>
      <c r="E1312" s="1">
        <f>IFERROR(__xludf.DUMMYFUNCTION("""COMPUTED_VALUE"""),16600.0)</f>
        <v>16600</v>
      </c>
      <c r="F1312" s="1">
        <f>IFERROR(__xludf.DUMMYFUNCTION("""COMPUTED_VALUE"""),147488.0)</f>
        <v>147488</v>
      </c>
    </row>
    <row r="1313">
      <c r="A1313" s="2">
        <f>IFERROR(__xludf.DUMMYFUNCTION("""COMPUTED_VALUE"""),44803.64583333333)</f>
        <v>44803.64583</v>
      </c>
      <c r="B1313" s="1">
        <f>IFERROR(__xludf.DUMMYFUNCTION("""COMPUTED_VALUE"""),16400.0)</f>
        <v>16400</v>
      </c>
      <c r="C1313" s="1">
        <f>IFERROR(__xludf.DUMMYFUNCTION("""COMPUTED_VALUE"""),17000.0)</f>
        <v>17000</v>
      </c>
      <c r="D1313" s="1">
        <f>IFERROR(__xludf.DUMMYFUNCTION("""COMPUTED_VALUE"""),16400.0)</f>
        <v>16400</v>
      </c>
      <c r="E1313" s="1">
        <f>IFERROR(__xludf.DUMMYFUNCTION("""COMPUTED_VALUE"""),16750.0)</f>
        <v>16750</v>
      </c>
      <c r="F1313" s="1">
        <f>IFERROR(__xludf.DUMMYFUNCTION("""COMPUTED_VALUE"""),33756.0)</f>
        <v>33756</v>
      </c>
    </row>
    <row r="1314">
      <c r="A1314" s="2">
        <f>IFERROR(__xludf.DUMMYFUNCTION("""COMPUTED_VALUE"""),44804.64583333333)</f>
        <v>44804.64583</v>
      </c>
      <c r="B1314" s="1">
        <f>IFERROR(__xludf.DUMMYFUNCTION("""COMPUTED_VALUE"""),17000.0)</f>
        <v>17000</v>
      </c>
      <c r="C1314" s="1">
        <f>IFERROR(__xludf.DUMMYFUNCTION("""COMPUTED_VALUE"""),17500.0)</f>
        <v>17500</v>
      </c>
      <c r="D1314" s="1">
        <f>IFERROR(__xludf.DUMMYFUNCTION("""COMPUTED_VALUE"""),16600.0)</f>
        <v>16600</v>
      </c>
      <c r="E1314" s="1">
        <f>IFERROR(__xludf.DUMMYFUNCTION("""COMPUTED_VALUE"""),17450.0)</f>
        <v>17450</v>
      </c>
      <c r="F1314" s="1">
        <f>IFERROR(__xludf.DUMMYFUNCTION("""COMPUTED_VALUE"""),63371.0)</f>
        <v>63371</v>
      </c>
    </row>
    <row r="1315">
      <c r="A1315" s="2">
        <f>IFERROR(__xludf.DUMMYFUNCTION("""COMPUTED_VALUE"""),44805.64583333333)</f>
        <v>44805.64583</v>
      </c>
      <c r="B1315" s="1">
        <f>IFERROR(__xludf.DUMMYFUNCTION("""COMPUTED_VALUE"""),17250.0)</f>
        <v>17250</v>
      </c>
      <c r="C1315" s="1">
        <f>IFERROR(__xludf.DUMMYFUNCTION("""COMPUTED_VALUE"""),17450.0)</f>
        <v>17450</v>
      </c>
      <c r="D1315" s="1">
        <f>IFERROR(__xludf.DUMMYFUNCTION("""COMPUTED_VALUE"""),16800.0)</f>
        <v>16800</v>
      </c>
      <c r="E1315" s="1">
        <f>IFERROR(__xludf.DUMMYFUNCTION("""COMPUTED_VALUE"""),16850.0)</f>
        <v>16850</v>
      </c>
      <c r="F1315" s="1">
        <f>IFERROR(__xludf.DUMMYFUNCTION("""COMPUTED_VALUE"""),61888.0)</f>
        <v>61888</v>
      </c>
    </row>
    <row r="1316">
      <c r="A1316" s="2">
        <f>IFERROR(__xludf.DUMMYFUNCTION("""COMPUTED_VALUE"""),44806.64583333333)</f>
        <v>44806.64583</v>
      </c>
      <c r="B1316" s="1">
        <f>IFERROR(__xludf.DUMMYFUNCTION("""COMPUTED_VALUE"""),16850.0)</f>
        <v>16850</v>
      </c>
      <c r="C1316" s="1">
        <f>IFERROR(__xludf.DUMMYFUNCTION("""COMPUTED_VALUE"""),17050.0)</f>
        <v>17050</v>
      </c>
      <c r="D1316" s="1">
        <f>IFERROR(__xludf.DUMMYFUNCTION("""COMPUTED_VALUE"""),16450.0)</f>
        <v>16450</v>
      </c>
      <c r="E1316" s="1">
        <f>IFERROR(__xludf.DUMMYFUNCTION("""COMPUTED_VALUE"""),16600.0)</f>
        <v>16600</v>
      </c>
      <c r="F1316" s="1">
        <f>IFERROR(__xludf.DUMMYFUNCTION("""COMPUTED_VALUE"""),43814.0)</f>
        <v>43814</v>
      </c>
    </row>
    <row r="1317">
      <c r="A1317" s="2">
        <f>IFERROR(__xludf.DUMMYFUNCTION("""COMPUTED_VALUE"""),44809.64583333333)</f>
        <v>44809.64583</v>
      </c>
      <c r="B1317" s="1">
        <f>IFERROR(__xludf.DUMMYFUNCTION("""COMPUTED_VALUE"""),16550.0)</f>
        <v>16550</v>
      </c>
      <c r="C1317" s="1">
        <f>IFERROR(__xludf.DUMMYFUNCTION("""COMPUTED_VALUE"""),16600.0)</f>
        <v>16600</v>
      </c>
      <c r="D1317" s="1">
        <f>IFERROR(__xludf.DUMMYFUNCTION("""COMPUTED_VALUE"""),16000.0)</f>
        <v>16000</v>
      </c>
      <c r="E1317" s="1">
        <f>IFERROR(__xludf.DUMMYFUNCTION("""COMPUTED_VALUE"""),16100.0)</f>
        <v>16100</v>
      </c>
      <c r="F1317" s="1">
        <f>IFERROR(__xludf.DUMMYFUNCTION("""COMPUTED_VALUE"""),73632.0)</f>
        <v>73632</v>
      </c>
    </row>
    <row r="1318">
      <c r="A1318" s="2">
        <f>IFERROR(__xludf.DUMMYFUNCTION("""COMPUTED_VALUE"""),44810.64583333333)</f>
        <v>44810.64583</v>
      </c>
      <c r="B1318" s="1">
        <f>IFERROR(__xludf.DUMMYFUNCTION("""COMPUTED_VALUE"""),16000.0)</f>
        <v>16000</v>
      </c>
      <c r="C1318" s="1">
        <f>IFERROR(__xludf.DUMMYFUNCTION("""COMPUTED_VALUE"""),16700.0)</f>
        <v>16700</v>
      </c>
      <c r="D1318" s="1">
        <f>IFERROR(__xludf.DUMMYFUNCTION("""COMPUTED_VALUE"""),16000.0)</f>
        <v>16000</v>
      </c>
      <c r="E1318" s="1">
        <f>IFERROR(__xludf.DUMMYFUNCTION("""COMPUTED_VALUE"""),16500.0)</f>
        <v>16500</v>
      </c>
      <c r="F1318" s="1">
        <f>IFERROR(__xludf.DUMMYFUNCTION("""COMPUTED_VALUE"""),45153.0)</f>
        <v>45153</v>
      </c>
    </row>
    <row r="1319">
      <c r="A1319" s="2">
        <f>IFERROR(__xludf.DUMMYFUNCTION("""COMPUTED_VALUE"""),44811.64583333333)</f>
        <v>44811.64583</v>
      </c>
      <c r="B1319" s="1">
        <f>IFERROR(__xludf.DUMMYFUNCTION("""COMPUTED_VALUE"""),16500.0)</f>
        <v>16500</v>
      </c>
      <c r="C1319" s="1">
        <f>IFERROR(__xludf.DUMMYFUNCTION("""COMPUTED_VALUE"""),16900.0)</f>
        <v>16900</v>
      </c>
      <c r="D1319" s="1">
        <f>IFERROR(__xludf.DUMMYFUNCTION("""COMPUTED_VALUE"""),16100.0)</f>
        <v>16100</v>
      </c>
      <c r="E1319" s="1">
        <f>IFERROR(__xludf.DUMMYFUNCTION("""COMPUTED_VALUE"""),16550.0)</f>
        <v>16550</v>
      </c>
      <c r="F1319" s="1">
        <f>IFERROR(__xludf.DUMMYFUNCTION("""COMPUTED_VALUE"""),102147.0)</f>
        <v>102147</v>
      </c>
    </row>
    <row r="1320">
      <c r="A1320" s="2">
        <f>IFERROR(__xludf.DUMMYFUNCTION("""COMPUTED_VALUE"""),44812.64583333333)</f>
        <v>44812.64583</v>
      </c>
      <c r="B1320" s="1">
        <f>IFERROR(__xludf.DUMMYFUNCTION("""COMPUTED_VALUE"""),16750.0)</f>
        <v>16750</v>
      </c>
      <c r="C1320" s="1">
        <f>IFERROR(__xludf.DUMMYFUNCTION("""COMPUTED_VALUE"""),16750.0)</f>
        <v>16750</v>
      </c>
      <c r="D1320" s="1">
        <f>IFERROR(__xludf.DUMMYFUNCTION("""COMPUTED_VALUE"""),16200.0)</f>
        <v>16200</v>
      </c>
      <c r="E1320" s="1">
        <f>IFERROR(__xludf.DUMMYFUNCTION("""COMPUTED_VALUE"""),16400.0)</f>
        <v>16400</v>
      </c>
      <c r="F1320" s="1">
        <f>IFERROR(__xludf.DUMMYFUNCTION("""COMPUTED_VALUE"""),45389.0)</f>
        <v>45389</v>
      </c>
    </row>
    <row r="1321">
      <c r="A1321" s="2">
        <f>IFERROR(__xludf.DUMMYFUNCTION("""COMPUTED_VALUE"""),44817.64583333333)</f>
        <v>44817.64583</v>
      </c>
      <c r="B1321" s="1">
        <f>IFERROR(__xludf.DUMMYFUNCTION("""COMPUTED_VALUE"""),16450.0)</f>
        <v>16450</v>
      </c>
      <c r="C1321" s="1">
        <f>IFERROR(__xludf.DUMMYFUNCTION("""COMPUTED_VALUE"""),17150.0)</f>
        <v>17150</v>
      </c>
      <c r="D1321" s="1">
        <f>IFERROR(__xludf.DUMMYFUNCTION("""COMPUTED_VALUE"""),16300.0)</f>
        <v>16300</v>
      </c>
      <c r="E1321" s="1">
        <f>IFERROR(__xludf.DUMMYFUNCTION("""COMPUTED_VALUE"""),17000.0)</f>
        <v>17000</v>
      </c>
      <c r="F1321" s="1">
        <f>IFERROR(__xludf.DUMMYFUNCTION("""COMPUTED_VALUE"""),92129.0)</f>
        <v>92129</v>
      </c>
    </row>
    <row r="1322">
      <c r="A1322" s="2">
        <f>IFERROR(__xludf.DUMMYFUNCTION("""COMPUTED_VALUE"""),44818.64583333333)</f>
        <v>44818.64583</v>
      </c>
      <c r="B1322" s="1">
        <f>IFERROR(__xludf.DUMMYFUNCTION("""COMPUTED_VALUE"""),16450.0)</f>
        <v>16450</v>
      </c>
      <c r="C1322" s="1">
        <f>IFERROR(__xludf.DUMMYFUNCTION("""COMPUTED_VALUE"""),16900.0)</f>
        <v>16900</v>
      </c>
      <c r="D1322" s="1">
        <f>IFERROR(__xludf.DUMMYFUNCTION("""COMPUTED_VALUE"""),16150.0)</f>
        <v>16150</v>
      </c>
      <c r="E1322" s="1">
        <f>IFERROR(__xludf.DUMMYFUNCTION("""COMPUTED_VALUE"""),16700.0)</f>
        <v>16700</v>
      </c>
      <c r="F1322" s="1">
        <f>IFERROR(__xludf.DUMMYFUNCTION("""COMPUTED_VALUE"""),57069.0)</f>
        <v>57069</v>
      </c>
    </row>
    <row r="1323">
      <c r="A1323" s="2">
        <f>IFERROR(__xludf.DUMMYFUNCTION("""COMPUTED_VALUE"""),44819.64583333333)</f>
        <v>44819.64583</v>
      </c>
      <c r="B1323" s="1">
        <f>IFERROR(__xludf.DUMMYFUNCTION("""COMPUTED_VALUE"""),16850.0)</f>
        <v>16850</v>
      </c>
      <c r="C1323" s="1">
        <f>IFERROR(__xludf.DUMMYFUNCTION("""COMPUTED_VALUE"""),17500.0)</f>
        <v>17500</v>
      </c>
      <c r="D1323" s="1">
        <f>IFERROR(__xludf.DUMMYFUNCTION("""COMPUTED_VALUE"""),16600.0)</f>
        <v>16600</v>
      </c>
      <c r="E1323" s="1">
        <f>IFERROR(__xludf.DUMMYFUNCTION("""COMPUTED_VALUE"""),17250.0)</f>
        <v>17250</v>
      </c>
      <c r="F1323" s="1">
        <f>IFERROR(__xludf.DUMMYFUNCTION("""COMPUTED_VALUE"""),76025.0)</f>
        <v>76025</v>
      </c>
    </row>
    <row r="1324">
      <c r="A1324" s="2">
        <f>IFERROR(__xludf.DUMMYFUNCTION("""COMPUTED_VALUE"""),44820.64583333333)</f>
        <v>44820.64583</v>
      </c>
      <c r="B1324" s="1">
        <f>IFERROR(__xludf.DUMMYFUNCTION("""COMPUTED_VALUE"""),16900.0)</f>
        <v>16900</v>
      </c>
      <c r="C1324" s="1">
        <f>IFERROR(__xludf.DUMMYFUNCTION("""COMPUTED_VALUE"""),17350.0)</f>
        <v>17350</v>
      </c>
      <c r="D1324" s="1">
        <f>IFERROR(__xludf.DUMMYFUNCTION("""COMPUTED_VALUE"""),16600.0)</f>
        <v>16600</v>
      </c>
      <c r="E1324" s="1">
        <f>IFERROR(__xludf.DUMMYFUNCTION("""COMPUTED_VALUE"""),16600.0)</f>
        <v>16600</v>
      </c>
      <c r="F1324" s="1">
        <f>IFERROR(__xludf.DUMMYFUNCTION("""COMPUTED_VALUE"""),54112.0)</f>
        <v>54112</v>
      </c>
    </row>
    <row r="1325">
      <c r="A1325" s="2">
        <f>IFERROR(__xludf.DUMMYFUNCTION("""COMPUTED_VALUE"""),44823.64583333333)</f>
        <v>44823.64583</v>
      </c>
      <c r="B1325" s="1">
        <f>IFERROR(__xludf.DUMMYFUNCTION("""COMPUTED_VALUE"""),16600.0)</f>
        <v>16600</v>
      </c>
      <c r="C1325" s="1">
        <f>IFERROR(__xludf.DUMMYFUNCTION("""COMPUTED_VALUE"""),16750.0)</f>
        <v>16750</v>
      </c>
      <c r="D1325" s="1">
        <f>IFERROR(__xludf.DUMMYFUNCTION("""COMPUTED_VALUE"""),15700.0)</f>
        <v>15700</v>
      </c>
      <c r="E1325" s="1">
        <f>IFERROR(__xludf.DUMMYFUNCTION("""COMPUTED_VALUE"""),16000.0)</f>
        <v>16000</v>
      </c>
      <c r="F1325" s="1">
        <f>IFERROR(__xludf.DUMMYFUNCTION("""COMPUTED_VALUE"""),86982.0)</f>
        <v>86982</v>
      </c>
    </row>
    <row r="1326">
      <c r="A1326" s="2">
        <f>IFERROR(__xludf.DUMMYFUNCTION("""COMPUTED_VALUE"""),44824.64583333333)</f>
        <v>44824.64583</v>
      </c>
      <c r="B1326" s="1">
        <f>IFERROR(__xludf.DUMMYFUNCTION("""COMPUTED_VALUE"""),16050.0)</f>
        <v>16050</v>
      </c>
      <c r="C1326" s="1">
        <f>IFERROR(__xludf.DUMMYFUNCTION("""COMPUTED_VALUE"""),16200.0)</f>
        <v>16200</v>
      </c>
      <c r="D1326" s="1">
        <f>IFERROR(__xludf.DUMMYFUNCTION("""COMPUTED_VALUE"""),15300.0)</f>
        <v>15300</v>
      </c>
      <c r="E1326" s="1">
        <f>IFERROR(__xludf.DUMMYFUNCTION("""COMPUTED_VALUE"""),15900.0)</f>
        <v>15900</v>
      </c>
      <c r="F1326" s="1">
        <f>IFERROR(__xludf.DUMMYFUNCTION("""COMPUTED_VALUE"""),74431.0)</f>
        <v>74431</v>
      </c>
    </row>
    <row r="1327">
      <c r="A1327" s="2">
        <f>IFERROR(__xludf.DUMMYFUNCTION("""COMPUTED_VALUE"""),44825.64583333333)</f>
        <v>44825.64583</v>
      </c>
      <c r="B1327" s="1">
        <f>IFERROR(__xludf.DUMMYFUNCTION("""COMPUTED_VALUE"""),15850.0)</f>
        <v>15850</v>
      </c>
      <c r="C1327" s="1">
        <f>IFERROR(__xludf.DUMMYFUNCTION("""COMPUTED_VALUE"""),15850.0)</f>
        <v>15850</v>
      </c>
      <c r="D1327" s="1">
        <f>IFERROR(__xludf.DUMMYFUNCTION("""COMPUTED_VALUE"""),14850.0)</f>
        <v>14850</v>
      </c>
      <c r="E1327" s="1">
        <f>IFERROR(__xludf.DUMMYFUNCTION("""COMPUTED_VALUE"""),15250.0)</f>
        <v>15250</v>
      </c>
      <c r="F1327" s="1">
        <f>IFERROR(__xludf.DUMMYFUNCTION("""COMPUTED_VALUE"""),72802.0)</f>
        <v>72802</v>
      </c>
    </row>
    <row r="1328">
      <c r="A1328" s="2">
        <f>IFERROR(__xludf.DUMMYFUNCTION("""COMPUTED_VALUE"""),44826.64583333333)</f>
        <v>44826.64583</v>
      </c>
      <c r="B1328" s="1">
        <f>IFERROR(__xludf.DUMMYFUNCTION("""COMPUTED_VALUE"""),15200.0)</f>
        <v>15200</v>
      </c>
      <c r="C1328" s="1">
        <f>IFERROR(__xludf.DUMMYFUNCTION("""COMPUTED_VALUE"""),15200.0)</f>
        <v>15200</v>
      </c>
      <c r="D1328" s="1">
        <f>IFERROR(__xludf.DUMMYFUNCTION("""COMPUTED_VALUE"""),14000.0)</f>
        <v>14000</v>
      </c>
      <c r="E1328" s="1">
        <f>IFERROR(__xludf.DUMMYFUNCTION("""COMPUTED_VALUE"""),14600.0)</f>
        <v>14600</v>
      </c>
      <c r="F1328" s="1">
        <f>IFERROR(__xludf.DUMMYFUNCTION("""COMPUTED_VALUE"""),139111.0)</f>
        <v>139111</v>
      </c>
    </row>
    <row r="1329">
      <c r="A1329" s="2">
        <f>IFERROR(__xludf.DUMMYFUNCTION("""COMPUTED_VALUE"""),44827.64583333333)</f>
        <v>44827.64583</v>
      </c>
      <c r="B1329" s="1">
        <f>IFERROR(__xludf.DUMMYFUNCTION("""COMPUTED_VALUE"""),14400.0)</f>
        <v>14400</v>
      </c>
      <c r="C1329" s="1">
        <f>IFERROR(__xludf.DUMMYFUNCTION("""COMPUTED_VALUE"""),14500.0)</f>
        <v>14500</v>
      </c>
      <c r="D1329" s="1">
        <f>IFERROR(__xludf.DUMMYFUNCTION("""COMPUTED_VALUE"""),13750.0)</f>
        <v>13750</v>
      </c>
      <c r="E1329" s="1">
        <f>IFERROR(__xludf.DUMMYFUNCTION("""COMPUTED_VALUE"""),14100.0)</f>
        <v>14100</v>
      </c>
      <c r="F1329" s="1">
        <f>IFERROR(__xludf.DUMMYFUNCTION("""COMPUTED_VALUE"""),99753.0)</f>
        <v>99753</v>
      </c>
    </row>
    <row r="1330">
      <c r="A1330" s="2">
        <f>IFERROR(__xludf.DUMMYFUNCTION("""COMPUTED_VALUE"""),44830.64583333333)</f>
        <v>44830.64583</v>
      </c>
      <c r="B1330" s="1">
        <f>IFERROR(__xludf.DUMMYFUNCTION("""COMPUTED_VALUE"""),13950.0)</f>
        <v>13950</v>
      </c>
      <c r="C1330" s="1">
        <f>IFERROR(__xludf.DUMMYFUNCTION("""COMPUTED_VALUE"""),13950.0)</f>
        <v>13950</v>
      </c>
      <c r="D1330" s="1">
        <f>IFERROR(__xludf.DUMMYFUNCTION("""COMPUTED_VALUE"""),12500.0)</f>
        <v>12500</v>
      </c>
      <c r="E1330" s="1">
        <f>IFERROR(__xludf.DUMMYFUNCTION("""COMPUTED_VALUE"""),13250.0)</f>
        <v>13250</v>
      </c>
      <c r="F1330" s="1">
        <f>IFERROR(__xludf.DUMMYFUNCTION("""COMPUTED_VALUE"""),177633.0)</f>
        <v>177633</v>
      </c>
    </row>
    <row r="1331">
      <c r="A1331" s="2">
        <f>IFERROR(__xludf.DUMMYFUNCTION("""COMPUTED_VALUE"""),44831.64583333333)</f>
        <v>44831.64583</v>
      </c>
      <c r="B1331" s="1">
        <f>IFERROR(__xludf.DUMMYFUNCTION("""COMPUTED_VALUE"""),13250.0)</f>
        <v>13250</v>
      </c>
      <c r="C1331" s="1">
        <f>IFERROR(__xludf.DUMMYFUNCTION("""COMPUTED_VALUE"""),13850.0)</f>
        <v>13850</v>
      </c>
      <c r="D1331" s="1">
        <f>IFERROR(__xludf.DUMMYFUNCTION("""COMPUTED_VALUE"""),13000.0)</f>
        <v>13000</v>
      </c>
      <c r="E1331" s="1">
        <f>IFERROR(__xludf.DUMMYFUNCTION("""COMPUTED_VALUE"""),13650.0)</f>
        <v>13650</v>
      </c>
      <c r="F1331" s="1">
        <f>IFERROR(__xludf.DUMMYFUNCTION("""COMPUTED_VALUE"""),50525.0)</f>
        <v>50525</v>
      </c>
    </row>
    <row r="1332">
      <c r="A1332" s="2">
        <f>IFERROR(__xludf.DUMMYFUNCTION("""COMPUTED_VALUE"""),44832.64583333333)</f>
        <v>44832.64583</v>
      </c>
      <c r="B1332" s="1">
        <f>IFERROR(__xludf.DUMMYFUNCTION("""COMPUTED_VALUE"""),13650.0)</f>
        <v>13650</v>
      </c>
      <c r="C1332" s="1">
        <f>IFERROR(__xludf.DUMMYFUNCTION("""COMPUTED_VALUE"""),13850.0)</f>
        <v>13850</v>
      </c>
      <c r="D1332" s="1">
        <f>IFERROR(__xludf.DUMMYFUNCTION("""COMPUTED_VALUE"""),12750.0)</f>
        <v>12750</v>
      </c>
      <c r="E1332" s="1">
        <f>IFERROR(__xludf.DUMMYFUNCTION("""COMPUTED_VALUE"""),12800.0)</f>
        <v>12800</v>
      </c>
      <c r="F1332" s="1">
        <f>IFERROR(__xludf.DUMMYFUNCTION("""COMPUTED_VALUE"""),59039.0)</f>
        <v>59039</v>
      </c>
    </row>
    <row r="1333">
      <c r="A1333" s="2">
        <f>IFERROR(__xludf.DUMMYFUNCTION("""COMPUTED_VALUE"""),44833.64583333333)</f>
        <v>44833.64583</v>
      </c>
      <c r="B1333" s="1">
        <f>IFERROR(__xludf.DUMMYFUNCTION("""COMPUTED_VALUE"""),13050.0)</f>
        <v>13050</v>
      </c>
      <c r="C1333" s="1">
        <f>IFERROR(__xludf.DUMMYFUNCTION("""COMPUTED_VALUE"""),14000.0)</f>
        <v>14000</v>
      </c>
      <c r="D1333" s="1">
        <f>IFERROR(__xludf.DUMMYFUNCTION("""COMPUTED_VALUE"""),13000.0)</f>
        <v>13000</v>
      </c>
      <c r="E1333" s="1">
        <f>IFERROR(__xludf.DUMMYFUNCTION("""COMPUTED_VALUE"""),13150.0)</f>
        <v>13150</v>
      </c>
      <c r="F1333" s="1">
        <f>IFERROR(__xludf.DUMMYFUNCTION("""COMPUTED_VALUE"""),42130.0)</f>
        <v>42130</v>
      </c>
    </row>
    <row r="1334">
      <c r="A1334" s="2">
        <f>IFERROR(__xludf.DUMMYFUNCTION("""COMPUTED_VALUE"""),44834.64583333333)</f>
        <v>44834.64583</v>
      </c>
      <c r="B1334" s="1">
        <f>IFERROR(__xludf.DUMMYFUNCTION("""COMPUTED_VALUE"""),12800.0)</f>
        <v>12800</v>
      </c>
      <c r="C1334" s="1">
        <f>IFERROR(__xludf.DUMMYFUNCTION("""COMPUTED_VALUE"""),13200.0)</f>
        <v>13200</v>
      </c>
      <c r="D1334" s="1">
        <f>IFERROR(__xludf.DUMMYFUNCTION("""COMPUTED_VALUE"""),12600.0)</f>
        <v>12600</v>
      </c>
      <c r="E1334" s="1">
        <f>IFERROR(__xludf.DUMMYFUNCTION("""COMPUTED_VALUE"""),13150.0)</f>
        <v>13150</v>
      </c>
      <c r="F1334" s="1">
        <f>IFERROR(__xludf.DUMMYFUNCTION("""COMPUTED_VALUE"""),69364.0)</f>
        <v>69364</v>
      </c>
    </row>
    <row r="1335">
      <c r="A1335" s="2">
        <f>IFERROR(__xludf.DUMMYFUNCTION("""COMPUTED_VALUE"""),44838.64583333333)</f>
        <v>44838.64583</v>
      </c>
      <c r="B1335" s="1">
        <f>IFERROR(__xludf.DUMMYFUNCTION("""COMPUTED_VALUE"""),13200.0)</f>
        <v>13200</v>
      </c>
      <c r="C1335" s="1">
        <f>IFERROR(__xludf.DUMMYFUNCTION("""COMPUTED_VALUE"""),13600.0)</f>
        <v>13600</v>
      </c>
      <c r="D1335" s="1">
        <f>IFERROR(__xludf.DUMMYFUNCTION("""COMPUTED_VALUE"""),13200.0)</f>
        <v>13200</v>
      </c>
      <c r="E1335" s="1">
        <f>IFERROR(__xludf.DUMMYFUNCTION("""COMPUTED_VALUE"""),13400.0)</f>
        <v>13400</v>
      </c>
      <c r="F1335" s="1">
        <f>IFERROR(__xludf.DUMMYFUNCTION("""COMPUTED_VALUE"""),42200.0)</f>
        <v>42200</v>
      </c>
    </row>
    <row r="1336">
      <c r="A1336" s="2">
        <f>IFERROR(__xludf.DUMMYFUNCTION("""COMPUTED_VALUE"""),44839.64583333333)</f>
        <v>44839.64583</v>
      </c>
      <c r="B1336" s="1">
        <f>IFERROR(__xludf.DUMMYFUNCTION("""COMPUTED_VALUE"""),13900.0)</f>
        <v>13900</v>
      </c>
      <c r="C1336" s="1">
        <f>IFERROR(__xludf.DUMMYFUNCTION("""COMPUTED_VALUE"""),13900.0)</f>
        <v>13900</v>
      </c>
      <c r="D1336" s="1">
        <f>IFERROR(__xludf.DUMMYFUNCTION("""COMPUTED_VALUE"""),12950.0)</f>
        <v>12950</v>
      </c>
      <c r="E1336" s="1">
        <f>IFERROR(__xludf.DUMMYFUNCTION("""COMPUTED_VALUE"""),13300.0)</f>
        <v>13300</v>
      </c>
      <c r="F1336" s="1">
        <f>IFERROR(__xludf.DUMMYFUNCTION("""COMPUTED_VALUE"""),42044.0)</f>
        <v>42044</v>
      </c>
    </row>
    <row r="1337">
      <c r="A1337" s="2">
        <f>IFERROR(__xludf.DUMMYFUNCTION("""COMPUTED_VALUE"""),44840.64583333333)</f>
        <v>44840.64583</v>
      </c>
      <c r="B1337" s="1">
        <f>IFERROR(__xludf.DUMMYFUNCTION("""COMPUTED_VALUE"""),13500.0)</f>
        <v>13500</v>
      </c>
      <c r="C1337" s="1">
        <f>IFERROR(__xludf.DUMMYFUNCTION("""COMPUTED_VALUE"""),14200.0)</f>
        <v>14200</v>
      </c>
      <c r="D1337" s="1">
        <f>IFERROR(__xludf.DUMMYFUNCTION("""COMPUTED_VALUE"""),13100.0)</f>
        <v>13100</v>
      </c>
      <c r="E1337" s="1">
        <f>IFERROR(__xludf.DUMMYFUNCTION("""COMPUTED_VALUE"""),13750.0)</f>
        <v>13750</v>
      </c>
      <c r="F1337" s="1">
        <f>IFERROR(__xludf.DUMMYFUNCTION("""COMPUTED_VALUE"""),49707.0)</f>
        <v>49707</v>
      </c>
    </row>
    <row r="1338">
      <c r="A1338" s="2">
        <f>IFERROR(__xludf.DUMMYFUNCTION("""COMPUTED_VALUE"""),44841.64583333333)</f>
        <v>44841.64583</v>
      </c>
      <c r="B1338" s="1">
        <f>IFERROR(__xludf.DUMMYFUNCTION("""COMPUTED_VALUE"""),13600.0)</f>
        <v>13600</v>
      </c>
      <c r="C1338" s="1">
        <f>IFERROR(__xludf.DUMMYFUNCTION("""COMPUTED_VALUE"""),14150.0)</f>
        <v>14150</v>
      </c>
      <c r="D1338" s="1">
        <f>IFERROR(__xludf.DUMMYFUNCTION("""COMPUTED_VALUE"""),13200.0)</f>
        <v>13200</v>
      </c>
      <c r="E1338" s="1">
        <f>IFERROR(__xludf.DUMMYFUNCTION("""COMPUTED_VALUE"""),13900.0)</f>
        <v>13900</v>
      </c>
      <c r="F1338" s="1">
        <f>IFERROR(__xludf.DUMMYFUNCTION("""COMPUTED_VALUE"""),56564.0)</f>
        <v>56564</v>
      </c>
    </row>
    <row r="1339">
      <c r="A1339" s="2">
        <f>IFERROR(__xludf.DUMMYFUNCTION("""COMPUTED_VALUE"""),44845.64583333333)</f>
        <v>44845.64583</v>
      </c>
      <c r="B1339" s="1">
        <f>IFERROR(__xludf.DUMMYFUNCTION("""COMPUTED_VALUE"""),13550.0)</f>
        <v>13550</v>
      </c>
      <c r="C1339" s="1">
        <f>IFERROR(__xludf.DUMMYFUNCTION("""COMPUTED_VALUE"""),13700.0)</f>
        <v>13700</v>
      </c>
      <c r="D1339" s="1">
        <f>IFERROR(__xludf.DUMMYFUNCTION("""COMPUTED_VALUE"""),13000.0)</f>
        <v>13000</v>
      </c>
      <c r="E1339" s="1">
        <f>IFERROR(__xludf.DUMMYFUNCTION("""COMPUTED_VALUE"""),13150.0)</f>
        <v>13150</v>
      </c>
      <c r="F1339" s="1">
        <f>IFERROR(__xludf.DUMMYFUNCTION("""COMPUTED_VALUE"""),35618.0)</f>
        <v>35618</v>
      </c>
    </row>
    <row r="1340">
      <c r="A1340" s="2">
        <f>IFERROR(__xludf.DUMMYFUNCTION("""COMPUTED_VALUE"""),44846.64583333333)</f>
        <v>44846.64583</v>
      </c>
      <c r="B1340" s="1">
        <f>IFERROR(__xludf.DUMMYFUNCTION("""COMPUTED_VALUE"""),13050.0)</f>
        <v>13050</v>
      </c>
      <c r="C1340" s="1">
        <f>IFERROR(__xludf.DUMMYFUNCTION("""COMPUTED_VALUE"""),13100.0)</f>
        <v>13100</v>
      </c>
      <c r="D1340" s="1">
        <f>IFERROR(__xludf.DUMMYFUNCTION("""COMPUTED_VALUE"""),11850.0)</f>
        <v>11850</v>
      </c>
      <c r="E1340" s="1">
        <f>IFERROR(__xludf.DUMMYFUNCTION("""COMPUTED_VALUE"""),12850.0)</f>
        <v>12850</v>
      </c>
      <c r="F1340" s="1">
        <f>IFERROR(__xludf.DUMMYFUNCTION("""COMPUTED_VALUE"""),67238.0)</f>
        <v>67238</v>
      </c>
    </row>
    <row r="1341">
      <c r="A1341" s="2">
        <f>IFERROR(__xludf.DUMMYFUNCTION("""COMPUTED_VALUE"""),44847.64583333333)</f>
        <v>44847.64583</v>
      </c>
      <c r="B1341" s="1">
        <f>IFERROR(__xludf.DUMMYFUNCTION("""COMPUTED_VALUE"""),12500.0)</f>
        <v>12500</v>
      </c>
      <c r="C1341" s="1">
        <f>IFERROR(__xludf.DUMMYFUNCTION("""COMPUTED_VALUE"""),12700.0)</f>
        <v>12700</v>
      </c>
      <c r="D1341" s="1">
        <f>IFERROR(__xludf.DUMMYFUNCTION("""COMPUTED_VALUE"""),12000.0)</f>
        <v>12000</v>
      </c>
      <c r="E1341" s="1">
        <f>IFERROR(__xludf.DUMMYFUNCTION("""COMPUTED_VALUE"""),12500.0)</f>
        <v>12500</v>
      </c>
      <c r="F1341" s="1">
        <f>IFERROR(__xludf.DUMMYFUNCTION("""COMPUTED_VALUE"""),62710.0)</f>
        <v>62710</v>
      </c>
    </row>
    <row r="1342">
      <c r="A1342" s="2">
        <f>IFERROR(__xludf.DUMMYFUNCTION("""COMPUTED_VALUE"""),44848.64583333333)</f>
        <v>44848.64583</v>
      </c>
      <c r="B1342" s="1">
        <f>IFERROR(__xludf.DUMMYFUNCTION("""COMPUTED_VALUE"""),12650.0)</f>
        <v>12650</v>
      </c>
      <c r="C1342" s="1">
        <f>IFERROR(__xludf.DUMMYFUNCTION("""COMPUTED_VALUE"""),13700.0)</f>
        <v>13700</v>
      </c>
      <c r="D1342" s="1">
        <f>IFERROR(__xludf.DUMMYFUNCTION("""COMPUTED_VALUE"""),12650.0)</f>
        <v>12650</v>
      </c>
      <c r="E1342" s="1">
        <f>IFERROR(__xludf.DUMMYFUNCTION("""COMPUTED_VALUE"""),13600.0)</f>
        <v>13600</v>
      </c>
      <c r="F1342" s="1">
        <f>IFERROR(__xludf.DUMMYFUNCTION("""COMPUTED_VALUE"""),70559.0)</f>
        <v>70559</v>
      </c>
    </row>
    <row r="1343">
      <c r="A1343" s="2">
        <f>IFERROR(__xludf.DUMMYFUNCTION("""COMPUTED_VALUE"""),44851.64583333333)</f>
        <v>44851.64583</v>
      </c>
      <c r="B1343" s="1">
        <f>IFERROR(__xludf.DUMMYFUNCTION("""COMPUTED_VALUE"""),13300.0)</f>
        <v>13300</v>
      </c>
      <c r="C1343" s="1">
        <f>IFERROR(__xludf.DUMMYFUNCTION("""COMPUTED_VALUE"""),14800.0)</f>
        <v>14800</v>
      </c>
      <c r="D1343" s="1">
        <f>IFERROR(__xludf.DUMMYFUNCTION("""COMPUTED_VALUE"""),13150.0)</f>
        <v>13150</v>
      </c>
      <c r="E1343" s="1">
        <f>IFERROR(__xludf.DUMMYFUNCTION("""COMPUTED_VALUE"""),14750.0)</f>
        <v>14750</v>
      </c>
      <c r="F1343" s="1">
        <f>IFERROR(__xludf.DUMMYFUNCTION("""COMPUTED_VALUE"""),69892.0)</f>
        <v>69892</v>
      </c>
    </row>
    <row r="1344">
      <c r="A1344" s="2">
        <f>IFERROR(__xludf.DUMMYFUNCTION("""COMPUTED_VALUE"""),44852.64583333333)</f>
        <v>44852.64583</v>
      </c>
      <c r="B1344" s="1">
        <f>IFERROR(__xludf.DUMMYFUNCTION("""COMPUTED_VALUE"""),14800.0)</f>
        <v>14800</v>
      </c>
      <c r="C1344" s="1">
        <f>IFERROR(__xludf.DUMMYFUNCTION("""COMPUTED_VALUE"""),15150.0)</f>
        <v>15150</v>
      </c>
      <c r="D1344" s="1">
        <f>IFERROR(__xludf.DUMMYFUNCTION("""COMPUTED_VALUE"""),14500.0)</f>
        <v>14500</v>
      </c>
      <c r="E1344" s="1">
        <f>IFERROR(__xludf.DUMMYFUNCTION("""COMPUTED_VALUE"""),14700.0)</f>
        <v>14700</v>
      </c>
      <c r="F1344" s="1">
        <f>IFERROR(__xludf.DUMMYFUNCTION("""COMPUTED_VALUE"""),46894.0)</f>
        <v>46894</v>
      </c>
    </row>
    <row r="1345">
      <c r="A1345" s="2">
        <f>IFERROR(__xludf.DUMMYFUNCTION("""COMPUTED_VALUE"""),44853.64583333333)</f>
        <v>44853.64583</v>
      </c>
      <c r="B1345" s="1">
        <f>IFERROR(__xludf.DUMMYFUNCTION("""COMPUTED_VALUE"""),14700.0)</f>
        <v>14700</v>
      </c>
      <c r="C1345" s="1">
        <f>IFERROR(__xludf.DUMMYFUNCTION("""COMPUTED_VALUE"""),14700.0)</f>
        <v>14700</v>
      </c>
      <c r="D1345" s="1">
        <f>IFERROR(__xludf.DUMMYFUNCTION("""COMPUTED_VALUE"""),13100.0)</f>
        <v>13100</v>
      </c>
      <c r="E1345" s="1">
        <f>IFERROR(__xludf.DUMMYFUNCTION("""COMPUTED_VALUE"""),13100.0)</f>
        <v>13100</v>
      </c>
      <c r="F1345" s="1">
        <f>IFERROR(__xludf.DUMMYFUNCTION("""COMPUTED_VALUE"""),145818.0)</f>
        <v>145818</v>
      </c>
    </row>
    <row r="1346">
      <c r="A1346" s="2">
        <f>IFERROR(__xludf.DUMMYFUNCTION("""COMPUTED_VALUE"""),44854.64583333333)</f>
        <v>44854.64583</v>
      </c>
      <c r="B1346" s="1">
        <f>IFERROR(__xludf.DUMMYFUNCTION("""COMPUTED_VALUE"""),13000.0)</f>
        <v>13000</v>
      </c>
      <c r="C1346" s="1">
        <f>IFERROR(__xludf.DUMMYFUNCTION("""COMPUTED_VALUE"""),13400.0)</f>
        <v>13400</v>
      </c>
      <c r="D1346" s="1">
        <f>IFERROR(__xludf.DUMMYFUNCTION("""COMPUTED_VALUE"""),12450.0)</f>
        <v>12450</v>
      </c>
      <c r="E1346" s="1">
        <f>IFERROR(__xludf.DUMMYFUNCTION("""COMPUTED_VALUE"""),13300.0)</f>
        <v>13300</v>
      </c>
      <c r="F1346" s="1">
        <f>IFERROR(__xludf.DUMMYFUNCTION("""COMPUTED_VALUE"""),70350.0)</f>
        <v>70350</v>
      </c>
    </row>
    <row r="1347">
      <c r="A1347" s="2">
        <f>IFERROR(__xludf.DUMMYFUNCTION("""COMPUTED_VALUE"""),44855.64583333333)</f>
        <v>44855.64583</v>
      </c>
      <c r="B1347" s="1">
        <f>IFERROR(__xludf.DUMMYFUNCTION("""COMPUTED_VALUE"""),13100.0)</f>
        <v>13100</v>
      </c>
      <c r="C1347" s="1">
        <f>IFERROR(__xludf.DUMMYFUNCTION("""COMPUTED_VALUE"""),13200.0)</f>
        <v>13200</v>
      </c>
      <c r="D1347" s="1">
        <f>IFERROR(__xludf.DUMMYFUNCTION("""COMPUTED_VALUE"""),12700.0)</f>
        <v>12700</v>
      </c>
      <c r="E1347" s="1">
        <f>IFERROR(__xludf.DUMMYFUNCTION("""COMPUTED_VALUE"""),12800.0)</f>
        <v>12800</v>
      </c>
      <c r="F1347" s="1">
        <f>IFERROR(__xludf.DUMMYFUNCTION("""COMPUTED_VALUE"""),58030.0)</f>
        <v>58030</v>
      </c>
    </row>
    <row r="1348">
      <c r="A1348" s="2">
        <f>IFERROR(__xludf.DUMMYFUNCTION("""COMPUTED_VALUE"""),44858.64583333333)</f>
        <v>44858.64583</v>
      </c>
      <c r="B1348" s="1">
        <f>IFERROR(__xludf.DUMMYFUNCTION("""COMPUTED_VALUE"""),13000.0)</f>
        <v>13000</v>
      </c>
      <c r="C1348" s="1">
        <f>IFERROR(__xludf.DUMMYFUNCTION("""COMPUTED_VALUE"""),13500.0)</f>
        <v>13500</v>
      </c>
      <c r="D1348" s="1">
        <f>IFERROR(__xludf.DUMMYFUNCTION("""COMPUTED_VALUE"""),13000.0)</f>
        <v>13000</v>
      </c>
      <c r="E1348" s="1">
        <f>IFERROR(__xludf.DUMMYFUNCTION("""COMPUTED_VALUE"""),13350.0)</f>
        <v>13350</v>
      </c>
      <c r="F1348" s="1">
        <f>IFERROR(__xludf.DUMMYFUNCTION("""COMPUTED_VALUE"""),28953.0)</f>
        <v>28953</v>
      </c>
    </row>
    <row r="1349">
      <c r="A1349" s="2">
        <f>IFERROR(__xludf.DUMMYFUNCTION("""COMPUTED_VALUE"""),44859.64583333333)</f>
        <v>44859.64583</v>
      </c>
      <c r="B1349" s="1">
        <f>IFERROR(__xludf.DUMMYFUNCTION("""COMPUTED_VALUE"""),13500.0)</f>
        <v>13500</v>
      </c>
      <c r="C1349" s="1">
        <f>IFERROR(__xludf.DUMMYFUNCTION("""COMPUTED_VALUE"""),13700.0)</f>
        <v>13700</v>
      </c>
      <c r="D1349" s="1">
        <f>IFERROR(__xludf.DUMMYFUNCTION("""COMPUTED_VALUE"""),13150.0)</f>
        <v>13150</v>
      </c>
      <c r="E1349" s="1">
        <f>IFERROR(__xludf.DUMMYFUNCTION("""COMPUTED_VALUE"""),13600.0)</f>
        <v>13600</v>
      </c>
      <c r="F1349" s="1">
        <f>IFERROR(__xludf.DUMMYFUNCTION("""COMPUTED_VALUE"""),38785.0)</f>
        <v>38785</v>
      </c>
    </row>
    <row r="1350">
      <c r="A1350" s="2">
        <f>IFERROR(__xludf.DUMMYFUNCTION("""COMPUTED_VALUE"""),44860.64583333333)</f>
        <v>44860.64583</v>
      </c>
      <c r="B1350" s="1">
        <f>IFERROR(__xludf.DUMMYFUNCTION("""COMPUTED_VALUE"""),13500.0)</f>
        <v>13500</v>
      </c>
      <c r="C1350" s="1">
        <f>IFERROR(__xludf.DUMMYFUNCTION("""COMPUTED_VALUE"""),14200.0)</f>
        <v>14200</v>
      </c>
      <c r="D1350" s="1">
        <f>IFERROR(__xludf.DUMMYFUNCTION("""COMPUTED_VALUE"""),13450.0)</f>
        <v>13450</v>
      </c>
      <c r="E1350" s="1">
        <f>IFERROR(__xludf.DUMMYFUNCTION("""COMPUTED_VALUE"""),14050.0)</f>
        <v>14050</v>
      </c>
      <c r="F1350" s="1">
        <f>IFERROR(__xludf.DUMMYFUNCTION("""COMPUTED_VALUE"""),39288.0)</f>
        <v>39288</v>
      </c>
    </row>
    <row r="1351">
      <c r="A1351" s="2">
        <f>IFERROR(__xludf.DUMMYFUNCTION("""COMPUTED_VALUE"""),44861.64583333333)</f>
        <v>44861.64583</v>
      </c>
      <c r="B1351" s="1">
        <f>IFERROR(__xludf.DUMMYFUNCTION("""COMPUTED_VALUE"""),13900.0)</f>
        <v>13900</v>
      </c>
      <c r="C1351" s="1">
        <f>IFERROR(__xludf.DUMMYFUNCTION("""COMPUTED_VALUE"""),14500.0)</f>
        <v>14500</v>
      </c>
      <c r="D1351" s="1">
        <f>IFERROR(__xludf.DUMMYFUNCTION("""COMPUTED_VALUE"""),13900.0)</f>
        <v>13900</v>
      </c>
      <c r="E1351" s="1">
        <f>IFERROR(__xludf.DUMMYFUNCTION("""COMPUTED_VALUE"""),14350.0)</f>
        <v>14350</v>
      </c>
      <c r="F1351" s="1">
        <f>IFERROR(__xludf.DUMMYFUNCTION("""COMPUTED_VALUE"""),24805.0)</f>
        <v>24805</v>
      </c>
    </row>
    <row r="1352">
      <c r="A1352" s="2">
        <f>IFERROR(__xludf.DUMMYFUNCTION("""COMPUTED_VALUE"""),44862.64583333333)</f>
        <v>44862.64583</v>
      </c>
      <c r="B1352" s="1">
        <f>IFERROR(__xludf.DUMMYFUNCTION("""COMPUTED_VALUE"""),14500.0)</f>
        <v>14500</v>
      </c>
      <c r="C1352" s="1">
        <f>IFERROR(__xludf.DUMMYFUNCTION("""COMPUTED_VALUE"""),14500.0)</f>
        <v>14500</v>
      </c>
      <c r="D1352" s="1">
        <f>IFERROR(__xludf.DUMMYFUNCTION("""COMPUTED_VALUE"""),14100.0)</f>
        <v>14100</v>
      </c>
      <c r="E1352" s="1">
        <f>IFERROR(__xludf.DUMMYFUNCTION("""COMPUTED_VALUE"""),14200.0)</f>
        <v>14200</v>
      </c>
      <c r="F1352" s="1">
        <f>IFERROR(__xludf.DUMMYFUNCTION("""COMPUTED_VALUE"""),21621.0)</f>
        <v>21621</v>
      </c>
    </row>
    <row r="1353">
      <c r="A1353" s="2">
        <f>IFERROR(__xludf.DUMMYFUNCTION("""COMPUTED_VALUE"""),44865.64583333333)</f>
        <v>44865.64583</v>
      </c>
      <c r="B1353" s="1">
        <f>IFERROR(__xludf.DUMMYFUNCTION("""COMPUTED_VALUE"""),14800.0)</f>
        <v>14800</v>
      </c>
      <c r="C1353" s="1">
        <f>IFERROR(__xludf.DUMMYFUNCTION("""COMPUTED_VALUE"""),14800.0)</f>
        <v>14800</v>
      </c>
      <c r="D1353" s="1">
        <f>IFERROR(__xludf.DUMMYFUNCTION("""COMPUTED_VALUE"""),14200.0)</f>
        <v>14200</v>
      </c>
      <c r="E1353" s="1">
        <f>IFERROR(__xludf.DUMMYFUNCTION("""COMPUTED_VALUE"""),14600.0)</f>
        <v>14600</v>
      </c>
      <c r="F1353" s="1">
        <f>IFERROR(__xludf.DUMMYFUNCTION("""COMPUTED_VALUE"""),19365.0)</f>
        <v>19365</v>
      </c>
    </row>
    <row r="1354">
      <c r="A1354" s="2">
        <f>IFERROR(__xludf.DUMMYFUNCTION("""COMPUTED_VALUE"""),44866.64583333333)</f>
        <v>44866.64583</v>
      </c>
      <c r="B1354" s="1">
        <f>IFERROR(__xludf.DUMMYFUNCTION("""COMPUTED_VALUE"""),14500.0)</f>
        <v>14500</v>
      </c>
      <c r="C1354" s="1">
        <f>IFERROR(__xludf.DUMMYFUNCTION("""COMPUTED_VALUE"""),15300.0)</f>
        <v>15300</v>
      </c>
      <c r="D1354" s="1">
        <f>IFERROR(__xludf.DUMMYFUNCTION("""COMPUTED_VALUE"""),14150.0)</f>
        <v>14150</v>
      </c>
      <c r="E1354" s="1">
        <f>IFERROR(__xludf.DUMMYFUNCTION("""COMPUTED_VALUE"""),15050.0)</f>
        <v>15050</v>
      </c>
      <c r="F1354" s="1">
        <f>IFERROR(__xludf.DUMMYFUNCTION("""COMPUTED_VALUE"""),62508.0)</f>
        <v>62508</v>
      </c>
    </row>
    <row r="1355">
      <c r="A1355" s="2">
        <f>IFERROR(__xludf.DUMMYFUNCTION("""COMPUTED_VALUE"""),44867.64583333333)</f>
        <v>44867.64583</v>
      </c>
      <c r="B1355" s="1">
        <f>IFERROR(__xludf.DUMMYFUNCTION("""COMPUTED_VALUE"""),15050.0)</f>
        <v>15050</v>
      </c>
      <c r="C1355" s="1">
        <f>IFERROR(__xludf.DUMMYFUNCTION("""COMPUTED_VALUE"""),15100.0)</f>
        <v>15100</v>
      </c>
      <c r="D1355" s="1">
        <f>IFERROR(__xludf.DUMMYFUNCTION("""COMPUTED_VALUE"""),14250.0)</f>
        <v>14250</v>
      </c>
      <c r="E1355" s="1">
        <f>IFERROR(__xludf.DUMMYFUNCTION("""COMPUTED_VALUE"""),14400.0)</f>
        <v>14400</v>
      </c>
      <c r="F1355" s="1">
        <f>IFERROR(__xludf.DUMMYFUNCTION("""COMPUTED_VALUE"""),51937.0)</f>
        <v>51937</v>
      </c>
    </row>
    <row r="1356">
      <c r="A1356" s="2">
        <f>IFERROR(__xludf.DUMMYFUNCTION("""COMPUTED_VALUE"""),44868.64583333333)</f>
        <v>44868.64583</v>
      </c>
      <c r="B1356" s="1">
        <f>IFERROR(__xludf.DUMMYFUNCTION("""COMPUTED_VALUE"""),14000.0)</f>
        <v>14000</v>
      </c>
      <c r="C1356" s="1">
        <f>IFERROR(__xludf.DUMMYFUNCTION("""COMPUTED_VALUE"""),14700.0)</f>
        <v>14700</v>
      </c>
      <c r="D1356" s="1">
        <f>IFERROR(__xludf.DUMMYFUNCTION("""COMPUTED_VALUE"""),14000.0)</f>
        <v>14000</v>
      </c>
      <c r="E1356" s="1">
        <f>IFERROR(__xludf.DUMMYFUNCTION("""COMPUTED_VALUE"""),14400.0)</f>
        <v>14400</v>
      </c>
      <c r="F1356" s="1">
        <f>IFERROR(__xludf.DUMMYFUNCTION("""COMPUTED_VALUE"""),22724.0)</f>
        <v>22724</v>
      </c>
    </row>
    <row r="1357">
      <c r="A1357" s="2">
        <f>IFERROR(__xludf.DUMMYFUNCTION("""COMPUTED_VALUE"""),44869.64583333333)</f>
        <v>44869.64583</v>
      </c>
      <c r="B1357" s="1">
        <f>IFERROR(__xludf.DUMMYFUNCTION("""COMPUTED_VALUE"""),14150.0)</f>
        <v>14150</v>
      </c>
      <c r="C1357" s="1">
        <f>IFERROR(__xludf.DUMMYFUNCTION("""COMPUTED_VALUE"""),14650.0)</f>
        <v>14650</v>
      </c>
      <c r="D1357" s="1">
        <f>IFERROR(__xludf.DUMMYFUNCTION("""COMPUTED_VALUE"""),13550.0)</f>
        <v>13550</v>
      </c>
      <c r="E1357" s="1">
        <f>IFERROR(__xludf.DUMMYFUNCTION("""COMPUTED_VALUE"""),14450.0)</f>
        <v>14450</v>
      </c>
      <c r="F1357" s="1">
        <f>IFERROR(__xludf.DUMMYFUNCTION("""COMPUTED_VALUE"""),36574.0)</f>
        <v>36574</v>
      </c>
    </row>
    <row r="1358">
      <c r="A1358" s="2">
        <f>IFERROR(__xludf.DUMMYFUNCTION("""COMPUTED_VALUE"""),44872.64583333333)</f>
        <v>44872.64583</v>
      </c>
      <c r="B1358" s="1">
        <f>IFERROR(__xludf.DUMMYFUNCTION("""COMPUTED_VALUE"""),14250.0)</f>
        <v>14250</v>
      </c>
      <c r="C1358" s="1">
        <f>IFERROR(__xludf.DUMMYFUNCTION("""COMPUTED_VALUE"""),14700.0)</f>
        <v>14700</v>
      </c>
      <c r="D1358" s="1">
        <f>IFERROR(__xludf.DUMMYFUNCTION("""COMPUTED_VALUE"""),14200.0)</f>
        <v>14200</v>
      </c>
      <c r="E1358" s="1">
        <f>IFERROR(__xludf.DUMMYFUNCTION("""COMPUTED_VALUE"""),14600.0)</f>
        <v>14600</v>
      </c>
      <c r="F1358" s="1">
        <f>IFERROR(__xludf.DUMMYFUNCTION("""COMPUTED_VALUE"""),14893.0)</f>
        <v>14893</v>
      </c>
    </row>
    <row r="1359">
      <c r="A1359" s="2">
        <f>IFERROR(__xludf.DUMMYFUNCTION("""COMPUTED_VALUE"""),44873.64583333333)</f>
        <v>44873.64583</v>
      </c>
      <c r="B1359" s="1">
        <f>IFERROR(__xludf.DUMMYFUNCTION("""COMPUTED_VALUE"""),14850.0)</f>
        <v>14850</v>
      </c>
      <c r="C1359" s="1">
        <f>IFERROR(__xludf.DUMMYFUNCTION("""COMPUTED_VALUE"""),14850.0)</f>
        <v>14850</v>
      </c>
      <c r="D1359" s="1">
        <f>IFERROR(__xludf.DUMMYFUNCTION("""COMPUTED_VALUE"""),14650.0)</f>
        <v>14650</v>
      </c>
      <c r="E1359" s="1">
        <f>IFERROR(__xludf.DUMMYFUNCTION("""COMPUTED_VALUE"""),14750.0)</f>
        <v>14750</v>
      </c>
      <c r="F1359" s="1">
        <f>IFERROR(__xludf.DUMMYFUNCTION("""COMPUTED_VALUE"""),11306.0)</f>
        <v>11306</v>
      </c>
    </row>
    <row r="1360">
      <c r="A1360" s="2">
        <f>IFERROR(__xludf.DUMMYFUNCTION("""COMPUTED_VALUE"""),44874.64583333333)</f>
        <v>44874.64583</v>
      </c>
      <c r="B1360" s="1">
        <f>IFERROR(__xludf.DUMMYFUNCTION("""COMPUTED_VALUE"""),14550.0)</f>
        <v>14550</v>
      </c>
      <c r="C1360" s="1">
        <f>IFERROR(__xludf.DUMMYFUNCTION("""COMPUTED_VALUE"""),14900.0)</f>
        <v>14900</v>
      </c>
      <c r="D1360" s="1">
        <f>IFERROR(__xludf.DUMMYFUNCTION("""COMPUTED_VALUE"""),14200.0)</f>
        <v>14200</v>
      </c>
      <c r="E1360" s="1">
        <f>IFERROR(__xludf.DUMMYFUNCTION("""COMPUTED_VALUE"""),14500.0)</f>
        <v>14500</v>
      </c>
      <c r="F1360" s="1">
        <f>IFERROR(__xludf.DUMMYFUNCTION("""COMPUTED_VALUE"""),30477.0)</f>
        <v>30477</v>
      </c>
    </row>
    <row r="1361">
      <c r="A1361" s="2">
        <f>IFERROR(__xludf.DUMMYFUNCTION("""COMPUTED_VALUE"""),44875.64583333333)</f>
        <v>44875.64583</v>
      </c>
      <c r="B1361" s="1">
        <f>IFERROR(__xludf.DUMMYFUNCTION("""COMPUTED_VALUE"""),14500.0)</f>
        <v>14500</v>
      </c>
      <c r="C1361" s="1">
        <f>IFERROR(__xludf.DUMMYFUNCTION("""COMPUTED_VALUE"""),14550.0)</f>
        <v>14550</v>
      </c>
      <c r="D1361" s="1">
        <f>IFERROR(__xludf.DUMMYFUNCTION("""COMPUTED_VALUE"""),14150.0)</f>
        <v>14150</v>
      </c>
      <c r="E1361" s="1">
        <f>IFERROR(__xludf.DUMMYFUNCTION("""COMPUTED_VALUE"""),14200.0)</f>
        <v>14200</v>
      </c>
      <c r="F1361" s="1">
        <f>IFERROR(__xludf.DUMMYFUNCTION("""COMPUTED_VALUE"""),12373.0)</f>
        <v>12373</v>
      </c>
    </row>
    <row r="1362">
      <c r="A1362" s="2">
        <f>IFERROR(__xludf.DUMMYFUNCTION("""COMPUTED_VALUE"""),44876.64583333333)</f>
        <v>44876.64583</v>
      </c>
      <c r="B1362" s="1">
        <f>IFERROR(__xludf.DUMMYFUNCTION("""COMPUTED_VALUE"""),14700.0)</f>
        <v>14700</v>
      </c>
      <c r="C1362" s="1">
        <f>IFERROR(__xludf.DUMMYFUNCTION("""COMPUTED_VALUE"""),15050.0)</f>
        <v>15050</v>
      </c>
      <c r="D1362" s="1">
        <f>IFERROR(__xludf.DUMMYFUNCTION("""COMPUTED_VALUE"""),14450.0)</f>
        <v>14450</v>
      </c>
      <c r="E1362" s="1">
        <f>IFERROR(__xludf.DUMMYFUNCTION("""COMPUTED_VALUE"""),14700.0)</f>
        <v>14700</v>
      </c>
      <c r="F1362" s="1">
        <f>IFERROR(__xludf.DUMMYFUNCTION("""COMPUTED_VALUE"""),49406.0)</f>
        <v>49406</v>
      </c>
    </row>
    <row r="1363">
      <c r="A1363" s="2">
        <f>IFERROR(__xludf.DUMMYFUNCTION("""COMPUTED_VALUE"""),44879.64583333333)</f>
        <v>44879.64583</v>
      </c>
      <c r="B1363" s="1">
        <f>IFERROR(__xludf.DUMMYFUNCTION("""COMPUTED_VALUE"""),14700.0)</f>
        <v>14700</v>
      </c>
      <c r="C1363" s="1">
        <f>IFERROR(__xludf.DUMMYFUNCTION("""COMPUTED_VALUE"""),15050.0)</f>
        <v>15050</v>
      </c>
      <c r="D1363" s="1">
        <f>IFERROR(__xludf.DUMMYFUNCTION("""COMPUTED_VALUE"""),14400.0)</f>
        <v>14400</v>
      </c>
      <c r="E1363" s="1">
        <f>IFERROR(__xludf.DUMMYFUNCTION("""COMPUTED_VALUE"""),14400.0)</f>
        <v>14400</v>
      </c>
      <c r="F1363" s="1">
        <f>IFERROR(__xludf.DUMMYFUNCTION("""COMPUTED_VALUE"""),34224.0)</f>
        <v>34224</v>
      </c>
    </row>
    <row r="1364">
      <c r="A1364" s="2">
        <f>IFERROR(__xludf.DUMMYFUNCTION("""COMPUTED_VALUE"""),44880.64583333333)</f>
        <v>44880.64583</v>
      </c>
      <c r="B1364" s="1">
        <f>IFERROR(__xludf.DUMMYFUNCTION("""COMPUTED_VALUE"""),14550.0)</f>
        <v>14550</v>
      </c>
      <c r="C1364" s="1">
        <f>IFERROR(__xludf.DUMMYFUNCTION("""COMPUTED_VALUE"""),14650.0)</f>
        <v>14650</v>
      </c>
      <c r="D1364" s="1">
        <f>IFERROR(__xludf.DUMMYFUNCTION("""COMPUTED_VALUE"""),14300.0)</f>
        <v>14300</v>
      </c>
      <c r="E1364" s="1">
        <f>IFERROR(__xludf.DUMMYFUNCTION("""COMPUTED_VALUE"""),14600.0)</f>
        <v>14600</v>
      </c>
      <c r="F1364" s="1">
        <f>IFERROR(__xludf.DUMMYFUNCTION("""COMPUTED_VALUE"""),19595.0)</f>
        <v>19595</v>
      </c>
    </row>
    <row r="1365">
      <c r="A1365" s="2">
        <f>IFERROR(__xludf.DUMMYFUNCTION("""COMPUTED_VALUE"""),44881.64583333333)</f>
        <v>44881.64583</v>
      </c>
      <c r="B1365" s="1">
        <f>IFERROR(__xludf.DUMMYFUNCTION("""COMPUTED_VALUE"""),14650.0)</f>
        <v>14650</v>
      </c>
      <c r="C1365" s="1">
        <f>IFERROR(__xludf.DUMMYFUNCTION("""COMPUTED_VALUE"""),15350.0)</f>
        <v>15350</v>
      </c>
      <c r="D1365" s="1">
        <f>IFERROR(__xludf.DUMMYFUNCTION("""COMPUTED_VALUE"""),14350.0)</f>
        <v>14350</v>
      </c>
      <c r="E1365" s="1">
        <f>IFERROR(__xludf.DUMMYFUNCTION("""COMPUTED_VALUE"""),15100.0)</f>
        <v>15100</v>
      </c>
      <c r="F1365" s="1">
        <f>IFERROR(__xludf.DUMMYFUNCTION("""COMPUTED_VALUE"""),46369.0)</f>
        <v>46369</v>
      </c>
    </row>
    <row r="1366">
      <c r="A1366" s="2">
        <f>IFERROR(__xludf.DUMMYFUNCTION("""COMPUTED_VALUE"""),44882.64583333333)</f>
        <v>44882.64583</v>
      </c>
      <c r="B1366" s="1">
        <f>IFERROR(__xludf.DUMMYFUNCTION("""COMPUTED_VALUE"""),15000.0)</f>
        <v>15000</v>
      </c>
      <c r="C1366" s="1">
        <f>IFERROR(__xludf.DUMMYFUNCTION("""COMPUTED_VALUE"""),15600.0)</f>
        <v>15600</v>
      </c>
      <c r="D1366" s="1">
        <f>IFERROR(__xludf.DUMMYFUNCTION("""COMPUTED_VALUE"""),14900.0)</f>
        <v>14900</v>
      </c>
      <c r="E1366" s="1">
        <f>IFERROR(__xludf.DUMMYFUNCTION("""COMPUTED_VALUE"""),15400.0)</f>
        <v>15400</v>
      </c>
      <c r="F1366" s="1">
        <f>IFERROR(__xludf.DUMMYFUNCTION("""COMPUTED_VALUE"""),43203.0)</f>
        <v>43203</v>
      </c>
    </row>
    <row r="1367">
      <c r="A1367" s="2">
        <f>IFERROR(__xludf.DUMMYFUNCTION("""COMPUTED_VALUE"""),44883.64583333333)</f>
        <v>44883.64583</v>
      </c>
      <c r="B1367" s="1">
        <f>IFERROR(__xludf.DUMMYFUNCTION("""COMPUTED_VALUE"""),15500.0)</f>
        <v>15500</v>
      </c>
      <c r="C1367" s="1">
        <f>IFERROR(__xludf.DUMMYFUNCTION("""COMPUTED_VALUE"""),15650.0)</f>
        <v>15650</v>
      </c>
      <c r="D1367" s="1">
        <f>IFERROR(__xludf.DUMMYFUNCTION("""COMPUTED_VALUE"""),15200.0)</f>
        <v>15200</v>
      </c>
      <c r="E1367" s="1">
        <f>IFERROR(__xludf.DUMMYFUNCTION("""COMPUTED_VALUE"""),15500.0)</f>
        <v>15500</v>
      </c>
      <c r="F1367" s="1">
        <f>IFERROR(__xludf.DUMMYFUNCTION("""COMPUTED_VALUE"""),28901.0)</f>
        <v>28901</v>
      </c>
    </row>
    <row r="1368">
      <c r="A1368" s="2">
        <f>IFERROR(__xludf.DUMMYFUNCTION("""COMPUTED_VALUE"""),44886.64583333333)</f>
        <v>44886.64583</v>
      </c>
      <c r="B1368" s="1">
        <f>IFERROR(__xludf.DUMMYFUNCTION("""COMPUTED_VALUE"""),15400.0)</f>
        <v>15400</v>
      </c>
      <c r="C1368" s="1">
        <f>IFERROR(__xludf.DUMMYFUNCTION("""COMPUTED_VALUE"""),16700.0)</f>
        <v>16700</v>
      </c>
      <c r="D1368" s="1">
        <f>IFERROR(__xludf.DUMMYFUNCTION("""COMPUTED_VALUE"""),15400.0)</f>
        <v>15400</v>
      </c>
      <c r="E1368" s="1">
        <f>IFERROR(__xludf.DUMMYFUNCTION("""COMPUTED_VALUE"""),16600.0)</f>
        <v>16600</v>
      </c>
      <c r="F1368" s="1">
        <f>IFERROR(__xludf.DUMMYFUNCTION("""COMPUTED_VALUE"""),125051.0)</f>
        <v>125051</v>
      </c>
    </row>
    <row r="1369">
      <c r="A1369" s="2">
        <f>IFERROR(__xludf.DUMMYFUNCTION("""COMPUTED_VALUE"""),44887.64583333333)</f>
        <v>44887.64583</v>
      </c>
      <c r="B1369" s="1">
        <f>IFERROR(__xludf.DUMMYFUNCTION("""COMPUTED_VALUE"""),16500.0)</f>
        <v>16500</v>
      </c>
      <c r="C1369" s="1">
        <f>IFERROR(__xludf.DUMMYFUNCTION("""COMPUTED_VALUE"""),16950.0)</f>
        <v>16950</v>
      </c>
      <c r="D1369" s="1">
        <f>IFERROR(__xludf.DUMMYFUNCTION("""COMPUTED_VALUE"""),16200.0)</f>
        <v>16200</v>
      </c>
      <c r="E1369" s="1">
        <f>IFERROR(__xludf.DUMMYFUNCTION("""COMPUTED_VALUE"""),16550.0)</f>
        <v>16550</v>
      </c>
      <c r="F1369" s="1">
        <f>IFERROR(__xludf.DUMMYFUNCTION("""COMPUTED_VALUE"""),42179.0)</f>
        <v>42179</v>
      </c>
    </row>
    <row r="1370">
      <c r="A1370" s="2">
        <f>IFERROR(__xludf.DUMMYFUNCTION("""COMPUTED_VALUE"""),44888.64583333333)</f>
        <v>44888.64583</v>
      </c>
      <c r="B1370" s="1">
        <f>IFERROR(__xludf.DUMMYFUNCTION("""COMPUTED_VALUE"""),16650.0)</f>
        <v>16650</v>
      </c>
      <c r="C1370" s="1">
        <f>IFERROR(__xludf.DUMMYFUNCTION("""COMPUTED_VALUE"""),16900.0)</f>
        <v>16900</v>
      </c>
      <c r="D1370" s="1">
        <f>IFERROR(__xludf.DUMMYFUNCTION("""COMPUTED_VALUE"""),16250.0)</f>
        <v>16250</v>
      </c>
      <c r="E1370" s="1">
        <f>IFERROR(__xludf.DUMMYFUNCTION("""COMPUTED_VALUE"""),16450.0)</f>
        <v>16450</v>
      </c>
      <c r="F1370" s="1">
        <f>IFERROR(__xludf.DUMMYFUNCTION("""COMPUTED_VALUE"""),35924.0)</f>
        <v>35924</v>
      </c>
    </row>
    <row r="1371">
      <c r="A1371" s="2">
        <f>IFERROR(__xludf.DUMMYFUNCTION("""COMPUTED_VALUE"""),44889.64583333333)</f>
        <v>44889.64583</v>
      </c>
      <c r="B1371" s="1">
        <f>IFERROR(__xludf.DUMMYFUNCTION("""COMPUTED_VALUE"""),16500.0)</f>
        <v>16500</v>
      </c>
      <c r="C1371" s="1">
        <f>IFERROR(__xludf.DUMMYFUNCTION("""COMPUTED_VALUE"""),16750.0)</f>
        <v>16750</v>
      </c>
      <c r="D1371" s="1">
        <f>IFERROR(__xludf.DUMMYFUNCTION("""COMPUTED_VALUE"""),16450.0)</f>
        <v>16450</v>
      </c>
      <c r="E1371" s="1">
        <f>IFERROR(__xludf.DUMMYFUNCTION("""COMPUTED_VALUE"""),16600.0)</f>
        <v>16600</v>
      </c>
      <c r="F1371" s="1">
        <f>IFERROR(__xludf.DUMMYFUNCTION("""COMPUTED_VALUE"""),22840.0)</f>
        <v>22840</v>
      </c>
    </row>
    <row r="1372">
      <c r="A1372" s="2">
        <f>IFERROR(__xludf.DUMMYFUNCTION("""COMPUTED_VALUE"""),44890.64583333333)</f>
        <v>44890.64583</v>
      </c>
      <c r="B1372" s="1">
        <f>IFERROR(__xludf.DUMMYFUNCTION("""COMPUTED_VALUE"""),16750.0)</f>
        <v>16750</v>
      </c>
      <c r="C1372" s="1">
        <f>IFERROR(__xludf.DUMMYFUNCTION("""COMPUTED_VALUE"""),17500.0)</f>
        <v>17500</v>
      </c>
      <c r="D1372" s="1">
        <f>IFERROR(__xludf.DUMMYFUNCTION("""COMPUTED_VALUE"""),16500.0)</f>
        <v>16500</v>
      </c>
      <c r="E1372" s="1">
        <f>IFERROR(__xludf.DUMMYFUNCTION("""COMPUTED_VALUE"""),17300.0)</f>
        <v>17300</v>
      </c>
      <c r="F1372" s="1">
        <f>IFERROR(__xludf.DUMMYFUNCTION("""COMPUTED_VALUE"""),68449.0)</f>
        <v>68449</v>
      </c>
    </row>
    <row r="1373">
      <c r="A1373" s="2">
        <f>IFERROR(__xludf.DUMMYFUNCTION("""COMPUTED_VALUE"""),44893.64583333333)</f>
        <v>44893.64583</v>
      </c>
      <c r="B1373" s="1">
        <f>IFERROR(__xludf.DUMMYFUNCTION("""COMPUTED_VALUE"""),17300.0)</f>
        <v>17300</v>
      </c>
      <c r="C1373" s="1">
        <f>IFERROR(__xludf.DUMMYFUNCTION("""COMPUTED_VALUE"""),17600.0)</f>
        <v>17600</v>
      </c>
      <c r="D1373" s="1">
        <f>IFERROR(__xludf.DUMMYFUNCTION("""COMPUTED_VALUE"""),17000.0)</f>
        <v>17000</v>
      </c>
      <c r="E1373" s="1">
        <f>IFERROR(__xludf.DUMMYFUNCTION("""COMPUTED_VALUE"""),17150.0)</f>
        <v>17150</v>
      </c>
      <c r="F1373" s="1">
        <f>IFERROR(__xludf.DUMMYFUNCTION("""COMPUTED_VALUE"""),38052.0)</f>
        <v>38052</v>
      </c>
    </row>
    <row r="1374">
      <c r="A1374" s="2">
        <f>IFERROR(__xludf.DUMMYFUNCTION("""COMPUTED_VALUE"""),44894.64583333333)</f>
        <v>44894.64583</v>
      </c>
      <c r="B1374" s="1">
        <f>IFERROR(__xludf.DUMMYFUNCTION("""COMPUTED_VALUE"""),17100.0)</f>
        <v>17100</v>
      </c>
      <c r="C1374" s="1">
        <f>IFERROR(__xludf.DUMMYFUNCTION("""COMPUTED_VALUE"""),17300.0)</f>
        <v>17300</v>
      </c>
      <c r="D1374" s="1">
        <f>IFERROR(__xludf.DUMMYFUNCTION("""COMPUTED_VALUE"""),16900.0)</f>
        <v>16900</v>
      </c>
      <c r="E1374" s="1">
        <f>IFERROR(__xludf.DUMMYFUNCTION("""COMPUTED_VALUE"""),17250.0)</f>
        <v>17250</v>
      </c>
      <c r="F1374" s="1">
        <f>IFERROR(__xludf.DUMMYFUNCTION("""COMPUTED_VALUE"""),27707.0)</f>
        <v>27707</v>
      </c>
    </row>
    <row r="1375">
      <c r="A1375" s="2">
        <f>IFERROR(__xludf.DUMMYFUNCTION("""COMPUTED_VALUE"""),44895.64583333333)</f>
        <v>44895.64583</v>
      </c>
      <c r="B1375" s="1">
        <f>IFERROR(__xludf.DUMMYFUNCTION("""COMPUTED_VALUE"""),17450.0)</f>
        <v>17450</v>
      </c>
      <c r="C1375" s="1">
        <f>IFERROR(__xludf.DUMMYFUNCTION("""COMPUTED_VALUE"""),17800.0)</f>
        <v>17800</v>
      </c>
      <c r="D1375" s="1">
        <f>IFERROR(__xludf.DUMMYFUNCTION("""COMPUTED_VALUE"""),17150.0)</f>
        <v>17150</v>
      </c>
      <c r="E1375" s="1">
        <f>IFERROR(__xludf.DUMMYFUNCTION("""COMPUTED_VALUE"""),17500.0)</f>
        <v>17500</v>
      </c>
      <c r="F1375" s="1">
        <f>IFERROR(__xludf.DUMMYFUNCTION("""COMPUTED_VALUE"""),47976.0)</f>
        <v>47976</v>
      </c>
    </row>
    <row r="1376">
      <c r="A1376" s="2">
        <f>IFERROR(__xludf.DUMMYFUNCTION("""COMPUTED_VALUE"""),44896.64583333333)</f>
        <v>44896.64583</v>
      </c>
      <c r="B1376" s="1">
        <f>IFERROR(__xludf.DUMMYFUNCTION("""COMPUTED_VALUE"""),17550.0)</f>
        <v>17550</v>
      </c>
      <c r="C1376" s="1">
        <f>IFERROR(__xludf.DUMMYFUNCTION("""COMPUTED_VALUE"""),18600.0)</f>
        <v>18600</v>
      </c>
      <c r="D1376" s="1">
        <f>IFERROR(__xludf.DUMMYFUNCTION("""COMPUTED_VALUE"""),17500.0)</f>
        <v>17500</v>
      </c>
      <c r="E1376" s="1">
        <f>IFERROR(__xludf.DUMMYFUNCTION("""COMPUTED_VALUE"""),18600.0)</f>
        <v>18600</v>
      </c>
      <c r="F1376" s="1">
        <f>IFERROR(__xludf.DUMMYFUNCTION("""COMPUTED_VALUE"""),170482.0)</f>
        <v>170482</v>
      </c>
    </row>
    <row r="1377">
      <c r="A1377" s="2">
        <f>IFERROR(__xludf.DUMMYFUNCTION("""COMPUTED_VALUE"""),44897.64583333333)</f>
        <v>44897.64583</v>
      </c>
      <c r="B1377" s="1">
        <f>IFERROR(__xludf.DUMMYFUNCTION("""COMPUTED_VALUE"""),18700.0)</f>
        <v>18700</v>
      </c>
      <c r="C1377" s="1">
        <f>IFERROR(__xludf.DUMMYFUNCTION("""COMPUTED_VALUE"""),19700.0)</f>
        <v>19700</v>
      </c>
      <c r="D1377" s="1">
        <f>IFERROR(__xludf.DUMMYFUNCTION("""COMPUTED_VALUE"""),16000.0)</f>
        <v>16000</v>
      </c>
      <c r="E1377" s="1">
        <f>IFERROR(__xludf.DUMMYFUNCTION("""COMPUTED_VALUE"""),17250.0)</f>
        <v>17250</v>
      </c>
      <c r="F1377" s="1">
        <f>IFERROR(__xludf.DUMMYFUNCTION("""COMPUTED_VALUE"""),795108.0)</f>
        <v>795108</v>
      </c>
    </row>
    <row r="1378">
      <c r="A1378" s="2">
        <f>IFERROR(__xludf.DUMMYFUNCTION("""COMPUTED_VALUE"""),44900.64583333333)</f>
        <v>44900.64583</v>
      </c>
      <c r="B1378" s="1">
        <f>IFERROR(__xludf.DUMMYFUNCTION("""COMPUTED_VALUE"""),17250.0)</f>
        <v>17250</v>
      </c>
      <c r="C1378" s="1">
        <f>IFERROR(__xludf.DUMMYFUNCTION("""COMPUTED_VALUE"""),17450.0)</f>
        <v>17450</v>
      </c>
      <c r="D1378" s="1">
        <f>IFERROR(__xludf.DUMMYFUNCTION("""COMPUTED_VALUE"""),16300.0)</f>
        <v>16300</v>
      </c>
      <c r="E1378" s="1">
        <f>IFERROR(__xludf.DUMMYFUNCTION("""COMPUTED_VALUE"""),16850.0)</f>
        <v>16850</v>
      </c>
      <c r="F1378" s="1">
        <f>IFERROR(__xludf.DUMMYFUNCTION("""COMPUTED_VALUE"""),92078.0)</f>
        <v>92078</v>
      </c>
    </row>
    <row r="1379">
      <c r="A1379" s="2">
        <f>IFERROR(__xludf.DUMMYFUNCTION("""COMPUTED_VALUE"""),44901.64583333333)</f>
        <v>44901.64583</v>
      </c>
      <c r="B1379" s="1">
        <f>IFERROR(__xludf.DUMMYFUNCTION("""COMPUTED_VALUE"""),16650.0)</f>
        <v>16650</v>
      </c>
      <c r="C1379" s="1">
        <f>IFERROR(__xludf.DUMMYFUNCTION("""COMPUTED_VALUE"""),16750.0)</f>
        <v>16750</v>
      </c>
      <c r="D1379" s="1">
        <f>IFERROR(__xludf.DUMMYFUNCTION("""COMPUTED_VALUE"""),15550.0)</f>
        <v>15550</v>
      </c>
      <c r="E1379" s="1">
        <f>IFERROR(__xludf.DUMMYFUNCTION("""COMPUTED_VALUE"""),15850.0)</f>
        <v>15850</v>
      </c>
      <c r="F1379" s="1">
        <f>IFERROR(__xludf.DUMMYFUNCTION("""COMPUTED_VALUE"""),83010.0)</f>
        <v>83010</v>
      </c>
    </row>
    <row r="1380">
      <c r="A1380" s="2">
        <f>IFERROR(__xludf.DUMMYFUNCTION("""COMPUTED_VALUE"""),44902.64583333333)</f>
        <v>44902.64583</v>
      </c>
      <c r="B1380" s="1">
        <f>IFERROR(__xludf.DUMMYFUNCTION("""COMPUTED_VALUE"""),15750.0)</f>
        <v>15750</v>
      </c>
      <c r="C1380" s="1">
        <f>IFERROR(__xludf.DUMMYFUNCTION("""COMPUTED_VALUE"""),15850.0)</f>
        <v>15850</v>
      </c>
      <c r="D1380" s="1">
        <f>IFERROR(__xludf.DUMMYFUNCTION("""COMPUTED_VALUE"""),14500.0)</f>
        <v>14500</v>
      </c>
      <c r="E1380" s="1">
        <f>IFERROR(__xludf.DUMMYFUNCTION("""COMPUTED_VALUE"""),15450.0)</f>
        <v>15450</v>
      </c>
      <c r="F1380" s="1">
        <f>IFERROR(__xludf.DUMMYFUNCTION("""COMPUTED_VALUE"""),171475.0)</f>
        <v>171475</v>
      </c>
    </row>
    <row r="1381">
      <c r="A1381" s="2">
        <f>IFERROR(__xludf.DUMMYFUNCTION("""COMPUTED_VALUE"""),44903.64583333333)</f>
        <v>44903.64583</v>
      </c>
      <c r="B1381" s="1">
        <f>IFERROR(__xludf.DUMMYFUNCTION("""COMPUTED_VALUE"""),15000.0)</f>
        <v>15000</v>
      </c>
      <c r="C1381" s="1">
        <f>IFERROR(__xludf.DUMMYFUNCTION("""COMPUTED_VALUE"""),15650.0)</f>
        <v>15650</v>
      </c>
      <c r="D1381" s="1">
        <f>IFERROR(__xludf.DUMMYFUNCTION("""COMPUTED_VALUE"""),15000.0)</f>
        <v>15000</v>
      </c>
      <c r="E1381" s="1">
        <f>IFERROR(__xludf.DUMMYFUNCTION("""COMPUTED_VALUE"""),15500.0)</f>
        <v>15500</v>
      </c>
      <c r="F1381" s="1">
        <f>IFERROR(__xludf.DUMMYFUNCTION("""COMPUTED_VALUE"""),40030.0)</f>
        <v>40030</v>
      </c>
    </row>
    <row r="1382">
      <c r="A1382" s="2">
        <f>IFERROR(__xludf.DUMMYFUNCTION("""COMPUTED_VALUE"""),44904.64583333333)</f>
        <v>44904.64583</v>
      </c>
      <c r="B1382" s="1">
        <f>IFERROR(__xludf.DUMMYFUNCTION("""COMPUTED_VALUE"""),15450.0)</f>
        <v>15450</v>
      </c>
      <c r="C1382" s="1">
        <f>IFERROR(__xludf.DUMMYFUNCTION("""COMPUTED_VALUE"""),15950.0)</f>
        <v>15950</v>
      </c>
      <c r="D1382" s="1">
        <f>IFERROR(__xludf.DUMMYFUNCTION("""COMPUTED_VALUE"""),15100.0)</f>
        <v>15100</v>
      </c>
      <c r="E1382" s="1">
        <f>IFERROR(__xludf.DUMMYFUNCTION("""COMPUTED_VALUE"""),15850.0)</f>
        <v>15850</v>
      </c>
      <c r="F1382" s="1">
        <f>IFERROR(__xludf.DUMMYFUNCTION("""COMPUTED_VALUE"""),47990.0)</f>
        <v>47990</v>
      </c>
    </row>
    <row r="1383">
      <c r="A1383" s="2">
        <f>IFERROR(__xludf.DUMMYFUNCTION("""COMPUTED_VALUE"""),44907.64583333333)</f>
        <v>44907.64583</v>
      </c>
      <c r="B1383" s="1">
        <f>IFERROR(__xludf.DUMMYFUNCTION("""COMPUTED_VALUE"""),15750.0)</f>
        <v>15750</v>
      </c>
      <c r="C1383" s="1">
        <f>IFERROR(__xludf.DUMMYFUNCTION("""COMPUTED_VALUE"""),16100.0)</f>
        <v>16100</v>
      </c>
      <c r="D1383" s="1">
        <f>IFERROR(__xludf.DUMMYFUNCTION("""COMPUTED_VALUE"""),15500.0)</f>
        <v>15500</v>
      </c>
      <c r="E1383" s="1">
        <f>IFERROR(__xludf.DUMMYFUNCTION("""COMPUTED_VALUE"""),15800.0)</f>
        <v>15800</v>
      </c>
      <c r="F1383" s="1">
        <f>IFERROR(__xludf.DUMMYFUNCTION("""COMPUTED_VALUE"""),28529.0)</f>
        <v>28529</v>
      </c>
    </row>
    <row r="1384">
      <c r="A1384" s="2">
        <f>IFERROR(__xludf.DUMMYFUNCTION("""COMPUTED_VALUE"""),44908.64583333333)</f>
        <v>44908.64583</v>
      </c>
      <c r="B1384" s="1">
        <f>IFERROR(__xludf.DUMMYFUNCTION("""COMPUTED_VALUE"""),15900.0)</f>
        <v>15900</v>
      </c>
      <c r="C1384" s="1">
        <f>IFERROR(__xludf.DUMMYFUNCTION("""COMPUTED_VALUE"""),15950.0)</f>
        <v>15950</v>
      </c>
      <c r="D1384" s="1">
        <f>IFERROR(__xludf.DUMMYFUNCTION("""COMPUTED_VALUE"""),15550.0)</f>
        <v>15550</v>
      </c>
      <c r="E1384" s="1">
        <f>IFERROR(__xludf.DUMMYFUNCTION("""COMPUTED_VALUE"""),15600.0)</f>
        <v>15600</v>
      </c>
      <c r="F1384" s="1">
        <f>IFERROR(__xludf.DUMMYFUNCTION("""COMPUTED_VALUE"""),25420.0)</f>
        <v>25420</v>
      </c>
    </row>
    <row r="1385">
      <c r="A1385" s="2">
        <f>IFERROR(__xludf.DUMMYFUNCTION("""COMPUTED_VALUE"""),44909.64583333333)</f>
        <v>44909.64583</v>
      </c>
      <c r="B1385" s="1">
        <f>IFERROR(__xludf.DUMMYFUNCTION("""COMPUTED_VALUE"""),15600.0)</f>
        <v>15600</v>
      </c>
      <c r="C1385" s="1">
        <f>IFERROR(__xludf.DUMMYFUNCTION("""COMPUTED_VALUE"""),16050.0)</f>
        <v>16050</v>
      </c>
      <c r="D1385" s="1">
        <f>IFERROR(__xludf.DUMMYFUNCTION("""COMPUTED_VALUE"""),15550.0)</f>
        <v>15550</v>
      </c>
      <c r="E1385" s="1">
        <f>IFERROR(__xludf.DUMMYFUNCTION("""COMPUTED_VALUE"""),16000.0)</f>
        <v>16000</v>
      </c>
      <c r="F1385" s="1">
        <f>IFERROR(__xludf.DUMMYFUNCTION("""COMPUTED_VALUE"""),14892.0)</f>
        <v>14892</v>
      </c>
    </row>
    <row r="1386">
      <c r="A1386" s="2">
        <f>IFERROR(__xludf.DUMMYFUNCTION("""COMPUTED_VALUE"""),44910.64583333333)</f>
        <v>44910.64583</v>
      </c>
      <c r="B1386" s="1">
        <f>IFERROR(__xludf.DUMMYFUNCTION("""COMPUTED_VALUE"""),15850.0)</f>
        <v>15850</v>
      </c>
      <c r="C1386" s="1">
        <f>IFERROR(__xludf.DUMMYFUNCTION("""COMPUTED_VALUE"""),16000.0)</f>
        <v>16000</v>
      </c>
      <c r="D1386" s="1">
        <f>IFERROR(__xludf.DUMMYFUNCTION("""COMPUTED_VALUE"""),15500.0)</f>
        <v>15500</v>
      </c>
      <c r="E1386" s="1">
        <f>IFERROR(__xludf.DUMMYFUNCTION("""COMPUTED_VALUE"""),15850.0)</f>
        <v>15850</v>
      </c>
      <c r="F1386" s="1">
        <f>IFERROR(__xludf.DUMMYFUNCTION("""COMPUTED_VALUE"""),20972.0)</f>
        <v>20972</v>
      </c>
    </row>
    <row r="1387">
      <c r="A1387" s="2">
        <f>IFERROR(__xludf.DUMMYFUNCTION("""COMPUTED_VALUE"""),44911.64583333333)</f>
        <v>44911.64583</v>
      </c>
      <c r="B1387" s="1">
        <f>IFERROR(__xludf.DUMMYFUNCTION("""COMPUTED_VALUE"""),15500.0)</f>
        <v>15500</v>
      </c>
      <c r="C1387" s="1">
        <f>IFERROR(__xludf.DUMMYFUNCTION("""COMPUTED_VALUE"""),15950.0)</f>
        <v>15950</v>
      </c>
      <c r="D1387" s="1">
        <f>IFERROR(__xludf.DUMMYFUNCTION("""COMPUTED_VALUE"""),15050.0)</f>
        <v>15050</v>
      </c>
      <c r="E1387" s="1">
        <f>IFERROR(__xludf.DUMMYFUNCTION("""COMPUTED_VALUE"""),15800.0)</f>
        <v>15800</v>
      </c>
      <c r="F1387" s="1">
        <f>IFERROR(__xludf.DUMMYFUNCTION("""COMPUTED_VALUE"""),28867.0)</f>
        <v>28867</v>
      </c>
    </row>
    <row r="1388">
      <c r="A1388" s="2">
        <f>IFERROR(__xludf.DUMMYFUNCTION("""COMPUTED_VALUE"""),44914.64583333333)</f>
        <v>44914.64583</v>
      </c>
      <c r="B1388" s="1">
        <f>IFERROR(__xludf.DUMMYFUNCTION("""COMPUTED_VALUE"""),16000.0)</f>
        <v>16000</v>
      </c>
      <c r="C1388" s="1">
        <f>IFERROR(__xludf.DUMMYFUNCTION("""COMPUTED_VALUE"""),16000.0)</f>
        <v>16000</v>
      </c>
      <c r="D1388" s="1">
        <f>IFERROR(__xludf.DUMMYFUNCTION("""COMPUTED_VALUE"""),15200.0)</f>
        <v>15200</v>
      </c>
      <c r="E1388" s="1">
        <f>IFERROR(__xludf.DUMMYFUNCTION("""COMPUTED_VALUE"""),15600.0)</f>
        <v>15600</v>
      </c>
      <c r="F1388" s="1">
        <f>IFERROR(__xludf.DUMMYFUNCTION("""COMPUTED_VALUE"""),80033.0)</f>
        <v>80033</v>
      </c>
    </row>
    <row r="1389">
      <c r="A1389" s="2">
        <f>IFERROR(__xludf.DUMMYFUNCTION("""COMPUTED_VALUE"""),44915.64583333333)</f>
        <v>44915.64583</v>
      </c>
      <c r="B1389" s="1">
        <f>IFERROR(__xludf.DUMMYFUNCTION("""COMPUTED_VALUE"""),15600.0)</f>
        <v>15600</v>
      </c>
      <c r="C1389" s="1">
        <f>IFERROR(__xludf.DUMMYFUNCTION("""COMPUTED_VALUE"""),15750.0)</f>
        <v>15750</v>
      </c>
      <c r="D1389" s="1">
        <f>IFERROR(__xludf.DUMMYFUNCTION("""COMPUTED_VALUE"""),14800.0)</f>
        <v>14800</v>
      </c>
      <c r="E1389" s="1">
        <f>IFERROR(__xludf.DUMMYFUNCTION("""COMPUTED_VALUE"""),14850.0)</f>
        <v>14850</v>
      </c>
      <c r="F1389" s="1">
        <f>IFERROR(__xludf.DUMMYFUNCTION("""COMPUTED_VALUE"""),119627.0)</f>
        <v>119627</v>
      </c>
    </row>
    <row r="1390">
      <c r="A1390" s="2">
        <f>IFERROR(__xludf.DUMMYFUNCTION("""COMPUTED_VALUE"""),44916.64583333333)</f>
        <v>44916.64583</v>
      </c>
      <c r="B1390" s="1">
        <f>IFERROR(__xludf.DUMMYFUNCTION("""COMPUTED_VALUE"""),14900.0)</f>
        <v>14900</v>
      </c>
      <c r="C1390" s="1">
        <f>IFERROR(__xludf.DUMMYFUNCTION("""COMPUTED_VALUE"""),15050.0)</f>
        <v>15050</v>
      </c>
      <c r="D1390" s="1">
        <f>IFERROR(__xludf.DUMMYFUNCTION("""COMPUTED_VALUE"""),14500.0)</f>
        <v>14500</v>
      </c>
      <c r="E1390" s="1">
        <f>IFERROR(__xludf.DUMMYFUNCTION("""COMPUTED_VALUE"""),14750.0)</f>
        <v>14750</v>
      </c>
      <c r="F1390" s="1">
        <f>IFERROR(__xludf.DUMMYFUNCTION("""COMPUTED_VALUE"""),60371.0)</f>
        <v>60371</v>
      </c>
    </row>
    <row r="1391">
      <c r="A1391" s="2">
        <f>IFERROR(__xludf.DUMMYFUNCTION("""COMPUTED_VALUE"""),44917.64583333333)</f>
        <v>44917.64583</v>
      </c>
      <c r="B1391" s="1">
        <f>IFERROR(__xludf.DUMMYFUNCTION("""COMPUTED_VALUE"""),14650.0)</f>
        <v>14650</v>
      </c>
      <c r="C1391" s="1">
        <f>IFERROR(__xludf.DUMMYFUNCTION("""COMPUTED_VALUE"""),15000.0)</f>
        <v>15000</v>
      </c>
      <c r="D1391" s="1">
        <f>IFERROR(__xludf.DUMMYFUNCTION("""COMPUTED_VALUE"""),13900.0)</f>
        <v>13900</v>
      </c>
      <c r="E1391" s="1">
        <f>IFERROR(__xludf.DUMMYFUNCTION("""COMPUTED_VALUE"""),14200.0)</f>
        <v>14200</v>
      </c>
      <c r="F1391" s="1">
        <f>IFERROR(__xludf.DUMMYFUNCTION("""COMPUTED_VALUE"""),128604.0)</f>
        <v>128604</v>
      </c>
    </row>
    <row r="1392">
      <c r="A1392" s="2">
        <f>IFERROR(__xludf.DUMMYFUNCTION("""COMPUTED_VALUE"""),44918.64583333333)</f>
        <v>44918.64583</v>
      </c>
      <c r="B1392" s="1">
        <f>IFERROR(__xludf.DUMMYFUNCTION("""COMPUTED_VALUE"""),14100.0)</f>
        <v>14100</v>
      </c>
      <c r="C1392" s="1">
        <f>IFERROR(__xludf.DUMMYFUNCTION("""COMPUTED_VALUE"""),14100.0)</f>
        <v>14100</v>
      </c>
      <c r="D1392" s="1">
        <f>IFERROR(__xludf.DUMMYFUNCTION("""COMPUTED_VALUE"""),13450.0)</f>
        <v>13450</v>
      </c>
      <c r="E1392" s="1">
        <f>IFERROR(__xludf.DUMMYFUNCTION("""COMPUTED_VALUE"""),13450.0)</f>
        <v>13450</v>
      </c>
      <c r="F1392" s="1">
        <f>IFERROR(__xludf.DUMMYFUNCTION("""COMPUTED_VALUE"""),90042.0)</f>
        <v>90042</v>
      </c>
    </row>
    <row r="1393">
      <c r="A1393" s="2">
        <f>IFERROR(__xludf.DUMMYFUNCTION("""COMPUTED_VALUE"""),44921.64583333333)</f>
        <v>44921.64583</v>
      </c>
      <c r="B1393" s="1">
        <f>IFERROR(__xludf.DUMMYFUNCTION("""COMPUTED_VALUE"""),13500.0)</f>
        <v>13500</v>
      </c>
      <c r="C1393" s="1">
        <f>IFERROR(__xludf.DUMMYFUNCTION("""COMPUTED_VALUE"""),14600.0)</f>
        <v>14600</v>
      </c>
      <c r="D1393" s="1">
        <f>IFERROR(__xludf.DUMMYFUNCTION("""COMPUTED_VALUE"""),13350.0)</f>
        <v>13350</v>
      </c>
      <c r="E1393" s="1">
        <f>IFERROR(__xludf.DUMMYFUNCTION("""COMPUTED_VALUE"""),14250.0)</f>
        <v>14250</v>
      </c>
      <c r="F1393" s="1">
        <f>IFERROR(__xludf.DUMMYFUNCTION("""COMPUTED_VALUE"""),77738.0)</f>
        <v>77738</v>
      </c>
    </row>
    <row r="1394">
      <c r="A1394" s="2">
        <f>IFERROR(__xludf.DUMMYFUNCTION("""COMPUTED_VALUE"""),44922.64583333333)</f>
        <v>44922.64583</v>
      </c>
      <c r="B1394" s="1">
        <f>IFERROR(__xludf.DUMMYFUNCTION("""COMPUTED_VALUE"""),14150.0)</f>
        <v>14150</v>
      </c>
      <c r="C1394" s="1">
        <f>IFERROR(__xludf.DUMMYFUNCTION("""COMPUTED_VALUE"""),14500.0)</f>
        <v>14500</v>
      </c>
      <c r="D1394" s="1">
        <f>IFERROR(__xludf.DUMMYFUNCTION("""COMPUTED_VALUE"""),13800.0)</f>
        <v>13800</v>
      </c>
      <c r="E1394" s="1">
        <f>IFERROR(__xludf.DUMMYFUNCTION("""COMPUTED_VALUE"""),14250.0)</f>
        <v>14250</v>
      </c>
      <c r="F1394" s="1">
        <f>IFERROR(__xludf.DUMMYFUNCTION("""COMPUTED_VALUE"""),41938.0)</f>
        <v>41938</v>
      </c>
    </row>
    <row r="1395">
      <c r="A1395" s="2">
        <f>IFERROR(__xludf.DUMMYFUNCTION("""COMPUTED_VALUE"""),44923.64583333333)</f>
        <v>44923.64583</v>
      </c>
      <c r="B1395" s="1">
        <f>IFERROR(__xludf.DUMMYFUNCTION("""COMPUTED_VALUE"""),14000.0)</f>
        <v>14000</v>
      </c>
      <c r="C1395" s="1">
        <f>IFERROR(__xludf.DUMMYFUNCTION("""COMPUTED_VALUE"""),14900.0)</f>
        <v>14900</v>
      </c>
      <c r="D1395" s="1">
        <f>IFERROR(__xludf.DUMMYFUNCTION("""COMPUTED_VALUE"""),13950.0)</f>
        <v>13950</v>
      </c>
      <c r="E1395" s="1">
        <f>IFERROR(__xludf.DUMMYFUNCTION("""COMPUTED_VALUE"""),14350.0)</f>
        <v>14350</v>
      </c>
      <c r="F1395" s="1">
        <f>IFERROR(__xludf.DUMMYFUNCTION("""COMPUTED_VALUE"""),27202.0)</f>
        <v>27202</v>
      </c>
    </row>
    <row r="1396">
      <c r="A1396" s="2">
        <f>IFERROR(__xludf.DUMMYFUNCTION("""COMPUTED_VALUE"""),44924.64583333333)</f>
        <v>44924.64583</v>
      </c>
      <c r="B1396" s="1">
        <f>IFERROR(__xludf.DUMMYFUNCTION("""COMPUTED_VALUE"""),14300.0)</f>
        <v>14300</v>
      </c>
      <c r="C1396" s="1">
        <f>IFERROR(__xludf.DUMMYFUNCTION("""COMPUTED_VALUE"""),14350.0)</f>
        <v>14350</v>
      </c>
      <c r="D1396" s="1">
        <f>IFERROR(__xludf.DUMMYFUNCTION("""COMPUTED_VALUE"""),13650.0)</f>
        <v>13650</v>
      </c>
      <c r="E1396" s="1">
        <f>IFERROR(__xludf.DUMMYFUNCTION("""COMPUTED_VALUE"""),13900.0)</f>
        <v>13900</v>
      </c>
      <c r="F1396" s="1">
        <f>IFERROR(__xludf.DUMMYFUNCTION("""COMPUTED_VALUE"""),51963.0)</f>
        <v>51963</v>
      </c>
    </row>
    <row r="1397">
      <c r="A1397" s="2">
        <f>IFERROR(__xludf.DUMMYFUNCTION("""COMPUTED_VALUE"""),44928.64583333333)</f>
        <v>44928.64583</v>
      </c>
      <c r="B1397" s="1">
        <f>IFERROR(__xludf.DUMMYFUNCTION("""COMPUTED_VALUE"""),14000.0)</f>
        <v>14000</v>
      </c>
      <c r="C1397" s="1">
        <f>IFERROR(__xludf.DUMMYFUNCTION("""COMPUTED_VALUE"""),14500.0)</f>
        <v>14500</v>
      </c>
      <c r="D1397" s="1">
        <f>IFERROR(__xludf.DUMMYFUNCTION("""COMPUTED_VALUE"""),13750.0)</f>
        <v>13750</v>
      </c>
      <c r="E1397" s="1">
        <f>IFERROR(__xludf.DUMMYFUNCTION("""COMPUTED_VALUE"""),14150.0)</f>
        <v>14150</v>
      </c>
      <c r="F1397" s="1">
        <f>IFERROR(__xludf.DUMMYFUNCTION("""COMPUTED_VALUE"""),36736.0)</f>
        <v>36736</v>
      </c>
    </row>
    <row r="1398">
      <c r="A1398" s="2">
        <f>IFERROR(__xludf.DUMMYFUNCTION("""COMPUTED_VALUE"""),44929.64583333333)</f>
        <v>44929.64583</v>
      </c>
      <c r="B1398" s="1">
        <f>IFERROR(__xludf.DUMMYFUNCTION("""COMPUTED_VALUE"""),13950.0)</f>
        <v>13950</v>
      </c>
      <c r="C1398" s="1">
        <f>IFERROR(__xludf.DUMMYFUNCTION("""COMPUTED_VALUE"""),14050.0)</f>
        <v>14050</v>
      </c>
      <c r="D1398" s="1">
        <f>IFERROR(__xludf.DUMMYFUNCTION("""COMPUTED_VALUE"""),13450.0)</f>
        <v>13450</v>
      </c>
      <c r="E1398" s="1">
        <f>IFERROR(__xludf.DUMMYFUNCTION("""COMPUTED_VALUE"""),13550.0)</f>
        <v>13550</v>
      </c>
      <c r="F1398" s="1">
        <f>IFERROR(__xludf.DUMMYFUNCTION("""COMPUTED_VALUE"""),55314.0)</f>
        <v>55314</v>
      </c>
    </row>
    <row r="1399">
      <c r="A1399" s="2">
        <f>IFERROR(__xludf.DUMMYFUNCTION("""COMPUTED_VALUE"""),44930.64583333333)</f>
        <v>44930.64583</v>
      </c>
      <c r="B1399" s="1">
        <f>IFERROR(__xludf.DUMMYFUNCTION("""COMPUTED_VALUE"""),13150.0)</f>
        <v>13150</v>
      </c>
      <c r="C1399" s="1">
        <f>IFERROR(__xludf.DUMMYFUNCTION("""COMPUTED_VALUE"""),13900.0)</f>
        <v>13900</v>
      </c>
      <c r="D1399" s="1">
        <f>IFERROR(__xludf.DUMMYFUNCTION("""COMPUTED_VALUE"""),13050.0)</f>
        <v>13050</v>
      </c>
      <c r="E1399" s="1">
        <f>IFERROR(__xludf.DUMMYFUNCTION("""COMPUTED_VALUE"""),13900.0)</f>
        <v>13900</v>
      </c>
      <c r="F1399" s="1">
        <f>IFERROR(__xludf.DUMMYFUNCTION("""COMPUTED_VALUE"""),36080.0)</f>
        <v>36080</v>
      </c>
    </row>
    <row r="1400">
      <c r="A1400" s="2">
        <f>IFERROR(__xludf.DUMMYFUNCTION("""COMPUTED_VALUE"""),44931.64583333333)</f>
        <v>44931.64583</v>
      </c>
      <c r="B1400" s="1">
        <f>IFERROR(__xludf.DUMMYFUNCTION("""COMPUTED_VALUE"""),14200.0)</f>
        <v>14200</v>
      </c>
      <c r="C1400" s="1">
        <f>IFERROR(__xludf.DUMMYFUNCTION("""COMPUTED_VALUE"""),14200.0)</f>
        <v>14200</v>
      </c>
      <c r="D1400" s="1">
        <f>IFERROR(__xludf.DUMMYFUNCTION("""COMPUTED_VALUE"""),13600.0)</f>
        <v>13600</v>
      </c>
      <c r="E1400" s="1">
        <f>IFERROR(__xludf.DUMMYFUNCTION("""COMPUTED_VALUE"""),13900.0)</f>
        <v>13900</v>
      </c>
      <c r="F1400" s="1">
        <f>IFERROR(__xludf.DUMMYFUNCTION("""COMPUTED_VALUE"""),11158.0)</f>
        <v>11158</v>
      </c>
    </row>
    <row r="1401">
      <c r="A1401" s="2">
        <f>IFERROR(__xludf.DUMMYFUNCTION("""COMPUTED_VALUE"""),44932.64583333333)</f>
        <v>44932.64583</v>
      </c>
      <c r="B1401" s="1">
        <f>IFERROR(__xludf.DUMMYFUNCTION("""COMPUTED_VALUE"""),14000.0)</f>
        <v>14000</v>
      </c>
      <c r="C1401" s="1">
        <f>IFERROR(__xludf.DUMMYFUNCTION("""COMPUTED_VALUE"""),14000.0)</f>
        <v>14000</v>
      </c>
      <c r="D1401" s="1">
        <f>IFERROR(__xludf.DUMMYFUNCTION("""COMPUTED_VALUE"""),13450.0)</f>
        <v>13450</v>
      </c>
      <c r="E1401" s="1">
        <f>IFERROR(__xludf.DUMMYFUNCTION("""COMPUTED_VALUE"""),13800.0)</f>
        <v>13800</v>
      </c>
      <c r="F1401" s="1">
        <f>IFERROR(__xludf.DUMMYFUNCTION("""COMPUTED_VALUE"""),33319.0)</f>
        <v>33319</v>
      </c>
    </row>
    <row r="1402">
      <c r="A1402" s="2">
        <f>IFERROR(__xludf.DUMMYFUNCTION("""COMPUTED_VALUE"""),44935.64583333333)</f>
        <v>44935.64583</v>
      </c>
      <c r="B1402" s="1">
        <f>IFERROR(__xludf.DUMMYFUNCTION("""COMPUTED_VALUE"""),13850.0)</f>
        <v>13850</v>
      </c>
      <c r="C1402" s="1">
        <f>IFERROR(__xludf.DUMMYFUNCTION("""COMPUTED_VALUE"""),14300.0)</f>
        <v>14300</v>
      </c>
      <c r="D1402" s="1">
        <f>IFERROR(__xludf.DUMMYFUNCTION("""COMPUTED_VALUE"""),13700.0)</f>
        <v>13700</v>
      </c>
      <c r="E1402" s="1">
        <f>IFERROR(__xludf.DUMMYFUNCTION("""COMPUTED_VALUE"""),14150.0)</f>
        <v>14150</v>
      </c>
      <c r="F1402" s="1">
        <f>IFERROR(__xludf.DUMMYFUNCTION("""COMPUTED_VALUE"""),25440.0)</f>
        <v>25440</v>
      </c>
    </row>
    <row r="1403">
      <c r="A1403" s="2">
        <f>IFERROR(__xludf.DUMMYFUNCTION("""COMPUTED_VALUE"""),44936.64583333333)</f>
        <v>44936.64583</v>
      </c>
      <c r="B1403" s="1">
        <f>IFERROR(__xludf.DUMMYFUNCTION("""COMPUTED_VALUE"""),14150.0)</f>
        <v>14150</v>
      </c>
      <c r="C1403" s="1">
        <f>IFERROR(__xludf.DUMMYFUNCTION("""COMPUTED_VALUE"""),14200.0)</f>
        <v>14200</v>
      </c>
      <c r="D1403" s="1">
        <f>IFERROR(__xludf.DUMMYFUNCTION("""COMPUTED_VALUE"""),13850.0)</f>
        <v>13850</v>
      </c>
      <c r="E1403" s="1">
        <f>IFERROR(__xludf.DUMMYFUNCTION("""COMPUTED_VALUE"""),13900.0)</f>
        <v>13900</v>
      </c>
      <c r="F1403" s="1">
        <f>IFERROR(__xludf.DUMMYFUNCTION("""COMPUTED_VALUE"""),16871.0)</f>
        <v>16871</v>
      </c>
    </row>
    <row r="1404">
      <c r="A1404" s="2">
        <f>IFERROR(__xludf.DUMMYFUNCTION("""COMPUTED_VALUE"""),44937.64583333333)</f>
        <v>44937.64583</v>
      </c>
      <c r="B1404" s="1">
        <f>IFERROR(__xludf.DUMMYFUNCTION("""COMPUTED_VALUE"""),14000.0)</f>
        <v>14000</v>
      </c>
      <c r="C1404" s="1">
        <f>IFERROR(__xludf.DUMMYFUNCTION("""COMPUTED_VALUE"""),14100.0)</f>
        <v>14100</v>
      </c>
      <c r="D1404" s="1">
        <f>IFERROR(__xludf.DUMMYFUNCTION("""COMPUTED_VALUE"""),13800.0)</f>
        <v>13800</v>
      </c>
      <c r="E1404" s="1">
        <f>IFERROR(__xludf.DUMMYFUNCTION("""COMPUTED_VALUE"""),14000.0)</f>
        <v>14000</v>
      </c>
      <c r="F1404" s="1">
        <f>IFERROR(__xludf.DUMMYFUNCTION("""COMPUTED_VALUE"""),19166.0)</f>
        <v>19166</v>
      </c>
    </row>
    <row r="1405">
      <c r="A1405" s="2">
        <f>IFERROR(__xludf.DUMMYFUNCTION("""COMPUTED_VALUE"""),44938.64583333333)</f>
        <v>44938.64583</v>
      </c>
      <c r="B1405" s="1">
        <f>IFERROR(__xludf.DUMMYFUNCTION("""COMPUTED_VALUE"""),14250.0)</f>
        <v>14250</v>
      </c>
      <c r="C1405" s="1">
        <f>IFERROR(__xludf.DUMMYFUNCTION("""COMPUTED_VALUE"""),14650.0)</f>
        <v>14650</v>
      </c>
      <c r="D1405" s="1">
        <f>IFERROR(__xludf.DUMMYFUNCTION("""COMPUTED_VALUE"""),14200.0)</f>
        <v>14200</v>
      </c>
      <c r="E1405" s="1">
        <f>IFERROR(__xludf.DUMMYFUNCTION("""COMPUTED_VALUE"""),14350.0)</f>
        <v>14350</v>
      </c>
      <c r="F1405" s="1">
        <f>IFERROR(__xludf.DUMMYFUNCTION("""COMPUTED_VALUE"""),47453.0)</f>
        <v>47453</v>
      </c>
    </row>
    <row r="1406">
      <c r="A1406" s="2">
        <f>IFERROR(__xludf.DUMMYFUNCTION("""COMPUTED_VALUE"""),44939.64583333333)</f>
        <v>44939.64583</v>
      </c>
      <c r="B1406" s="1">
        <f>IFERROR(__xludf.DUMMYFUNCTION("""COMPUTED_VALUE"""),14350.0)</f>
        <v>14350</v>
      </c>
      <c r="C1406" s="1">
        <f>IFERROR(__xludf.DUMMYFUNCTION("""COMPUTED_VALUE"""),14550.0)</f>
        <v>14550</v>
      </c>
      <c r="D1406" s="1">
        <f>IFERROR(__xludf.DUMMYFUNCTION("""COMPUTED_VALUE"""),14150.0)</f>
        <v>14150</v>
      </c>
      <c r="E1406" s="1">
        <f>IFERROR(__xludf.DUMMYFUNCTION("""COMPUTED_VALUE"""),14150.0)</f>
        <v>14150</v>
      </c>
      <c r="F1406" s="1">
        <f>IFERROR(__xludf.DUMMYFUNCTION("""COMPUTED_VALUE"""),21658.0)</f>
        <v>21658</v>
      </c>
    </row>
    <row r="1407">
      <c r="A1407" s="2">
        <f>IFERROR(__xludf.DUMMYFUNCTION("""COMPUTED_VALUE"""),44942.64583333333)</f>
        <v>44942.64583</v>
      </c>
      <c r="B1407" s="1">
        <f>IFERROR(__xludf.DUMMYFUNCTION("""COMPUTED_VALUE"""),14300.0)</f>
        <v>14300</v>
      </c>
      <c r="C1407" s="1">
        <f>IFERROR(__xludf.DUMMYFUNCTION("""COMPUTED_VALUE"""),14300.0)</f>
        <v>14300</v>
      </c>
      <c r="D1407" s="1">
        <f>IFERROR(__xludf.DUMMYFUNCTION("""COMPUTED_VALUE"""),13800.0)</f>
        <v>13800</v>
      </c>
      <c r="E1407" s="1">
        <f>IFERROR(__xludf.DUMMYFUNCTION("""COMPUTED_VALUE"""),13850.0)</f>
        <v>13850</v>
      </c>
      <c r="F1407" s="1">
        <f>IFERROR(__xludf.DUMMYFUNCTION("""COMPUTED_VALUE"""),51907.0)</f>
        <v>51907</v>
      </c>
    </row>
    <row r="1408">
      <c r="A1408" s="2">
        <f>IFERROR(__xludf.DUMMYFUNCTION("""COMPUTED_VALUE"""),44943.64583333333)</f>
        <v>44943.64583</v>
      </c>
      <c r="B1408" s="1">
        <f>IFERROR(__xludf.DUMMYFUNCTION("""COMPUTED_VALUE"""),13750.0)</f>
        <v>13750</v>
      </c>
      <c r="C1408" s="1">
        <f>IFERROR(__xludf.DUMMYFUNCTION("""COMPUTED_VALUE"""),14050.0)</f>
        <v>14050</v>
      </c>
      <c r="D1408" s="1">
        <f>IFERROR(__xludf.DUMMYFUNCTION("""COMPUTED_VALUE"""),13150.0)</f>
        <v>13150</v>
      </c>
      <c r="E1408" s="1">
        <f>IFERROR(__xludf.DUMMYFUNCTION("""COMPUTED_VALUE"""),13500.0)</f>
        <v>13500</v>
      </c>
      <c r="F1408" s="1">
        <f>IFERROR(__xludf.DUMMYFUNCTION("""COMPUTED_VALUE"""),110212.0)</f>
        <v>110212</v>
      </c>
    </row>
    <row r="1409">
      <c r="A1409" s="2">
        <f>IFERROR(__xludf.DUMMYFUNCTION("""COMPUTED_VALUE"""),44944.64583333333)</f>
        <v>44944.64583</v>
      </c>
      <c r="B1409" s="1">
        <f>IFERROR(__xludf.DUMMYFUNCTION("""COMPUTED_VALUE"""),13650.0)</f>
        <v>13650</v>
      </c>
      <c r="C1409" s="1">
        <f>IFERROR(__xludf.DUMMYFUNCTION("""COMPUTED_VALUE"""),13650.0)</f>
        <v>13650</v>
      </c>
      <c r="D1409" s="1">
        <f>IFERROR(__xludf.DUMMYFUNCTION("""COMPUTED_VALUE"""),13400.0)</f>
        <v>13400</v>
      </c>
      <c r="E1409" s="1">
        <f>IFERROR(__xludf.DUMMYFUNCTION("""COMPUTED_VALUE"""),13500.0)</f>
        <v>13500</v>
      </c>
      <c r="F1409" s="1">
        <f>IFERROR(__xludf.DUMMYFUNCTION("""COMPUTED_VALUE"""),35842.0)</f>
        <v>35842</v>
      </c>
    </row>
    <row r="1410">
      <c r="A1410" s="2">
        <f>IFERROR(__xludf.DUMMYFUNCTION("""COMPUTED_VALUE"""),44945.64583333333)</f>
        <v>44945.64583</v>
      </c>
      <c r="B1410" s="1">
        <f>IFERROR(__xludf.DUMMYFUNCTION("""COMPUTED_VALUE"""),13550.0)</f>
        <v>13550</v>
      </c>
      <c r="C1410" s="1">
        <f>IFERROR(__xludf.DUMMYFUNCTION("""COMPUTED_VALUE"""),13850.0)</f>
        <v>13850</v>
      </c>
      <c r="D1410" s="1">
        <f>IFERROR(__xludf.DUMMYFUNCTION("""COMPUTED_VALUE"""),13450.0)</f>
        <v>13450</v>
      </c>
      <c r="E1410" s="1">
        <f>IFERROR(__xludf.DUMMYFUNCTION("""COMPUTED_VALUE"""),13700.0)</f>
        <v>13700</v>
      </c>
      <c r="F1410" s="1">
        <f>IFERROR(__xludf.DUMMYFUNCTION("""COMPUTED_VALUE"""),26113.0)</f>
        <v>26113</v>
      </c>
    </row>
    <row r="1411">
      <c r="A1411" s="2">
        <f>IFERROR(__xludf.DUMMYFUNCTION("""COMPUTED_VALUE"""),44946.64583333333)</f>
        <v>44946.64583</v>
      </c>
      <c r="B1411" s="1">
        <f>IFERROR(__xludf.DUMMYFUNCTION("""COMPUTED_VALUE"""),13650.0)</f>
        <v>13650</v>
      </c>
      <c r="C1411" s="1">
        <f>IFERROR(__xludf.DUMMYFUNCTION("""COMPUTED_VALUE"""),13800.0)</f>
        <v>13800</v>
      </c>
      <c r="D1411" s="1">
        <f>IFERROR(__xludf.DUMMYFUNCTION("""COMPUTED_VALUE"""),13600.0)</f>
        <v>13600</v>
      </c>
      <c r="E1411" s="1">
        <f>IFERROR(__xludf.DUMMYFUNCTION("""COMPUTED_VALUE"""),13750.0)</f>
        <v>13750</v>
      </c>
      <c r="F1411" s="1">
        <f>IFERROR(__xludf.DUMMYFUNCTION("""COMPUTED_VALUE"""),7969.0)</f>
        <v>7969</v>
      </c>
    </row>
    <row r="1412">
      <c r="A1412" s="2">
        <f>IFERROR(__xludf.DUMMYFUNCTION("""COMPUTED_VALUE"""),44951.64583333333)</f>
        <v>44951.64583</v>
      </c>
      <c r="B1412" s="1">
        <f>IFERROR(__xludf.DUMMYFUNCTION("""COMPUTED_VALUE"""),13820.0)</f>
        <v>13820</v>
      </c>
      <c r="C1412" s="1">
        <f>IFERROR(__xludf.DUMMYFUNCTION("""COMPUTED_VALUE"""),14280.0)</f>
        <v>14280</v>
      </c>
      <c r="D1412" s="1">
        <f>IFERROR(__xludf.DUMMYFUNCTION("""COMPUTED_VALUE"""),13820.0)</f>
        <v>13820</v>
      </c>
      <c r="E1412" s="1">
        <f>IFERROR(__xludf.DUMMYFUNCTION("""COMPUTED_VALUE"""),14270.0)</f>
        <v>14270</v>
      </c>
      <c r="F1412" s="1">
        <f>IFERROR(__xludf.DUMMYFUNCTION("""COMPUTED_VALUE"""),32486.0)</f>
        <v>32486</v>
      </c>
    </row>
    <row r="1413">
      <c r="A1413" s="2">
        <f>IFERROR(__xludf.DUMMYFUNCTION("""COMPUTED_VALUE"""),44952.64583333333)</f>
        <v>44952.64583</v>
      </c>
      <c r="B1413" s="1">
        <f>IFERROR(__xludf.DUMMYFUNCTION("""COMPUTED_VALUE"""),14390.0)</f>
        <v>14390</v>
      </c>
      <c r="C1413" s="1">
        <f>IFERROR(__xludf.DUMMYFUNCTION("""COMPUTED_VALUE"""),14800.0)</f>
        <v>14800</v>
      </c>
      <c r="D1413" s="1">
        <f>IFERROR(__xludf.DUMMYFUNCTION("""COMPUTED_VALUE"""),14090.0)</f>
        <v>14090</v>
      </c>
      <c r="E1413" s="1">
        <f>IFERROR(__xludf.DUMMYFUNCTION("""COMPUTED_VALUE"""),14490.0)</f>
        <v>14490</v>
      </c>
      <c r="F1413" s="1">
        <f>IFERROR(__xludf.DUMMYFUNCTION("""COMPUTED_VALUE"""),24511.0)</f>
        <v>24511</v>
      </c>
    </row>
    <row r="1414">
      <c r="A1414" s="2">
        <f>IFERROR(__xludf.DUMMYFUNCTION("""COMPUTED_VALUE"""),44953.64583333333)</f>
        <v>44953.64583</v>
      </c>
      <c r="B1414" s="1">
        <f>IFERROR(__xludf.DUMMYFUNCTION("""COMPUTED_VALUE"""),14590.0)</f>
        <v>14590</v>
      </c>
      <c r="C1414" s="1">
        <f>IFERROR(__xludf.DUMMYFUNCTION("""COMPUTED_VALUE"""),14590.0)</f>
        <v>14590</v>
      </c>
      <c r="D1414" s="1">
        <f>IFERROR(__xludf.DUMMYFUNCTION("""COMPUTED_VALUE"""),14040.0)</f>
        <v>14040</v>
      </c>
      <c r="E1414" s="1">
        <f>IFERROR(__xludf.DUMMYFUNCTION("""COMPUTED_VALUE"""),14100.0)</f>
        <v>14100</v>
      </c>
      <c r="F1414" s="1">
        <f>IFERROR(__xludf.DUMMYFUNCTION("""COMPUTED_VALUE"""),100.0)</f>
        <v>100</v>
      </c>
    </row>
    <row r="1415">
      <c r="A1415" s="2">
        <f>IFERROR(__xludf.DUMMYFUNCTION("""COMPUTED_VALUE"""),44956.64583333333)</f>
        <v>44956.64583</v>
      </c>
      <c r="B1415" s="1">
        <f>IFERROR(__xludf.DUMMYFUNCTION("""COMPUTED_VALUE"""),14190.0)</f>
        <v>14190</v>
      </c>
      <c r="C1415" s="1">
        <f>IFERROR(__xludf.DUMMYFUNCTION("""COMPUTED_VALUE"""),14190.0)</f>
        <v>14190</v>
      </c>
      <c r="D1415" s="1">
        <f>IFERROR(__xludf.DUMMYFUNCTION("""COMPUTED_VALUE"""),13730.0)</f>
        <v>13730</v>
      </c>
      <c r="E1415" s="1">
        <f>IFERROR(__xludf.DUMMYFUNCTION("""COMPUTED_VALUE"""),13760.0)</f>
        <v>13760</v>
      </c>
      <c r="F1415" s="1">
        <f>IFERROR(__xludf.DUMMYFUNCTION("""COMPUTED_VALUE"""),23301.0)</f>
        <v>23301</v>
      </c>
    </row>
    <row r="1416">
      <c r="A1416" s="2">
        <f>IFERROR(__xludf.DUMMYFUNCTION("""COMPUTED_VALUE"""),44957.64583333333)</f>
        <v>44957.64583</v>
      </c>
      <c r="B1416" s="1">
        <f>IFERROR(__xludf.DUMMYFUNCTION("""COMPUTED_VALUE"""),13630.0)</f>
        <v>13630</v>
      </c>
      <c r="C1416" s="1">
        <f>IFERROR(__xludf.DUMMYFUNCTION("""COMPUTED_VALUE"""),14010.0)</f>
        <v>14010</v>
      </c>
      <c r="D1416" s="1">
        <f>IFERROR(__xludf.DUMMYFUNCTION("""COMPUTED_VALUE"""),13530.0)</f>
        <v>13530</v>
      </c>
      <c r="E1416" s="1">
        <f>IFERROR(__xludf.DUMMYFUNCTION("""COMPUTED_VALUE"""),13890.0)</f>
        <v>13890</v>
      </c>
      <c r="F1416" s="1">
        <f>IFERROR(__xludf.DUMMYFUNCTION("""COMPUTED_VALUE"""),27446.0)</f>
        <v>27446</v>
      </c>
    </row>
    <row r="1417">
      <c r="A1417" s="2">
        <f>IFERROR(__xludf.DUMMYFUNCTION("""COMPUTED_VALUE"""),44958.64583333333)</f>
        <v>44958.64583</v>
      </c>
      <c r="B1417" s="1">
        <f>IFERROR(__xludf.DUMMYFUNCTION("""COMPUTED_VALUE"""),13880.0)</f>
        <v>13880</v>
      </c>
      <c r="C1417" s="1">
        <f>IFERROR(__xludf.DUMMYFUNCTION("""COMPUTED_VALUE"""),14000.0)</f>
        <v>14000</v>
      </c>
      <c r="D1417" s="1">
        <f>IFERROR(__xludf.DUMMYFUNCTION("""COMPUTED_VALUE"""),13720.0)</f>
        <v>13720</v>
      </c>
      <c r="E1417" s="1">
        <f>IFERROR(__xludf.DUMMYFUNCTION("""COMPUTED_VALUE"""),13870.0)</f>
        <v>13870</v>
      </c>
      <c r="F1417" s="1">
        <f>IFERROR(__xludf.DUMMYFUNCTION("""COMPUTED_VALUE"""),45832.0)</f>
        <v>45832</v>
      </c>
    </row>
    <row r="1418">
      <c r="A1418" s="2">
        <f>IFERROR(__xludf.DUMMYFUNCTION("""COMPUTED_VALUE"""),44959.64583333333)</f>
        <v>44959.64583</v>
      </c>
      <c r="B1418" s="1">
        <f>IFERROR(__xludf.DUMMYFUNCTION("""COMPUTED_VALUE"""),13990.0)</f>
        <v>13990</v>
      </c>
      <c r="C1418" s="1">
        <f>IFERROR(__xludf.DUMMYFUNCTION("""COMPUTED_VALUE"""),14340.0)</f>
        <v>14340</v>
      </c>
      <c r="D1418" s="1">
        <f>IFERROR(__xludf.DUMMYFUNCTION("""COMPUTED_VALUE"""),13900.0)</f>
        <v>13900</v>
      </c>
      <c r="E1418" s="1">
        <f>IFERROR(__xludf.DUMMYFUNCTION("""COMPUTED_VALUE"""),14270.0)</f>
        <v>14270</v>
      </c>
      <c r="F1418" s="1">
        <f>IFERROR(__xludf.DUMMYFUNCTION("""COMPUTED_VALUE"""),44263.0)</f>
        <v>44263</v>
      </c>
    </row>
    <row r="1419">
      <c r="A1419" s="2">
        <f>IFERROR(__xludf.DUMMYFUNCTION("""COMPUTED_VALUE"""),44960.64583333333)</f>
        <v>44960.64583</v>
      </c>
      <c r="B1419" s="1">
        <f>IFERROR(__xludf.DUMMYFUNCTION("""COMPUTED_VALUE"""),14310.0)</f>
        <v>14310</v>
      </c>
      <c r="C1419" s="1">
        <f>IFERROR(__xludf.DUMMYFUNCTION("""COMPUTED_VALUE"""),14400.0)</f>
        <v>14400</v>
      </c>
      <c r="D1419" s="1">
        <f>IFERROR(__xludf.DUMMYFUNCTION("""COMPUTED_VALUE"""),13910.0)</f>
        <v>13910</v>
      </c>
      <c r="E1419" s="1">
        <f>IFERROR(__xludf.DUMMYFUNCTION("""COMPUTED_VALUE"""),14000.0)</f>
        <v>14000</v>
      </c>
      <c r="F1419" s="1">
        <f>IFERROR(__xludf.DUMMYFUNCTION("""COMPUTED_VALUE"""),26315.0)</f>
        <v>26315</v>
      </c>
    </row>
    <row r="1420">
      <c r="A1420" s="2">
        <f>IFERROR(__xludf.DUMMYFUNCTION("""COMPUTED_VALUE"""),44963.64583333333)</f>
        <v>44963.64583</v>
      </c>
      <c r="B1420" s="1">
        <f>IFERROR(__xludf.DUMMYFUNCTION("""COMPUTED_VALUE"""),13820.0)</f>
        <v>13820</v>
      </c>
      <c r="C1420" s="1">
        <f>IFERROR(__xludf.DUMMYFUNCTION("""COMPUTED_VALUE"""),13890.0)</f>
        <v>13890</v>
      </c>
      <c r="D1420" s="1">
        <f>IFERROR(__xludf.DUMMYFUNCTION("""COMPUTED_VALUE"""),13670.0)</f>
        <v>13670</v>
      </c>
      <c r="E1420" s="1">
        <f>IFERROR(__xludf.DUMMYFUNCTION("""COMPUTED_VALUE"""),13870.0)</f>
        <v>13870</v>
      </c>
      <c r="F1420" s="1">
        <f>IFERROR(__xludf.DUMMYFUNCTION("""COMPUTED_VALUE"""),44776.0)</f>
        <v>44776</v>
      </c>
    </row>
    <row r="1421">
      <c r="A1421" s="2">
        <f>IFERROR(__xludf.DUMMYFUNCTION("""COMPUTED_VALUE"""),44964.64583333333)</f>
        <v>44964.64583</v>
      </c>
      <c r="B1421" s="1">
        <f>IFERROR(__xludf.DUMMYFUNCTION("""COMPUTED_VALUE"""),13830.0)</f>
        <v>13830</v>
      </c>
      <c r="C1421" s="1">
        <f>IFERROR(__xludf.DUMMYFUNCTION("""COMPUTED_VALUE"""),14000.0)</f>
        <v>14000</v>
      </c>
      <c r="D1421" s="1">
        <f>IFERROR(__xludf.DUMMYFUNCTION("""COMPUTED_VALUE"""),13730.0)</f>
        <v>13730</v>
      </c>
      <c r="E1421" s="1">
        <f>IFERROR(__xludf.DUMMYFUNCTION("""COMPUTED_VALUE"""),13950.0)</f>
        <v>13950</v>
      </c>
      <c r="F1421" s="1">
        <f>IFERROR(__xludf.DUMMYFUNCTION("""COMPUTED_VALUE"""),19568.0)</f>
        <v>19568</v>
      </c>
    </row>
    <row r="1422">
      <c r="A1422" s="2">
        <f>IFERROR(__xludf.DUMMYFUNCTION("""COMPUTED_VALUE"""),44965.64583333333)</f>
        <v>44965.64583</v>
      </c>
      <c r="B1422" s="1">
        <f>IFERROR(__xludf.DUMMYFUNCTION("""COMPUTED_VALUE"""),14100.0)</f>
        <v>14100</v>
      </c>
      <c r="C1422" s="1">
        <f>IFERROR(__xludf.DUMMYFUNCTION("""COMPUTED_VALUE"""),14600.0)</f>
        <v>14600</v>
      </c>
      <c r="D1422" s="1">
        <f>IFERROR(__xludf.DUMMYFUNCTION("""COMPUTED_VALUE"""),13930.0)</f>
        <v>13930</v>
      </c>
      <c r="E1422" s="1">
        <f>IFERROR(__xludf.DUMMYFUNCTION("""COMPUTED_VALUE"""),14460.0)</f>
        <v>14460</v>
      </c>
      <c r="F1422" s="1">
        <f>IFERROR(__xludf.DUMMYFUNCTION("""COMPUTED_VALUE"""),65985.0)</f>
        <v>65985</v>
      </c>
    </row>
    <row r="1423">
      <c r="A1423" s="2">
        <f>IFERROR(__xludf.DUMMYFUNCTION("""COMPUTED_VALUE"""),44966.64583333333)</f>
        <v>44966.64583</v>
      </c>
      <c r="B1423" s="1">
        <f>IFERROR(__xludf.DUMMYFUNCTION("""COMPUTED_VALUE"""),14600.0)</f>
        <v>14600</v>
      </c>
      <c r="C1423" s="1">
        <f>IFERROR(__xludf.DUMMYFUNCTION("""COMPUTED_VALUE"""),14600.0)</f>
        <v>14600</v>
      </c>
      <c r="D1423" s="1">
        <f>IFERROR(__xludf.DUMMYFUNCTION("""COMPUTED_VALUE"""),14000.0)</f>
        <v>14000</v>
      </c>
      <c r="E1423" s="1">
        <f>IFERROR(__xludf.DUMMYFUNCTION("""COMPUTED_VALUE"""),14180.0)</f>
        <v>14180</v>
      </c>
      <c r="F1423" s="1">
        <f>IFERROR(__xludf.DUMMYFUNCTION("""COMPUTED_VALUE"""),35337.0)</f>
        <v>35337</v>
      </c>
    </row>
    <row r="1424">
      <c r="A1424" s="2">
        <f>IFERROR(__xludf.DUMMYFUNCTION("""COMPUTED_VALUE"""),44967.64583333333)</f>
        <v>44967.64583</v>
      </c>
      <c r="B1424" s="1">
        <f>IFERROR(__xludf.DUMMYFUNCTION("""COMPUTED_VALUE"""),14180.0)</f>
        <v>14180</v>
      </c>
      <c r="C1424" s="1">
        <f>IFERROR(__xludf.DUMMYFUNCTION("""COMPUTED_VALUE"""),14180.0)</f>
        <v>14180</v>
      </c>
      <c r="D1424" s="1">
        <f>IFERROR(__xludf.DUMMYFUNCTION("""COMPUTED_VALUE"""),13720.0)</f>
        <v>13720</v>
      </c>
      <c r="E1424" s="1">
        <f>IFERROR(__xludf.DUMMYFUNCTION("""COMPUTED_VALUE"""),13810.0)</f>
        <v>13810</v>
      </c>
      <c r="F1424" s="1">
        <f>IFERROR(__xludf.DUMMYFUNCTION("""COMPUTED_VALUE"""),40254.0)</f>
        <v>40254</v>
      </c>
    </row>
    <row r="1425">
      <c r="A1425" s="2">
        <f>IFERROR(__xludf.DUMMYFUNCTION("""COMPUTED_VALUE"""),44970.64583333333)</f>
        <v>44970.64583</v>
      </c>
      <c r="B1425" s="1">
        <f>IFERROR(__xludf.DUMMYFUNCTION("""COMPUTED_VALUE"""),13810.0)</f>
        <v>13810</v>
      </c>
      <c r="C1425" s="1">
        <f>IFERROR(__xludf.DUMMYFUNCTION("""COMPUTED_VALUE"""),13860.0)</f>
        <v>13860</v>
      </c>
      <c r="D1425" s="1">
        <f>IFERROR(__xludf.DUMMYFUNCTION("""COMPUTED_VALUE"""),13590.0)</f>
        <v>13590</v>
      </c>
      <c r="E1425" s="1">
        <f>IFERROR(__xludf.DUMMYFUNCTION("""COMPUTED_VALUE"""),13800.0)</f>
        <v>13800</v>
      </c>
      <c r="F1425" s="1">
        <f>IFERROR(__xludf.DUMMYFUNCTION("""COMPUTED_VALUE"""),14804.0)</f>
        <v>14804</v>
      </c>
    </row>
    <row r="1426">
      <c r="A1426" s="2">
        <f>IFERROR(__xludf.DUMMYFUNCTION("""COMPUTED_VALUE"""),44971.64583333333)</f>
        <v>44971.64583</v>
      </c>
      <c r="B1426" s="1">
        <f>IFERROR(__xludf.DUMMYFUNCTION("""COMPUTED_VALUE"""),13670.0)</f>
        <v>13670</v>
      </c>
      <c r="C1426" s="1">
        <f>IFERROR(__xludf.DUMMYFUNCTION("""COMPUTED_VALUE"""),13980.0)</f>
        <v>13980</v>
      </c>
      <c r="D1426" s="1">
        <f>IFERROR(__xludf.DUMMYFUNCTION("""COMPUTED_VALUE"""),13670.0)</f>
        <v>13670</v>
      </c>
      <c r="E1426" s="1">
        <f>IFERROR(__xludf.DUMMYFUNCTION("""COMPUTED_VALUE"""),13800.0)</f>
        <v>13800</v>
      </c>
      <c r="F1426" s="1">
        <f>IFERROR(__xludf.DUMMYFUNCTION("""COMPUTED_VALUE"""),12904.0)</f>
        <v>12904</v>
      </c>
    </row>
    <row r="1427">
      <c r="A1427" s="2">
        <f>IFERROR(__xludf.DUMMYFUNCTION("""COMPUTED_VALUE"""),44972.64583333333)</f>
        <v>44972.64583</v>
      </c>
      <c r="B1427" s="1">
        <f>IFERROR(__xludf.DUMMYFUNCTION("""COMPUTED_VALUE"""),13800.0)</f>
        <v>13800</v>
      </c>
      <c r="C1427" s="1">
        <f>IFERROR(__xludf.DUMMYFUNCTION("""COMPUTED_VALUE"""),13820.0)</f>
        <v>13820</v>
      </c>
      <c r="D1427" s="1">
        <f>IFERROR(__xludf.DUMMYFUNCTION("""COMPUTED_VALUE"""),13550.0)</f>
        <v>13550</v>
      </c>
      <c r="E1427" s="1">
        <f>IFERROR(__xludf.DUMMYFUNCTION("""COMPUTED_VALUE"""),13640.0)</f>
        <v>13640</v>
      </c>
      <c r="F1427" s="1">
        <f>IFERROR(__xludf.DUMMYFUNCTION("""COMPUTED_VALUE"""),25606.0)</f>
        <v>25606</v>
      </c>
    </row>
    <row r="1428">
      <c r="A1428" s="2">
        <f>IFERROR(__xludf.DUMMYFUNCTION("""COMPUTED_VALUE"""),44973.64583333333)</f>
        <v>44973.64583</v>
      </c>
      <c r="B1428" s="1">
        <f>IFERROR(__xludf.DUMMYFUNCTION("""COMPUTED_VALUE"""),13640.0)</f>
        <v>13640</v>
      </c>
      <c r="C1428" s="1">
        <f>IFERROR(__xludf.DUMMYFUNCTION("""COMPUTED_VALUE"""),13830.0)</f>
        <v>13830</v>
      </c>
      <c r="D1428" s="1">
        <f>IFERROR(__xludf.DUMMYFUNCTION("""COMPUTED_VALUE"""),13600.0)</f>
        <v>13600</v>
      </c>
      <c r="E1428" s="1">
        <f>IFERROR(__xludf.DUMMYFUNCTION("""COMPUTED_VALUE"""),13820.0)</f>
        <v>13820</v>
      </c>
      <c r="F1428" s="1">
        <f>IFERROR(__xludf.DUMMYFUNCTION("""COMPUTED_VALUE"""),15580.0)</f>
        <v>15580</v>
      </c>
    </row>
    <row r="1429">
      <c r="A1429" s="2">
        <f>IFERROR(__xludf.DUMMYFUNCTION("""COMPUTED_VALUE"""),44974.64583333333)</f>
        <v>44974.64583</v>
      </c>
      <c r="B1429" s="1">
        <f>IFERROR(__xludf.DUMMYFUNCTION("""COMPUTED_VALUE"""),13820.0)</f>
        <v>13820</v>
      </c>
      <c r="C1429" s="1">
        <f>IFERROR(__xludf.DUMMYFUNCTION("""COMPUTED_VALUE"""),13820.0)</f>
        <v>13820</v>
      </c>
      <c r="D1429" s="1">
        <f>IFERROR(__xludf.DUMMYFUNCTION("""COMPUTED_VALUE"""),13450.0)</f>
        <v>13450</v>
      </c>
      <c r="E1429" s="1">
        <f>IFERROR(__xludf.DUMMYFUNCTION("""COMPUTED_VALUE"""),13640.0)</f>
        <v>13640</v>
      </c>
      <c r="F1429" s="1">
        <f>IFERROR(__xludf.DUMMYFUNCTION("""COMPUTED_VALUE"""),27583.0)</f>
        <v>27583</v>
      </c>
    </row>
    <row r="1430">
      <c r="A1430" s="2">
        <f>IFERROR(__xludf.DUMMYFUNCTION("""COMPUTED_VALUE"""),44977.64583333333)</f>
        <v>44977.64583</v>
      </c>
      <c r="B1430" s="1">
        <f>IFERROR(__xludf.DUMMYFUNCTION("""COMPUTED_VALUE"""),13800.0)</f>
        <v>13800</v>
      </c>
      <c r="C1430" s="1">
        <f>IFERROR(__xludf.DUMMYFUNCTION("""COMPUTED_VALUE"""),13960.0)</f>
        <v>13960</v>
      </c>
      <c r="D1430" s="1">
        <f>IFERROR(__xludf.DUMMYFUNCTION("""COMPUTED_VALUE"""),13220.0)</f>
        <v>13220</v>
      </c>
      <c r="E1430" s="1">
        <f>IFERROR(__xludf.DUMMYFUNCTION("""COMPUTED_VALUE"""),13930.0)</f>
        <v>13930</v>
      </c>
      <c r="F1430" s="1">
        <f>IFERROR(__xludf.DUMMYFUNCTION("""COMPUTED_VALUE"""),43863.0)</f>
        <v>43863</v>
      </c>
    </row>
    <row r="1431">
      <c r="A1431" s="2">
        <f>IFERROR(__xludf.DUMMYFUNCTION("""COMPUTED_VALUE"""),44978.64583333333)</f>
        <v>44978.64583</v>
      </c>
      <c r="B1431" s="1">
        <f>IFERROR(__xludf.DUMMYFUNCTION("""COMPUTED_VALUE"""),13800.0)</f>
        <v>13800</v>
      </c>
      <c r="C1431" s="1">
        <f>IFERROR(__xludf.DUMMYFUNCTION("""COMPUTED_VALUE"""),14190.0)</f>
        <v>14190</v>
      </c>
      <c r="D1431" s="1">
        <f>IFERROR(__xludf.DUMMYFUNCTION("""COMPUTED_VALUE"""),13800.0)</f>
        <v>13800</v>
      </c>
      <c r="E1431" s="1">
        <f>IFERROR(__xludf.DUMMYFUNCTION("""COMPUTED_VALUE"""),13960.0)</f>
        <v>13960</v>
      </c>
      <c r="F1431" s="1">
        <f>IFERROR(__xludf.DUMMYFUNCTION("""COMPUTED_VALUE"""),19519.0)</f>
        <v>19519</v>
      </c>
    </row>
    <row r="1432">
      <c r="A1432" s="2">
        <f>IFERROR(__xludf.DUMMYFUNCTION("""COMPUTED_VALUE"""),44979.64583333333)</f>
        <v>44979.64583</v>
      </c>
      <c r="B1432" s="1">
        <f>IFERROR(__xludf.DUMMYFUNCTION("""COMPUTED_VALUE"""),13800.0)</f>
        <v>13800</v>
      </c>
      <c r="C1432" s="1">
        <f>IFERROR(__xludf.DUMMYFUNCTION("""COMPUTED_VALUE"""),13930.0)</f>
        <v>13930</v>
      </c>
      <c r="D1432" s="1">
        <f>IFERROR(__xludf.DUMMYFUNCTION("""COMPUTED_VALUE"""),13670.0)</f>
        <v>13670</v>
      </c>
      <c r="E1432" s="1">
        <f>IFERROR(__xludf.DUMMYFUNCTION("""COMPUTED_VALUE"""),13920.0)</f>
        <v>13920</v>
      </c>
      <c r="F1432" s="1">
        <f>IFERROR(__xludf.DUMMYFUNCTION("""COMPUTED_VALUE"""),19778.0)</f>
        <v>19778</v>
      </c>
    </row>
    <row r="1433">
      <c r="A1433" s="2">
        <f>IFERROR(__xludf.DUMMYFUNCTION("""COMPUTED_VALUE"""),44980.64583333333)</f>
        <v>44980.64583</v>
      </c>
      <c r="B1433" s="1">
        <f>IFERROR(__xludf.DUMMYFUNCTION("""COMPUTED_VALUE"""),13920.0)</f>
        <v>13920</v>
      </c>
      <c r="C1433" s="1">
        <f>IFERROR(__xludf.DUMMYFUNCTION("""COMPUTED_VALUE"""),14190.0)</f>
        <v>14190</v>
      </c>
      <c r="D1433" s="1">
        <f>IFERROR(__xludf.DUMMYFUNCTION("""COMPUTED_VALUE"""),13730.0)</f>
        <v>13730</v>
      </c>
      <c r="E1433" s="1">
        <f>IFERROR(__xludf.DUMMYFUNCTION("""COMPUTED_VALUE"""),13970.0)</f>
        <v>13970</v>
      </c>
      <c r="F1433" s="1">
        <f>IFERROR(__xludf.DUMMYFUNCTION("""COMPUTED_VALUE"""),16862.0)</f>
        <v>16862</v>
      </c>
    </row>
    <row r="1434">
      <c r="A1434" s="2">
        <f>IFERROR(__xludf.DUMMYFUNCTION("""COMPUTED_VALUE"""),44981.64583333333)</f>
        <v>44981.64583</v>
      </c>
      <c r="B1434" s="1">
        <f>IFERROR(__xludf.DUMMYFUNCTION("""COMPUTED_VALUE"""),13910.0)</f>
        <v>13910</v>
      </c>
      <c r="C1434" s="1">
        <f>IFERROR(__xludf.DUMMYFUNCTION("""COMPUTED_VALUE"""),13980.0)</f>
        <v>13980</v>
      </c>
      <c r="D1434" s="1">
        <f>IFERROR(__xludf.DUMMYFUNCTION("""COMPUTED_VALUE"""),13650.0)</f>
        <v>13650</v>
      </c>
      <c r="E1434" s="1">
        <f>IFERROR(__xludf.DUMMYFUNCTION("""COMPUTED_VALUE"""),13830.0)</f>
        <v>13830</v>
      </c>
      <c r="F1434" s="1">
        <f>IFERROR(__xludf.DUMMYFUNCTION("""COMPUTED_VALUE"""),29710.0)</f>
        <v>29710</v>
      </c>
    </row>
    <row r="1435">
      <c r="A1435" s="2">
        <f>IFERROR(__xludf.DUMMYFUNCTION("""COMPUTED_VALUE"""),44984.64583333333)</f>
        <v>44984.64583</v>
      </c>
      <c r="B1435" s="1">
        <f>IFERROR(__xludf.DUMMYFUNCTION("""COMPUTED_VALUE"""),13820.0)</f>
        <v>13820</v>
      </c>
      <c r="C1435" s="1">
        <f>IFERROR(__xludf.DUMMYFUNCTION("""COMPUTED_VALUE"""),13820.0)</f>
        <v>13820</v>
      </c>
      <c r="D1435" s="1">
        <f>IFERROR(__xludf.DUMMYFUNCTION("""COMPUTED_VALUE"""),13570.0)</f>
        <v>13570</v>
      </c>
      <c r="E1435" s="1">
        <f>IFERROR(__xludf.DUMMYFUNCTION("""COMPUTED_VALUE"""),13600.0)</f>
        <v>13600</v>
      </c>
      <c r="F1435" s="1">
        <f>IFERROR(__xludf.DUMMYFUNCTION("""COMPUTED_VALUE"""),15076.0)</f>
        <v>15076</v>
      </c>
    </row>
    <row r="1436">
      <c r="A1436" s="2">
        <f>IFERROR(__xludf.DUMMYFUNCTION("""COMPUTED_VALUE"""),44985.64583333333)</f>
        <v>44985.64583</v>
      </c>
      <c r="B1436" s="1">
        <f>IFERROR(__xludf.DUMMYFUNCTION("""COMPUTED_VALUE"""),13600.0)</f>
        <v>13600</v>
      </c>
      <c r="C1436" s="1">
        <f>IFERROR(__xludf.DUMMYFUNCTION("""COMPUTED_VALUE"""),13780.0)</f>
        <v>13780</v>
      </c>
      <c r="D1436" s="1">
        <f>IFERROR(__xludf.DUMMYFUNCTION("""COMPUTED_VALUE"""),13580.0)</f>
        <v>13580</v>
      </c>
      <c r="E1436" s="1">
        <f>IFERROR(__xludf.DUMMYFUNCTION("""COMPUTED_VALUE"""),13750.0)</f>
        <v>13750</v>
      </c>
      <c r="F1436" s="1">
        <f>IFERROR(__xludf.DUMMYFUNCTION("""COMPUTED_VALUE"""),9213.0)</f>
        <v>9213</v>
      </c>
    </row>
    <row r="1437">
      <c r="A1437" s="2">
        <f>IFERROR(__xludf.DUMMYFUNCTION("""COMPUTED_VALUE"""),44987.64583333333)</f>
        <v>44987.64583</v>
      </c>
      <c r="B1437" s="1">
        <f>IFERROR(__xludf.DUMMYFUNCTION("""COMPUTED_VALUE"""),13800.0)</f>
        <v>13800</v>
      </c>
      <c r="C1437" s="1">
        <f>IFERROR(__xludf.DUMMYFUNCTION("""COMPUTED_VALUE"""),13800.0)</f>
        <v>13800</v>
      </c>
      <c r="D1437" s="1">
        <f>IFERROR(__xludf.DUMMYFUNCTION("""COMPUTED_VALUE"""),12500.0)</f>
        <v>12500</v>
      </c>
      <c r="E1437" s="1">
        <f>IFERROR(__xludf.DUMMYFUNCTION("""COMPUTED_VALUE"""),12660.0)</f>
        <v>12660</v>
      </c>
      <c r="F1437" s="1">
        <f>IFERROR(__xludf.DUMMYFUNCTION("""COMPUTED_VALUE"""),266180.0)</f>
        <v>266180</v>
      </c>
    </row>
    <row r="1438">
      <c r="A1438" s="2">
        <f>IFERROR(__xludf.DUMMYFUNCTION("""COMPUTED_VALUE"""),44988.64583333333)</f>
        <v>44988.64583</v>
      </c>
      <c r="B1438" s="1">
        <f>IFERROR(__xludf.DUMMYFUNCTION("""COMPUTED_VALUE"""),12700.0)</f>
        <v>12700</v>
      </c>
      <c r="C1438" s="1">
        <f>IFERROR(__xludf.DUMMYFUNCTION("""COMPUTED_VALUE"""),13560.0)</f>
        <v>13560</v>
      </c>
      <c r="D1438" s="1">
        <f>IFERROR(__xludf.DUMMYFUNCTION("""COMPUTED_VALUE"""),12560.0)</f>
        <v>12560</v>
      </c>
      <c r="E1438" s="1">
        <f>IFERROR(__xludf.DUMMYFUNCTION("""COMPUTED_VALUE"""),13270.0)</f>
        <v>13270</v>
      </c>
      <c r="F1438" s="1">
        <f>IFERROR(__xludf.DUMMYFUNCTION("""COMPUTED_VALUE"""),101448.0)</f>
        <v>101448</v>
      </c>
    </row>
    <row r="1439">
      <c r="A1439" s="2">
        <f>IFERROR(__xludf.DUMMYFUNCTION("""COMPUTED_VALUE"""),44991.64583333333)</f>
        <v>44991.64583</v>
      </c>
      <c r="B1439" s="1">
        <f>IFERROR(__xludf.DUMMYFUNCTION("""COMPUTED_VALUE"""),13160.0)</f>
        <v>13160</v>
      </c>
      <c r="C1439" s="1">
        <f>IFERROR(__xludf.DUMMYFUNCTION("""COMPUTED_VALUE"""),13550.0)</f>
        <v>13550</v>
      </c>
      <c r="D1439" s="1">
        <f>IFERROR(__xludf.DUMMYFUNCTION("""COMPUTED_VALUE"""),13160.0)</f>
        <v>13160</v>
      </c>
      <c r="E1439" s="1">
        <f>IFERROR(__xludf.DUMMYFUNCTION("""COMPUTED_VALUE"""),13520.0)</f>
        <v>13520</v>
      </c>
      <c r="F1439" s="1">
        <f>IFERROR(__xludf.DUMMYFUNCTION("""COMPUTED_VALUE"""),38059.0)</f>
        <v>38059</v>
      </c>
    </row>
    <row r="1440">
      <c r="A1440" s="2">
        <f>IFERROR(__xludf.DUMMYFUNCTION("""COMPUTED_VALUE"""),44992.64583333333)</f>
        <v>44992.64583</v>
      </c>
      <c r="B1440" s="1">
        <f>IFERROR(__xludf.DUMMYFUNCTION("""COMPUTED_VALUE"""),13390.0)</f>
        <v>13390</v>
      </c>
      <c r="C1440" s="1">
        <f>IFERROR(__xludf.DUMMYFUNCTION("""COMPUTED_VALUE"""),13580.0)</f>
        <v>13580</v>
      </c>
      <c r="D1440" s="1">
        <f>IFERROR(__xludf.DUMMYFUNCTION("""COMPUTED_VALUE"""),13160.0)</f>
        <v>13160</v>
      </c>
      <c r="E1440" s="1">
        <f>IFERROR(__xludf.DUMMYFUNCTION("""COMPUTED_VALUE"""),13280.0)</f>
        <v>13280</v>
      </c>
      <c r="F1440" s="1">
        <f>IFERROR(__xludf.DUMMYFUNCTION("""COMPUTED_VALUE"""),36170.0)</f>
        <v>36170</v>
      </c>
    </row>
    <row r="1441">
      <c r="A1441" s="2">
        <f>IFERROR(__xludf.DUMMYFUNCTION("""COMPUTED_VALUE"""),44993.64583333333)</f>
        <v>44993.64583</v>
      </c>
      <c r="B1441" s="1">
        <f>IFERROR(__xludf.DUMMYFUNCTION("""COMPUTED_VALUE"""),13190.0)</f>
        <v>13190</v>
      </c>
      <c r="C1441" s="1">
        <f>IFERROR(__xludf.DUMMYFUNCTION("""COMPUTED_VALUE"""),13270.0)</f>
        <v>13270</v>
      </c>
      <c r="D1441" s="1">
        <f>IFERROR(__xludf.DUMMYFUNCTION("""COMPUTED_VALUE"""),12970.0)</f>
        <v>12970</v>
      </c>
      <c r="E1441" s="1">
        <f>IFERROR(__xludf.DUMMYFUNCTION("""COMPUTED_VALUE"""),13270.0)</f>
        <v>13270</v>
      </c>
      <c r="F1441" s="1">
        <f>IFERROR(__xludf.DUMMYFUNCTION("""COMPUTED_VALUE"""),15382.0)</f>
        <v>15382</v>
      </c>
    </row>
    <row r="1442">
      <c r="A1442" s="2">
        <f>IFERROR(__xludf.DUMMYFUNCTION("""COMPUTED_VALUE"""),44994.64583333333)</f>
        <v>44994.64583</v>
      </c>
      <c r="B1442" s="1">
        <f>IFERROR(__xludf.DUMMYFUNCTION("""COMPUTED_VALUE"""),13270.0)</f>
        <v>13270</v>
      </c>
      <c r="C1442" s="1">
        <f>IFERROR(__xludf.DUMMYFUNCTION("""COMPUTED_VALUE"""),13270.0)</f>
        <v>13270</v>
      </c>
      <c r="D1442" s="1">
        <f>IFERROR(__xludf.DUMMYFUNCTION("""COMPUTED_VALUE"""),12850.0)</f>
        <v>12850</v>
      </c>
      <c r="E1442" s="1">
        <f>IFERROR(__xludf.DUMMYFUNCTION("""COMPUTED_VALUE"""),12920.0)</f>
        <v>12920</v>
      </c>
      <c r="F1442" s="1">
        <f>IFERROR(__xludf.DUMMYFUNCTION("""COMPUTED_VALUE"""),28001.0)</f>
        <v>28001</v>
      </c>
    </row>
    <row r="1443">
      <c r="A1443" s="2">
        <f>IFERROR(__xludf.DUMMYFUNCTION("""COMPUTED_VALUE"""),44995.64583333333)</f>
        <v>44995.64583</v>
      </c>
      <c r="B1443" s="1">
        <f>IFERROR(__xludf.DUMMYFUNCTION("""COMPUTED_VALUE"""),12920.0)</f>
        <v>12920</v>
      </c>
      <c r="C1443" s="1">
        <f>IFERROR(__xludf.DUMMYFUNCTION("""COMPUTED_VALUE"""),12920.0)</f>
        <v>12920</v>
      </c>
      <c r="D1443" s="1">
        <f>IFERROR(__xludf.DUMMYFUNCTION("""COMPUTED_VALUE"""),12360.0)</f>
        <v>12360</v>
      </c>
      <c r="E1443" s="1">
        <f>IFERROR(__xludf.DUMMYFUNCTION("""COMPUTED_VALUE"""),12670.0)</f>
        <v>12670</v>
      </c>
      <c r="F1443" s="1">
        <f>IFERROR(__xludf.DUMMYFUNCTION("""COMPUTED_VALUE"""),44381.0)</f>
        <v>44381</v>
      </c>
    </row>
    <row r="1444">
      <c r="A1444" s="2">
        <f>IFERROR(__xludf.DUMMYFUNCTION("""COMPUTED_VALUE"""),44998.64583333333)</f>
        <v>44998.64583</v>
      </c>
      <c r="B1444" s="1">
        <f>IFERROR(__xludf.DUMMYFUNCTION("""COMPUTED_VALUE"""),12420.0)</f>
        <v>12420</v>
      </c>
      <c r="C1444" s="1">
        <f>IFERROR(__xludf.DUMMYFUNCTION("""COMPUTED_VALUE"""),12620.0)</f>
        <v>12620</v>
      </c>
      <c r="D1444" s="1">
        <f>IFERROR(__xludf.DUMMYFUNCTION("""COMPUTED_VALUE"""),12300.0)</f>
        <v>12300</v>
      </c>
      <c r="E1444" s="1">
        <f>IFERROR(__xludf.DUMMYFUNCTION("""COMPUTED_VALUE"""),12560.0)</f>
        <v>12560</v>
      </c>
      <c r="F1444" s="1">
        <f>IFERROR(__xludf.DUMMYFUNCTION("""COMPUTED_VALUE"""),21871.0)</f>
        <v>21871</v>
      </c>
    </row>
    <row r="1445">
      <c r="A1445" s="2">
        <f>IFERROR(__xludf.DUMMYFUNCTION("""COMPUTED_VALUE"""),44999.64583333333)</f>
        <v>44999.64583</v>
      </c>
      <c r="B1445" s="1">
        <f>IFERROR(__xludf.DUMMYFUNCTION("""COMPUTED_VALUE"""),12420.0)</f>
        <v>12420</v>
      </c>
      <c r="C1445" s="1">
        <f>IFERROR(__xludf.DUMMYFUNCTION("""COMPUTED_VALUE"""),12420.0)</f>
        <v>12420</v>
      </c>
      <c r="D1445" s="1">
        <f>IFERROR(__xludf.DUMMYFUNCTION("""COMPUTED_VALUE"""),12060.0)</f>
        <v>12060</v>
      </c>
      <c r="E1445" s="1">
        <f>IFERROR(__xludf.DUMMYFUNCTION("""COMPUTED_VALUE"""),12220.0)</f>
        <v>12220</v>
      </c>
      <c r="F1445" s="1">
        <f>IFERROR(__xludf.DUMMYFUNCTION("""COMPUTED_VALUE"""),54428.0)</f>
        <v>54428</v>
      </c>
    </row>
    <row r="1446">
      <c r="A1446" s="2">
        <f>IFERROR(__xludf.DUMMYFUNCTION("""COMPUTED_VALUE"""),45000.64583333333)</f>
        <v>45000.64583</v>
      </c>
      <c r="B1446" s="1">
        <f>IFERROR(__xludf.DUMMYFUNCTION("""COMPUTED_VALUE"""),12300.0)</f>
        <v>12300</v>
      </c>
      <c r="C1446" s="1">
        <f>IFERROR(__xludf.DUMMYFUNCTION("""COMPUTED_VALUE"""),12380.0)</f>
        <v>12380</v>
      </c>
      <c r="D1446" s="1">
        <f>IFERROR(__xludf.DUMMYFUNCTION("""COMPUTED_VALUE"""),12130.0)</f>
        <v>12130</v>
      </c>
      <c r="E1446" s="1">
        <f>IFERROR(__xludf.DUMMYFUNCTION("""COMPUTED_VALUE"""),12260.0)</f>
        <v>12260</v>
      </c>
      <c r="F1446" s="1">
        <f>IFERROR(__xludf.DUMMYFUNCTION("""COMPUTED_VALUE"""),23092.0)</f>
        <v>23092</v>
      </c>
    </row>
    <row r="1447">
      <c r="A1447" s="2">
        <f>IFERROR(__xludf.DUMMYFUNCTION("""COMPUTED_VALUE"""),45001.64583333333)</f>
        <v>45001.64583</v>
      </c>
      <c r="B1447" s="1">
        <f>IFERROR(__xludf.DUMMYFUNCTION("""COMPUTED_VALUE"""),12150.0)</f>
        <v>12150</v>
      </c>
      <c r="C1447" s="1">
        <f>IFERROR(__xludf.DUMMYFUNCTION("""COMPUTED_VALUE"""),12330.0)</f>
        <v>12330</v>
      </c>
      <c r="D1447" s="1">
        <f>IFERROR(__xludf.DUMMYFUNCTION("""COMPUTED_VALUE"""),11830.0)</f>
        <v>11830</v>
      </c>
      <c r="E1447" s="1">
        <f>IFERROR(__xludf.DUMMYFUNCTION("""COMPUTED_VALUE"""),12270.0)</f>
        <v>12270</v>
      </c>
      <c r="F1447" s="1">
        <f>IFERROR(__xludf.DUMMYFUNCTION("""COMPUTED_VALUE"""),40911.0)</f>
        <v>40911</v>
      </c>
    </row>
    <row r="1448">
      <c r="A1448" s="2">
        <f>IFERROR(__xludf.DUMMYFUNCTION("""COMPUTED_VALUE"""),45002.64583333333)</f>
        <v>45002.64583</v>
      </c>
      <c r="B1448" s="1">
        <f>IFERROR(__xludf.DUMMYFUNCTION("""COMPUTED_VALUE"""),12290.0)</f>
        <v>12290</v>
      </c>
      <c r="C1448" s="1">
        <f>IFERROR(__xludf.DUMMYFUNCTION("""COMPUTED_VALUE"""),12830.0)</f>
        <v>12830</v>
      </c>
      <c r="D1448" s="1">
        <f>IFERROR(__xludf.DUMMYFUNCTION("""COMPUTED_VALUE"""),12290.0)</f>
        <v>12290</v>
      </c>
      <c r="E1448" s="1">
        <f>IFERROR(__xludf.DUMMYFUNCTION("""COMPUTED_VALUE"""),12720.0)</f>
        <v>12720</v>
      </c>
      <c r="F1448" s="1">
        <f>IFERROR(__xludf.DUMMYFUNCTION("""COMPUTED_VALUE"""),24973.0)</f>
        <v>24973</v>
      </c>
    </row>
    <row r="1449">
      <c r="A1449" s="2">
        <f>IFERROR(__xludf.DUMMYFUNCTION("""COMPUTED_VALUE"""),45005.64583333333)</f>
        <v>45005.64583</v>
      </c>
      <c r="B1449" s="1">
        <f>IFERROR(__xludf.DUMMYFUNCTION("""COMPUTED_VALUE"""),12720.0)</f>
        <v>12720</v>
      </c>
      <c r="C1449" s="1">
        <f>IFERROR(__xludf.DUMMYFUNCTION("""COMPUTED_VALUE"""),12900.0)</f>
        <v>12900</v>
      </c>
      <c r="D1449" s="1">
        <f>IFERROR(__xludf.DUMMYFUNCTION("""COMPUTED_VALUE"""),12650.0)</f>
        <v>12650</v>
      </c>
      <c r="E1449" s="1">
        <f>IFERROR(__xludf.DUMMYFUNCTION("""COMPUTED_VALUE"""),12900.0)</f>
        <v>12900</v>
      </c>
      <c r="F1449" s="1">
        <f>IFERROR(__xludf.DUMMYFUNCTION("""COMPUTED_VALUE"""),11199.0)</f>
        <v>11199</v>
      </c>
    </row>
    <row r="1450">
      <c r="A1450" s="2">
        <f>IFERROR(__xludf.DUMMYFUNCTION("""COMPUTED_VALUE"""),45006.64583333333)</f>
        <v>45006.64583</v>
      </c>
      <c r="B1450" s="1">
        <f>IFERROR(__xludf.DUMMYFUNCTION("""COMPUTED_VALUE"""),12840.0)</f>
        <v>12840</v>
      </c>
      <c r="C1450" s="1">
        <f>IFERROR(__xludf.DUMMYFUNCTION("""COMPUTED_VALUE"""),12930.0)</f>
        <v>12930</v>
      </c>
      <c r="D1450" s="1">
        <f>IFERROR(__xludf.DUMMYFUNCTION("""COMPUTED_VALUE"""),12680.0)</f>
        <v>12680</v>
      </c>
      <c r="E1450" s="1">
        <f>IFERROR(__xludf.DUMMYFUNCTION("""COMPUTED_VALUE"""),12780.0)</f>
        <v>12780</v>
      </c>
      <c r="F1450" s="1">
        <f>IFERROR(__xludf.DUMMYFUNCTION("""COMPUTED_VALUE"""),13898.0)</f>
        <v>13898</v>
      </c>
    </row>
    <row r="1451">
      <c r="A1451" s="2">
        <f>IFERROR(__xludf.DUMMYFUNCTION("""COMPUTED_VALUE"""),45007.64583333333)</f>
        <v>45007.64583</v>
      </c>
      <c r="B1451" s="1">
        <f>IFERROR(__xludf.DUMMYFUNCTION("""COMPUTED_VALUE"""),12780.0)</f>
        <v>12780</v>
      </c>
      <c r="C1451" s="1">
        <f>IFERROR(__xludf.DUMMYFUNCTION("""COMPUTED_VALUE"""),13000.0)</f>
        <v>13000</v>
      </c>
      <c r="D1451" s="1">
        <f>IFERROR(__xludf.DUMMYFUNCTION("""COMPUTED_VALUE"""),12580.0)</f>
        <v>12580</v>
      </c>
      <c r="E1451" s="1">
        <f>IFERROR(__xludf.DUMMYFUNCTION("""COMPUTED_VALUE"""),12750.0)</f>
        <v>12750</v>
      </c>
      <c r="F1451" s="1">
        <f>IFERROR(__xludf.DUMMYFUNCTION("""COMPUTED_VALUE"""),20082.0)</f>
        <v>20082</v>
      </c>
    </row>
    <row r="1452">
      <c r="A1452" s="2">
        <f>IFERROR(__xludf.DUMMYFUNCTION("""COMPUTED_VALUE"""),45008.64583333333)</f>
        <v>45008.64583</v>
      </c>
      <c r="B1452" s="1">
        <f>IFERROR(__xludf.DUMMYFUNCTION("""COMPUTED_VALUE"""),12700.0)</f>
        <v>12700</v>
      </c>
      <c r="C1452" s="1">
        <f>IFERROR(__xludf.DUMMYFUNCTION("""COMPUTED_VALUE"""),12700.0)</f>
        <v>12700</v>
      </c>
      <c r="D1452" s="1">
        <f>IFERROR(__xludf.DUMMYFUNCTION("""COMPUTED_VALUE"""),12360.0)</f>
        <v>12360</v>
      </c>
      <c r="E1452" s="1">
        <f>IFERROR(__xludf.DUMMYFUNCTION("""COMPUTED_VALUE"""),12580.0)</f>
        <v>12580</v>
      </c>
      <c r="F1452" s="1">
        <f>IFERROR(__xludf.DUMMYFUNCTION("""COMPUTED_VALUE"""),40510.0)</f>
        <v>40510</v>
      </c>
    </row>
    <row r="1453">
      <c r="A1453" s="2">
        <f>IFERROR(__xludf.DUMMYFUNCTION("""COMPUTED_VALUE"""),45009.64583333333)</f>
        <v>45009.64583</v>
      </c>
      <c r="B1453" s="1">
        <f>IFERROR(__xludf.DUMMYFUNCTION("""COMPUTED_VALUE"""),12800.0)</f>
        <v>12800</v>
      </c>
      <c r="C1453" s="1">
        <f>IFERROR(__xludf.DUMMYFUNCTION("""COMPUTED_VALUE"""),13150.0)</f>
        <v>13150</v>
      </c>
      <c r="D1453" s="1">
        <f>IFERROR(__xludf.DUMMYFUNCTION("""COMPUTED_VALUE"""),12590.0)</f>
        <v>12590</v>
      </c>
      <c r="E1453" s="1">
        <f>IFERROR(__xludf.DUMMYFUNCTION("""COMPUTED_VALUE"""),12960.0)</f>
        <v>12960</v>
      </c>
      <c r="F1453" s="1">
        <f>IFERROR(__xludf.DUMMYFUNCTION("""COMPUTED_VALUE"""),47076.0)</f>
        <v>47076</v>
      </c>
    </row>
    <row r="1454">
      <c r="A1454" s="2">
        <f>IFERROR(__xludf.DUMMYFUNCTION("""COMPUTED_VALUE"""),45012.64583333333)</f>
        <v>45012.64583</v>
      </c>
      <c r="B1454" s="1">
        <f>IFERROR(__xludf.DUMMYFUNCTION("""COMPUTED_VALUE"""),12900.0)</f>
        <v>12900</v>
      </c>
      <c r="C1454" s="1">
        <f>IFERROR(__xludf.DUMMYFUNCTION("""COMPUTED_VALUE"""),12990.0)</f>
        <v>12990</v>
      </c>
      <c r="D1454" s="1">
        <f>IFERROR(__xludf.DUMMYFUNCTION("""COMPUTED_VALUE"""),12360.0)</f>
        <v>12360</v>
      </c>
      <c r="E1454" s="1">
        <f>IFERROR(__xludf.DUMMYFUNCTION("""COMPUTED_VALUE"""),12550.0)</f>
        <v>12550</v>
      </c>
      <c r="F1454" s="1">
        <f>IFERROR(__xludf.DUMMYFUNCTION("""COMPUTED_VALUE"""),21708.0)</f>
        <v>21708</v>
      </c>
    </row>
    <row r="1455">
      <c r="A1455" s="2">
        <f>IFERROR(__xludf.DUMMYFUNCTION("""COMPUTED_VALUE"""),45013.64583333333)</f>
        <v>45013.64583</v>
      </c>
      <c r="B1455" s="1">
        <f>IFERROR(__xludf.DUMMYFUNCTION("""COMPUTED_VALUE"""),12550.0)</f>
        <v>12550</v>
      </c>
      <c r="C1455" s="1">
        <f>IFERROR(__xludf.DUMMYFUNCTION("""COMPUTED_VALUE"""),12910.0)</f>
        <v>12910</v>
      </c>
      <c r="D1455" s="1">
        <f>IFERROR(__xludf.DUMMYFUNCTION("""COMPUTED_VALUE"""),12430.0)</f>
        <v>12430</v>
      </c>
      <c r="E1455" s="1">
        <f>IFERROR(__xludf.DUMMYFUNCTION("""COMPUTED_VALUE"""),12680.0)</f>
        <v>12680</v>
      </c>
      <c r="F1455" s="1">
        <f>IFERROR(__xludf.DUMMYFUNCTION("""COMPUTED_VALUE"""),28523.0)</f>
        <v>28523</v>
      </c>
    </row>
    <row r="1456">
      <c r="A1456" s="2">
        <f>IFERROR(__xludf.DUMMYFUNCTION("""COMPUTED_VALUE"""),45014.64583333333)</f>
        <v>45014.64583</v>
      </c>
      <c r="B1456" s="1">
        <f>IFERROR(__xludf.DUMMYFUNCTION("""COMPUTED_VALUE"""),12700.0)</f>
        <v>12700</v>
      </c>
      <c r="C1456" s="1">
        <f>IFERROR(__xludf.DUMMYFUNCTION("""COMPUTED_VALUE"""),12990.0)</f>
        <v>12990</v>
      </c>
      <c r="D1456" s="1">
        <f>IFERROR(__xludf.DUMMYFUNCTION("""COMPUTED_VALUE"""),12550.0)</f>
        <v>12550</v>
      </c>
      <c r="E1456" s="1">
        <f>IFERROR(__xludf.DUMMYFUNCTION("""COMPUTED_VALUE"""),12930.0)</f>
        <v>12930</v>
      </c>
      <c r="F1456" s="1">
        <f>IFERROR(__xludf.DUMMYFUNCTION("""COMPUTED_VALUE"""),29540.0)</f>
        <v>29540</v>
      </c>
    </row>
    <row r="1457">
      <c r="A1457" s="2">
        <f>IFERROR(__xludf.DUMMYFUNCTION("""COMPUTED_VALUE"""),45015.64583333333)</f>
        <v>45015.64583</v>
      </c>
      <c r="B1457" s="1">
        <f>IFERROR(__xludf.DUMMYFUNCTION("""COMPUTED_VALUE"""),12940.0)</f>
        <v>12940</v>
      </c>
      <c r="C1457" s="1">
        <f>IFERROR(__xludf.DUMMYFUNCTION("""COMPUTED_VALUE"""),13200.0)</f>
        <v>13200</v>
      </c>
      <c r="D1457" s="1">
        <f>IFERROR(__xludf.DUMMYFUNCTION("""COMPUTED_VALUE"""),12740.0)</f>
        <v>12740</v>
      </c>
      <c r="E1457" s="1">
        <f>IFERROR(__xludf.DUMMYFUNCTION("""COMPUTED_VALUE"""),13120.0)</f>
        <v>13120</v>
      </c>
      <c r="F1457" s="1">
        <f>IFERROR(__xludf.DUMMYFUNCTION("""COMPUTED_VALUE"""),39287.0)</f>
        <v>39287</v>
      </c>
    </row>
    <row r="1458">
      <c r="A1458" s="2">
        <f>IFERROR(__xludf.DUMMYFUNCTION("""COMPUTED_VALUE"""),45016.64583333333)</f>
        <v>45016.64583</v>
      </c>
      <c r="B1458" s="1">
        <f>IFERROR(__xludf.DUMMYFUNCTION("""COMPUTED_VALUE"""),13300.0)</f>
        <v>13300</v>
      </c>
      <c r="C1458" s="1">
        <f>IFERROR(__xludf.DUMMYFUNCTION("""COMPUTED_VALUE"""),13310.0)</f>
        <v>13310</v>
      </c>
      <c r="D1458" s="1">
        <f>IFERROR(__xludf.DUMMYFUNCTION("""COMPUTED_VALUE"""),12920.0)</f>
        <v>12920</v>
      </c>
      <c r="E1458" s="1">
        <f>IFERROR(__xludf.DUMMYFUNCTION("""COMPUTED_VALUE"""),13150.0)</f>
        <v>13150</v>
      </c>
      <c r="F1458" s="1">
        <f>IFERROR(__xludf.DUMMYFUNCTION("""COMPUTED_VALUE"""),19554.0)</f>
        <v>19554</v>
      </c>
    </row>
    <row r="1459">
      <c r="A1459" s="2">
        <f>IFERROR(__xludf.DUMMYFUNCTION("""COMPUTED_VALUE"""),45019.64583333333)</f>
        <v>45019.64583</v>
      </c>
      <c r="B1459" s="1">
        <f>IFERROR(__xludf.DUMMYFUNCTION("""COMPUTED_VALUE"""),13400.0)</f>
        <v>13400</v>
      </c>
      <c r="C1459" s="1">
        <f>IFERROR(__xludf.DUMMYFUNCTION("""COMPUTED_VALUE"""),13400.0)</f>
        <v>13400</v>
      </c>
      <c r="D1459" s="1">
        <f>IFERROR(__xludf.DUMMYFUNCTION("""COMPUTED_VALUE"""),12750.0)</f>
        <v>12750</v>
      </c>
      <c r="E1459" s="1">
        <f>IFERROR(__xludf.DUMMYFUNCTION("""COMPUTED_VALUE"""),12750.0)</f>
        <v>12750</v>
      </c>
      <c r="F1459" s="1">
        <f>IFERROR(__xludf.DUMMYFUNCTION("""COMPUTED_VALUE"""),25713.0)</f>
        <v>25713</v>
      </c>
    </row>
    <row r="1460">
      <c r="A1460" s="2">
        <f>IFERROR(__xludf.DUMMYFUNCTION("""COMPUTED_VALUE"""),45020.64583333333)</f>
        <v>45020.64583</v>
      </c>
      <c r="B1460" s="1">
        <f>IFERROR(__xludf.DUMMYFUNCTION("""COMPUTED_VALUE"""),12630.0)</f>
        <v>12630</v>
      </c>
      <c r="C1460" s="1">
        <f>IFERROR(__xludf.DUMMYFUNCTION("""COMPUTED_VALUE"""),12920.0)</f>
        <v>12920</v>
      </c>
      <c r="D1460" s="1">
        <f>IFERROR(__xludf.DUMMYFUNCTION("""COMPUTED_VALUE"""),12600.0)</f>
        <v>12600</v>
      </c>
      <c r="E1460" s="1">
        <f>IFERROR(__xludf.DUMMYFUNCTION("""COMPUTED_VALUE"""),12850.0)</f>
        <v>12850</v>
      </c>
      <c r="F1460" s="1">
        <f>IFERROR(__xludf.DUMMYFUNCTION("""COMPUTED_VALUE"""),15853.0)</f>
        <v>15853</v>
      </c>
    </row>
    <row r="1461">
      <c r="A1461" s="2">
        <f>IFERROR(__xludf.DUMMYFUNCTION("""COMPUTED_VALUE"""),45021.64583333333)</f>
        <v>45021.64583</v>
      </c>
      <c r="B1461" s="1">
        <f>IFERROR(__xludf.DUMMYFUNCTION("""COMPUTED_VALUE"""),12720.0)</f>
        <v>12720</v>
      </c>
      <c r="C1461" s="1">
        <f>IFERROR(__xludf.DUMMYFUNCTION("""COMPUTED_VALUE"""),13120.0)</f>
        <v>13120</v>
      </c>
      <c r="D1461" s="1">
        <f>IFERROR(__xludf.DUMMYFUNCTION("""COMPUTED_VALUE"""),12720.0)</f>
        <v>12720</v>
      </c>
      <c r="E1461" s="1">
        <f>IFERROR(__xludf.DUMMYFUNCTION("""COMPUTED_VALUE"""),13010.0)</f>
        <v>13010</v>
      </c>
      <c r="F1461" s="1">
        <f>IFERROR(__xludf.DUMMYFUNCTION("""COMPUTED_VALUE"""),25140.0)</f>
        <v>25140</v>
      </c>
    </row>
    <row r="1462">
      <c r="A1462" s="2">
        <f>IFERROR(__xludf.DUMMYFUNCTION("""COMPUTED_VALUE"""),45022.64583333333)</f>
        <v>45022.64583</v>
      </c>
      <c r="B1462" s="1">
        <f>IFERROR(__xludf.DUMMYFUNCTION("""COMPUTED_VALUE"""),13070.0)</f>
        <v>13070</v>
      </c>
      <c r="C1462" s="1">
        <f>IFERROR(__xludf.DUMMYFUNCTION("""COMPUTED_VALUE"""),13070.0)</f>
        <v>13070</v>
      </c>
      <c r="D1462" s="1">
        <f>IFERROR(__xludf.DUMMYFUNCTION("""COMPUTED_VALUE"""),12710.0)</f>
        <v>12710</v>
      </c>
      <c r="E1462" s="1">
        <f>IFERROR(__xludf.DUMMYFUNCTION("""COMPUTED_VALUE"""),12950.0)</f>
        <v>12950</v>
      </c>
      <c r="F1462" s="1">
        <f>IFERROR(__xludf.DUMMYFUNCTION("""COMPUTED_VALUE"""),11997.0)</f>
        <v>11997</v>
      </c>
    </row>
    <row r="1463">
      <c r="A1463" s="2">
        <f>IFERROR(__xludf.DUMMYFUNCTION("""COMPUTED_VALUE"""),45023.64583333333)</f>
        <v>45023.64583</v>
      </c>
      <c r="B1463" s="1">
        <f>IFERROR(__xludf.DUMMYFUNCTION("""COMPUTED_VALUE"""),13000.0)</f>
        <v>13000</v>
      </c>
      <c r="C1463" s="1">
        <f>IFERROR(__xludf.DUMMYFUNCTION("""COMPUTED_VALUE"""),13140.0)</f>
        <v>13140</v>
      </c>
      <c r="D1463" s="1">
        <f>IFERROR(__xludf.DUMMYFUNCTION("""COMPUTED_VALUE"""),12950.0)</f>
        <v>12950</v>
      </c>
      <c r="E1463" s="1">
        <f>IFERROR(__xludf.DUMMYFUNCTION("""COMPUTED_VALUE"""),13020.0)</f>
        <v>13020</v>
      </c>
      <c r="F1463" s="1">
        <f>IFERROR(__xludf.DUMMYFUNCTION("""COMPUTED_VALUE"""),11111.0)</f>
        <v>11111</v>
      </c>
    </row>
    <row r="1464">
      <c r="A1464" s="2">
        <f>IFERROR(__xludf.DUMMYFUNCTION("""COMPUTED_VALUE"""),45026.64583333333)</f>
        <v>45026.64583</v>
      </c>
      <c r="B1464" s="1">
        <f>IFERROR(__xludf.DUMMYFUNCTION("""COMPUTED_VALUE"""),12910.0)</f>
        <v>12910</v>
      </c>
      <c r="C1464" s="1">
        <f>IFERROR(__xludf.DUMMYFUNCTION("""COMPUTED_VALUE"""),13040.0)</f>
        <v>13040</v>
      </c>
      <c r="D1464" s="1">
        <f>IFERROR(__xludf.DUMMYFUNCTION("""COMPUTED_VALUE"""),12740.0)</f>
        <v>12740</v>
      </c>
      <c r="E1464" s="1">
        <f>IFERROR(__xludf.DUMMYFUNCTION("""COMPUTED_VALUE"""),12880.0)</f>
        <v>12880</v>
      </c>
      <c r="F1464" s="1">
        <f>IFERROR(__xludf.DUMMYFUNCTION("""COMPUTED_VALUE"""),19815.0)</f>
        <v>19815</v>
      </c>
    </row>
    <row r="1465">
      <c r="A1465" s="2">
        <f>IFERROR(__xludf.DUMMYFUNCTION("""COMPUTED_VALUE"""),45027.64583333333)</f>
        <v>45027.64583</v>
      </c>
      <c r="B1465" s="1">
        <f>IFERROR(__xludf.DUMMYFUNCTION("""COMPUTED_VALUE"""),12700.0)</f>
        <v>12700</v>
      </c>
      <c r="C1465" s="1">
        <f>IFERROR(__xludf.DUMMYFUNCTION("""COMPUTED_VALUE"""),13090.0)</f>
        <v>13090</v>
      </c>
      <c r="D1465" s="1">
        <f>IFERROR(__xludf.DUMMYFUNCTION("""COMPUTED_VALUE"""),12700.0)</f>
        <v>12700</v>
      </c>
      <c r="E1465" s="1">
        <f>IFERROR(__xludf.DUMMYFUNCTION("""COMPUTED_VALUE"""),13000.0)</f>
        <v>13000</v>
      </c>
      <c r="F1465" s="1">
        <f>IFERROR(__xludf.DUMMYFUNCTION("""COMPUTED_VALUE"""),22113.0)</f>
        <v>22113</v>
      </c>
    </row>
    <row r="1466">
      <c r="A1466" s="2">
        <f>IFERROR(__xludf.DUMMYFUNCTION("""COMPUTED_VALUE"""),45028.64583333333)</f>
        <v>45028.64583</v>
      </c>
      <c r="B1466" s="1">
        <f>IFERROR(__xludf.DUMMYFUNCTION("""COMPUTED_VALUE"""),13100.0)</f>
        <v>13100</v>
      </c>
      <c r="C1466" s="1">
        <f>IFERROR(__xludf.DUMMYFUNCTION("""COMPUTED_VALUE"""),13100.0)</f>
        <v>13100</v>
      </c>
      <c r="D1466" s="1">
        <f>IFERROR(__xludf.DUMMYFUNCTION("""COMPUTED_VALUE"""),12670.0)</f>
        <v>12670</v>
      </c>
      <c r="E1466" s="1">
        <f>IFERROR(__xludf.DUMMYFUNCTION("""COMPUTED_VALUE"""),12900.0)</f>
        <v>12900</v>
      </c>
      <c r="F1466" s="1">
        <f>IFERROR(__xludf.DUMMYFUNCTION("""COMPUTED_VALUE"""),30910.0)</f>
        <v>30910</v>
      </c>
    </row>
    <row r="1467">
      <c r="A1467" s="2">
        <f>IFERROR(__xludf.DUMMYFUNCTION("""COMPUTED_VALUE"""),45029.64583333333)</f>
        <v>45029.64583</v>
      </c>
      <c r="B1467" s="1">
        <f>IFERROR(__xludf.DUMMYFUNCTION("""COMPUTED_VALUE"""),12800.0)</f>
        <v>12800</v>
      </c>
      <c r="C1467" s="1">
        <f>IFERROR(__xludf.DUMMYFUNCTION("""COMPUTED_VALUE"""),12900.0)</f>
        <v>12900</v>
      </c>
      <c r="D1467" s="1">
        <f>IFERROR(__xludf.DUMMYFUNCTION("""COMPUTED_VALUE"""),12520.0)</f>
        <v>12520</v>
      </c>
      <c r="E1467" s="1">
        <f>IFERROR(__xludf.DUMMYFUNCTION("""COMPUTED_VALUE"""),12530.0)</f>
        <v>12530</v>
      </c>
      <c r="F1467" s="1">
        <f>IFERROR(__xludf.DUMMYFUNCTION("""COMPUTED_VALUE"""),38124.0)</f>
        <v>38124</v>
      </c>
    </row>
    <row r="1468">
      <c r="A1468" s="2">
        <f>IFERROR(__xludf.DUMMYFUNCTION("""COMPUTED_VALUE"""),45030.64583333333)</f>
        <v>45030.64583</v>
      </c>
      <c r="B1468" s="1">
        <f>IFERROR(__xludf.DUMMYFUNCTION("""COMPUTED_VALUE"""),12550.0)</f>
        <v>12550</v>
      </c>
      <c r="C1468" s="1">
        <f>IFERROR(__xludf.DUMMYFUNCTION("""COMPUTED_VALUE"""),12670.0)</f>
        <v>12670</v>
      </c>
      <c r="D1468" s="1">
        <f>IFERROR(__xludf.DUMMYFUNCTION("""COMPUTED_VALUE"""),12500.0)</f>
        <v>12500</v>
      </c>
      <c r="E1468" s="1">
        <f>IFERROR(__xludf.DUMMYFUNCTION("""COMPUTED_VALUE"""),12620.0)</f>
        <v>12620</v>
      </c>
      <c r="F1468" s="1">
        <f>IFERROR(__xludf.DUMMYFUNCTION("""COMPUTED_VALUE"""),19159.0)</f>
        <v>19159</v>
      </c>
    </row>
    <row r="1469">
      <c r="A1469" s="2">
        <f>IFERROR(__xludf.DUMMYFUNCTION("""COMPUTED_VALUE"""),45033.64583333333)</f>
        <v>45033.64583</v>
      </c>
      <c r="B1469" s="1">
        <f>IFERROR(__xludf.DUMMYFUNCTION("""COMPUTED_VALUE"""),12630.0)</f>
        <v>12630</v>
      </c>
      <c r="C1469" s="1">
        <f>IFERROR(__xludf.DUMMYFUNCTION("""COMPUTED_VALUE"""),12630.0)</f>
        <v>12630</v>
      </c>
      <c r="D1469" s="1">
        <f>IFERROR(__xludf.DUMMYFUNCTION("""COMPUTED_VALUE"""),12420.0)</f>
        <v>12420</v>
      </c>
      <c r="E1469" s="1">
        <f>IFERROR(__xludf.DUMMYFUNCTION("""COMPUTED_VALUE"""),12500.0)</f>
        <v>12500</v>
      </c>
      <c r="F1469" s="1">
        <f>IFERROR(__xludf.DUMMYFUNCTION("""COMPUTED_VALUE"""),16286.0)</f>
        <v>16286</v>
      </c>
    </row>
    <row r="1470">
      <c r="A1470" s="2">
        <f>IFERROR(__xludf.DUMMYFUNCTION("""COMPUTED_VALUE"""),45034.64583333333)</f>
        <v>45034.64583</v>
      </c>
      <c r="B1470" s="1">
        <f>IFERROR(__xludf.DUMMYFUNCTION("""COMPUTED_VALUE"""),12440.0)</f>
        <v>12440</v>
      </c>
      <c r="C1470" s="1">
        <f>IFERROR(__xludf.DUMMYFUNCTION("""COMPUTED_VALUE"""),13650.0)</f>
        <v>13650</v>
      </c>
      <c r="D1470" s="1">
        <f>IFERROR(__xludf.DUMMYFUNCTION("""COMPUTED_VALUE"""),12280.0)</f>
        <v>12280</v>
      </c>
      <c r="E1470" s="1">
        <f>IFERROR(__xludf.DUMMYFUNCTION("""COMPUTED_VALUE"""),12550.0)</f>
        <v>12550</v>
      </c>
      <c r="F1470" s="1">
        <f>IFERROR(__xludf.DUMMYFUNCTION("""COMPUTED_VALUE"""),86799.0)</f>
        <v>86799</v>
      </c>
    </row>
    <row r="1471">
      <c r="A1471" s="2">
        <f>IFERROR(__xludf.DUMMYFUNCTION("""COMPUTED_VALUE"""),45035.64583333333)</f>
        <v>45035.64583</v>
      </c>
      <c r="B1471" s="1">
        <f>IFERROR(__xludf.DUMMYFUNCTION("""COMPUTED_VALUE"""),13000.0)</f>
        <v>13000</v>
      </c>
      <c r="C1471" s="1">
        <f>IFERROR(__xludf.DUMMYFUNCTION("""COMPUTED_VALUE"""),13000.0)</f>
        <v>13000</v>
      </c>
      <c r="D1471" s="1">
        <f>IFERROR(__xludf.DUMMYFUNCTION("""COMPUTED_VALUE"""),12430.0)</f>
        <v>12430</v>
      </c>
      <c r="E1471" s="1">
        <f>IFERROR(__xludf.DUMMYFUNCTION("""COMPUTED_VALUE"""),12550.0)</f>
        <v>12550</v>
      </c>
      <c r="F1471" s="1">
        <f>IFERROR(__xludf.DUMMYFUNCTION("""COMPUTED_VALUE"""),25461.0)</f>
        <v>25461</v>
      </c>
    </row>
    <row r="1472">
      <c r="A1472" s="2">
        <f>IFERROR(__xludf.DUMMYFUNCTION("""COMPUTED_VALUE"""),45036.64583333333)</f>
        <v>45036.64583</v>
      </c>
      <c r="B1472" s="1">
        <f>IFERROR(__xludf.DUMMYFUNCTION("""COMPUTED_VALUE"""),12450.0)</f>
        <v>12450</v>
      </c>
      <c r="C1472" s="1">
        <f>IFERROR(__xludf.DUMMYFUNCTION("""COMPUTED_VALUE"""),12460.0)</f>
        <v>12460</v>
      </c>
      <c r="D1472" s="1">
        <f>IFERROR(__xludf.DUMMYFUNCTION("""COMPUTED_VALUE"""),12190.0)</f>
        <v>12190</v>
      </c>
      <c r="E1472" s="1">
        <f>IFERROR(__xludf.DUMMYFUNCTION("""COMPUTED_VALUE"""),12300.0)</f>
        <v>12300</v>
      </c>
      <c r="F1472" s="1">
        <f>IFERROR(__xludf.DUMMYFUNCTION("""COMPUTED_VALUE"""),43411.0)</f>
        <v>43411</v>
      </c>
    </row>
    <row r="1473">
      <c r="A1473" s="2">
        <f>IFERROR(__xludf.DUMMYFUNCTION("""COMPUTED_VALUE"""),45037.64583333333)</f>
        <v>45037.64583</v>
      </c>
      <c r="B1473" s="1">
        <f>IFERROR(__xludf.DUMMYFUNCTION("""COMPUTED_VALUE"""),12580.0)</f>
        <v>12580</v>
      </c>
      <c r="C1473" s="1">
        <f>IFERROR(__xludf.DUMMYFUNCTION("""COMPUTED_VALUE"""),12580.0)</f>
        <v>12580</v>
      </c>
      <c r="D1473" s="1">
        <f>IFERROR(__xludf.DUMMYFUNCTION("""COMPUTED_VALUE"""),12020.0)</f>
        <v>12020</v>
      </c>
      <c r="E1473" s="1">
        <f>IFERROR(__xludf.DUMMYFUNCTION("""COMPUTED_VALUE"""),12230.0)</f>
        <v>12230</v>
      </c>
      <c r="F1473" s="1">
        <f>IFERROR(__xludf.DUMMYFUNCTION("""COMPUTED_VALUE"""),29922.0)</f>
        <v>29922</v>
      </c>
    </row>
    <row r="1474">
      <c r="A1474" s="2">
        <f>IFERROR(__xludf.DUMMYFUNCTION("""COMPUTED_VALUE"""),45040.64583333333)</f>
        <v>45040.64583</v>
      </c>
      <c r="B1474" s="1">
        <f>IFERROR(__xludf.DUMMYFUNCTION("""COMPUTED_VALUE"""),12280.0)</f>
        <v>12280</v>
      </c>
      <c r="C1474" s="1">
        <f>IFERROR(__xludf.DUMMYFUNCTION("""COMPUTED_VALUE"""),12280.0)</f>
        <v>12280</v>
      </c>
      <c r="D1474" s="1">
        <f>IFERROR(__xludf.DUMMYFUNCTION("""COMPUTED_VALUE"""),11980.0)</f>
        <v>11980</v>
      </c>
      <c r="E1474" s="1">
        <f>IFERROR(__xludf.DUMMYFUNCTION("""COMPUTED_VALUE"""),12180.0)</f>
        <v>12180</v>
      </c>
      <c r="F1474" s="1">
        <f>IFERROR(__xludf.DUMMYFUNCTION("""COMPUTED_VALUE"""),36081.0)</f>
        <v>36081</v>
      </c>
    </row>
    <row r="1475">
      <c r="A1475" s="2">
        <f>IFERROR(__xludf.DUMMYFUNCTION("""COMPUTED_VALUE"""),45041.64583333333)</f>
        <v>45041.64583</v>
      </c>
      <c r="B1475" s="1">
        <f>IFERROR(__xludf.DUMMYFUNCTION("""COMPUTED_VALUE"""),12060.0)</f>
        <v>12060</v>
      </c>
      <c r="C1475" s="1">
        <f>IFERROR(__xludf.DUMMYFUNCTION("""COMPUTED_VALUE"""),12220.0)</f>
        <v>12220</v>
      </c>
      <c r="D1475" s="1">
        <f>IFERROR(__xludf.DUMMYFUNCTION("""COMPUTED_VALUE"""),11860.0)</f>
        <v>11860</v>
      </c>
      <c r="E1475" s="1">
        <f>IFERROR(__xludf.DUMMYFUNCTION("""COMPUTED_VALUE"""),12140.0)</f>
        <v>12140</v>
      </c>
      <c r="F1475" s="1">
        <f>IFERROR(__xludf.DUMMYFUNCTION("""COMPUTED_VALUE"""),36541.0)</f>
        <v>36541</v>
      </c>
    </row>
    <row r="1476">
      <c r="A1476" s="2">
        <f>IFERROR(__xludf.DUMMYFUNCTION("""COMPUTED_VALUE"""),45042.64583333333)</f>
        <v>45042.64583</v>
      </c>
      <c r="B1476" s="1">
        <f>IFERROR(__xludf.DUMMYFUNCTION("""COMPUTED_VALUE"""),11970.0)</f>
        <v>11970</v>
      </c>
      <c r="C1476" s="1">
        <f>IFERROR(__xludf.DUMMYFUNCTION("""COMPUTED_VALUE"""),12550.0)</f>
        <v>12550</v>
      </c>
      <c r="D1476" s="1">
        <f>IFERROR(__xludf.DUMMYFUNCTION("""COMPUTED_VALUE"""),11900.0)</f>
        <v>11900</v>
      </c>
      <c r="E1476" s="1">
        <f>IFERROR(__xludf.DUMMYFUNCTION("""COMPUTED_VALUE"""),12380.0)</f>
        <v>12380</v>
      </c>
      <c r="F1476" s="1">
        <f>IFERROR(__xludf.DUMMYFUNCTION("""COMPUTED_VALUE"""),26691.0)</f>
        <v>26691</v>
      </c>
    </row>
    <row r="1477">
      <c r="A1477" s="2">
        <f>IFERROR(__xludf.DUMMYFUNCTION("""COMPUTED_VALUE"""),45043.64583333333)</f>
        <v>45043.64583</v>
      </c>
      <c r="B1477" s="1">
        <f>IFERROR(__xludf.DUMMYFUNCTION("""COMPUTED_VALUE"""),12200.0)</f>
        <v>12200</v>
      </c>
      <c r="C1477" s="1">
        <f>IFERROR(__xludf.DUMMYFUNCTION("""COMPUTED_VALUE"""),12400.0)</f>
        <v>12400</v>
      </c>
      <c r="D1477" s="1">
        <f>IFERROR(__xludf.DUMMYFUNCTION("""COMPUTED_VALUE"""),12010.0)</f>
        <v>12010</v>
      </c>
      <c r="E1477" s="1">
        <f>IFERROR(__xludf.DUMMYFUNCTION("""COMPUTED_VALUE"""),12280.0)</f>
        <v>12280</v>
      </c>
      <c r="F1477" s="1">
        <f>IFERROR(__xludf.DUMMYFUNCTION("""COMPUTED_VALUE"""),16599.0)</f>
        <v>16599</v>
      </c>
    </row>
    <row r="1478">
      <c r="A1478" s="2">
        <f>IFERROR(__xludf.DUMMYFUNCTION("""COMPUTED_VALUE"""),45044.64583333333)</f>
        <v>45044.64583</v>
      </c>
      <c r="B1478" s="1">
        <f>IFERROR(__xludf.DUMMYFUNCTION("""COMPUTED_VALUE"""),12320.0)</f>
        <v>12320</v>
      </c>
      <c r="C1478" s="1">
        <f>IFERROR(__xludf.DUMMYFUNCTION("""COMPUTED_VALUE"""),12320.0)</f>
        <v>12320</v>
      </c>
      <c r="D1478" s="1">
        <f>IFERROR(__xludf.DUMMYFUNCTION("""COMPUTED_VALUE"""),11990.0)</f>
        <v>11990</v>
      </c>
      <c r="E1478" s="1">
        <f>IFERROR(__xludf.DUMMYFUNCTION("""COMPUTED_VALUE"""),12180.0)</f>
        <v>12180</v>
      </c>
      <c r="F1478" s="1">
        <f>IFERROR(__xludf.DUMMYFUNCTION("""COMPUTED_VALUE"""),18278.0)</f>
        <v>18278</v>
      </c>
    </row>
    <row r="1479">
      <c r="A1479" s="2">
        <f>IFERROR(__xludf.DUMMYFUNCTION("""COMPUTED_VALUE"""),45048.64583333333)</f>
        <v>45048.64583</v>
      </c>
      <c r="B1479" s="1">
        <f>IFERROR(__xludf.DUMMYFUNCTION("""COMPUTED_VALUE"""),12180.0)</f>
        <v>12180</v>
      </c>
      <c r="C1479" s="1">
        <f>IFERROR(__xludf.DUMMYFUNCTION("""COMPUTED_VALUE"""),12180.0)</f>
        <v>12180</v>
      </c>
      <c r="D1479" s="1">
        <f>IFERROR(__xludf.DUMMYFUNCTION("""COMPUTED_VALUE"""),11970.0)</f>
        <v>11970</v>
      </c>
      <c r="E1479" s="1">
        <f>IFERROR(__xludf.DUMMYFUNCTION("""COMPUTED_VALUE"""),12180.0)</f>
        <v>12180</v>
      </c>
      <c r="F1479" s="1">
        <f>IFERROR(__xludf.DUMMYFUNCTION("""COMPUTED_VALUE"""),4071.0)</f>
        <v>4071</v>
      </c>
    </row>
    <row r="1480">
      <c r="A1480" s="2">
        <f>IFERROR(__xludf.DUMMYFUNCTION("""COMPUTED_VALUE"""),45049.64583333333)</f>
        <v>45049.64583</v>
      </c>
      <c r="B1480" s="1">
        <f>IFERROR(__xludf.DUMMYFUNCTION("""COMPUTED_VALUE"""),11940.0)</f>
        <v>11940</v>
      </c>
      <c r="C1480" s="1">
        <f>IFERROR(__xludf.DUMMYFUNCTION("""COMPUTED_VALUE"""),12200.0)</f>
        <v>12200</v>
      </c>
      <c r="D1480" s="1">
        <f>IFERROR(__xludf.DUMMYFUNCTION("""COMPUTED_VALUE"""),11940.0)</f>
        <v>11940</v>
      </c>
      <c r="E1480" s="1">
        <f>IFERROR(__xludf.DUMMYFUNCTION("""COMPUTED_VALUE"""),12120.0)</f>
        <v>12120</v>
      </c>
      <c r="F1480" s="1">
        <f>IFERROR(__xludf.DUMMYFUNCTION("""COMPUTED_VALUE"""),3585.0)</f>
        <v>3585</v>
      </c>
    </row>
    <row r="1481">
      <c r="A1481" s="2">
        <f>IFERROR(__xludf.DUMMYFUNCTION("""COMPUTED_VALUE"""),45050.64583333333)</f>
        <v>45050.64583</v>
      </c>
      <c r="B1481" s="1">
        <f>IFERROR(__xludf.DUMMYFUNCTION("""COMPUTED_VALUE"""),12190.0)</f>
        <v>12190</v>
      </c>
      <c r="C1481" s="1">
        <f>IFERROR(__xludf.DUMMYFUNCTION("""COMPUTED_VALUE"""),12190.0)</f>
        <v>12190</v>
      </c>
      <c r="D1481" s="1">
        <f>IFERROR(__xludf.DUMMYFUNCTION("""COMPUTED_VALUE"""),11930.0)</f>
        <v>11930</v>
      </c>
      <c r="E1481" s="1">
        <f>IFERROR(__xludf.DUMMYFUNCTION("""COMPUTED_VALUE"""),12100.0)</f>
        <v>12100</v>
      </c>
      <c r="F1481" s="1">
        <f>IFERROR(__xludf.DUMMYFUNCTION("""COMPUTED_VALUE"""),15358.0)</f>
        <v>15358</v>
      </c>
    </row>
    <row r="1482">
      <c r="A1482" s="2">
        <f>IFERROR(__xludf.DUMMYFUNCTION("""COMPUTED_VALUE"""),45054.64583333333)</f>
        <v>45054.64583</v>
      </c>
      <c r="B1482" s="1">
        <f>IFERROR(__xludf.DUMMYFUNCTION("""COMPUTED_VALUE"""),12100.0)</f>
        <v>12100</v>
      </c>
      <c r="C1482" s="1">
        <f>IFERROR(__xludf.DUMMYFUNCTION("""COMPUTED_VALUE"""),12260.0)</f>
        <v>12260</v>
      </c>
      <c r="D1482" s="1">
        <f>IFERROR(__xludf.DUMMYFUNCTION("""COMPUTED_VALUE"""),12040.0)</f>
        <v>12040</v>
      </c>
      <c r="E1482" s="1">
        <f>IFERROR(__xludf.DUMMYFUNCTION("""COMPUTED_VALUE"""),12150.0)</f>
        <v>12150</v>
      </c>
      <c r="F1482" s="1">
        <f>IFERROR(__xludf.DUMMYFUNCTION("""COMPUTED_VALUE"""),9138.0)</f>
        <v>9138</v>
      </c>
    </row>
    <row r="1483">
      <c r="A1483" s="2">
        <f>IFERROR(__xludf.DUMMYFUNCTION("""COMPUTED_VALUE"""),45055.64583333333)</f>
        <v>45055.64583</v>
      </c>
      <c r="B1483" s="1">
        <f>IFERROR(__xludf.DUMMYFUNCTION("""COMPUTED_VALUE"""),12150.0)</f>
        <v>12150</v>
      </c>
      <c r="C1483" s="1">
        <f>IFERROR(__xludf.DUMMYFUNCTION("""COMPUTED_VALUE"""),12150.0)</f>
        <v>12150</v>
      </c>
      <c r="D1483" s="1">
        <f>IFERROR(__xludf.DUMMYFUNCTION("""COMPUTED_VALUE"""),11930.0)</f>
        <v>11930</v>
      </c>
      <c r="E1483" s="1">
        <f>IFERROR(__xludf.DUMMYFUNCTION("""COMPUTED_VALUE"""),12050.0)</f>
        <v>12050</v>
      </c>
      <c r="F1483" s="1">
        <f>IFERROR(__xludf.DUMMYFUNCTION("""COMPUTED_VALUE"""),7100.0)</f>
        <v>7100</v>
      </c>
    </row>
    <row r="1484">
      <c r="A1484" s="2">
        <f>IFERROR(__xludf.DUMMYFUNCTION("""COMPUTED_VALUE"""),45056.64583333333)</f>
        <v>45056.64583</v>
      </c>
      <c r="B1484" s="1">
        <f>IFERROR(__xludf.DUMMYFUNCTION("""COMPUTED_VALUE"""),12050.0)</f>
        <v>12050</v>
      </c>
      <c r="C1484" s="1">
        <f>IFERROR(__xludf.DUMMYFUNCTION("""COMPUTED_VALUE"""),12050.0)</f>
        <v>12050</v>
      </c>
      <c r="D1484" s="1">
        <f>IFERROR(__xludf.DUMMYFUNCTION("""COMPUTED_VALUE"""),11920.0)</f>
        <v>11920</v>
      </c>
      <c r="E1484" s="1">
        <f>IFERROR(__xludf.DUMMYFUNCTION("""COMPUTED_VALUE"""),12020.0)</f>
        <v>12020</v>
      </c>
      <c r="F1484" s="1">
        <f>IFERROR(__xludf.DUMMYFUNCTION("""COMPUTED_VALUE"""),5425.0)</f>
        <v>5425</v>
      </c>
    </row>
    <row r="1485">
      <c r="A1485" s="2">
        <f>IFERROR(__xludf.DUMMYFUNCTION("""COMPUTED_VALUE"""),45057.64583333333)</f>
        <v>45057.64583</v>
      </c>
      <c r="B1485" s="1">
        <f>IFERROR(__xludf.DUMMYFUNCTION("""COMPUTED_VALUE"""),11940.0)</f>
        <v>11940</v>
      </c>
      <c r="C1485" s="1">
        <f>IFERROR(__xludf.DUMMYFUNCTION("""COMPUTED_VALUE"""),12140.0)</f>
        <v>12140</v>
      </c>
      <c r="D1485" s="1">
        <f>IFERROR(__xludf.DUMMYFUNCTION("""COMPUTED_VALUE"""),11940.0)</f>
        <v>11940</v>
      </c>
      <c r="E1485" s="1">
        <f>IFERROR(__xludf.DUMMYFUNCTION("""COMPUTED_VALUE"""),12110.0)</f>
        <v>12110</v>
      </c>
      <c r="F1485" s="1">
        <f>IFERROR(__xludf.DUMMYFUNCTION("""COMPUTED_VALUE"""),9317.0)</f>
        <v>9317</v>
      </c>
    </row>
    <row r="1486">
      <c r="A1486" s="2">
        <f>IFERROR(__xludf.DUMMYFUNCTION("""COMPUTED_VALUE"""),45058.64583333333)</f>
        <v>45058.64583</v>
      </c>
      <c r="B1486" s="1">
        <f>IFERROR(__xludf.DUMMYFUNCTION("""COMPUTED_VALUE"""),12010.0)</f>
        <v>12010</v>
      </c>
      <c r="C1486" s="1">
        <f>IFERROR(__xludf.DUMMYFUNCTION("""COMPUTED_VALUE"""),12130.0)</f>
        <v>12130</v>
      </c>
      <c r="D1486" s="1">
        <f>IFERROR(__xludf.DUMMYFUNCTION("""COMPUTED_VALUE"""),12010.0)</f>
        <v>12010</v>
      </c>
      <c r="E1486" s="1">
        <f>IFERROR(__xludf.DUMMYFUNCTION("""COMPUTED_VALUE"""),12130.0)</f>
        <v>12130</v>
      </c>
      <c r="F1486" s="1">
        <f>IFERROR(__xludf.DUMMYFUNCTION("""COMPUTED_VALUE"""),4654.0)</f>
        <v>4654</v>
      </c>
    </row>
    <row r="1487">
      <c r="A1487" s="2">
        <f>IFERROR(__xludf.DUMMYFUNCTION("""COMPUTED_VALUE"""),45061.64583333333)</f>
        <v>45061.64583</v>
      </c>
      <c r="B1487" s="1">
        <f>IFERROR(__xludf.DUMMYFUNCTION("""COMPUTED_VALUE"""),12180.0)</f>
        <v>12180</v>
      </c>
      <c r="C1487" s="1">
        <f>IFERROR(__xludf.DUMMYFUNCTION("""COMPUTED_VALUE"""),12180.0)</f>
        <v>12180</v>
      </c>
      <c r="D1487" s="1">
        <f>IFERROR(__xludf.DUMMYFUNCTION("""COMPUTED_VALUE"""),11940.0)</f>
        <v>11940</v>
      </c>
      <c r="E1487" s="1">
        <f>IFERROR(__xludf.DUMMYFUNCTION("""COMPUTED_VALUE"""),12050.0)</f>
        <v>12050</v>
      </c>
      <c r="F1487" s="1">
        <f>IFERROR(__xludf.DUMMYFUNCTION("""COMPUTED_VALUE"""),12760.0)</f>
        <v>12760</v>
      </c>
    </row>
    <row r="1488">
      <c r="A1488" s="2">
        <f>IFERROR(__xludf.DUMMYFUNCTION("""COMPUTED_VALUE"""),45062.64583333333)</f>
        <v>45062.64583</v>
      </c>
      <c r="B1488" s="1">
        <f>IFERROR(__xludf.DUMMYFUNCTION("""COMPUTED_VALUE"""),12070.0)</f>
        <v>12070</v>
      </c>
      <c r="C1488" s="1">
        <f>IFERROR(__xludf.DUMMYFUNCTION("""COMPUTED_VALUE"""),12140.0)</f>
        <v>12140</v>
      </c>
      <c r="D1488" s="1">
        <f>IFERROR(__xludf.DUMMYFUNCTION("""COMPUTED_VALUE"""),11990.0)</f>
        <v>11990</v>
      </c>
      <c r="E1488" s="1">
        <f>IFERROR(__xludf.DUMMYFUNCTION("""COMPUTED_VALUE"""),12100.0)</f>
        <v>12100</v>
      </c>
      <c r="F1488" s="1">
        <f>IFERROR(__xludf.DUMMYFUNCTION("""COMPUTED_VALUE"""),1637.0)</f>
        <v>1637</v>
      </c>
    </row>
    <row r="1489">
      <c r="A1489" s="2">
        <f>IFERROR(__xludf.DUMMYFUNCTION("""COMPUTED_VALUE"""),45063.64583333333)</f>
        <v>45063.64583</v>
      </c>
      <c r="B1489" s="1">
        <f>IFERROR(__xludf.DUMMYFUNCTION("""COMPUTED_VALUE"""),12100.0)</f>
        <v>12100</v>
      </c>
      <c r="C1489" s="1">
        <f>IFERROR(__xludf.DUMMYFUNCTION("""COMPUTED_VALUE"""),12260.0)</f>
        <v>12260</v>
      </c>
      <c r="D1489" s="1">
        <f>IFERROR(__xludf.DUMMYFUNCTION("""COMPUTED_VALUE"""),12030.0)</f>
        <v>12030</v>
      </c>
      <c r="E1489" s="1">
        <f>IFERROR(__xludf.DUMMYFUNCTION("""COMPUTED_VALUE"""),12220.0)</f>
        <v>12220</v>
      </c>
      <c r="F1489" s="1">
        <f>IFERROR(__xludf.DUMMYFUNCTION("""COMPUTED_VALUE"""),7580.0)</f>
        <v>7580</v>
      </c>
    </row>
    <row r="1490">
      <c r="A1490" s="2">
        <f>IFERROR(__xludf.DUMMYFUNCTION("""COMPUTED_VALUE"""),45064.64583333333)</f>
        <v>45064.64583</v>
      </c>
      <c r="B1490" s="1">
        <f>IFERROR(__xludf.DUMMYFUNCTION("""COMPUTED_VALUE"""),12210.0)</f>
        <v>12210</v>
      </c>
      <c r="C1490" s="1">
        <f>IFERROR(__xludf.DUMMYFUNCTION("""COMPUTED_VALUE"""),12330.0)</f>
        <v>12330</v>
      </c>
      <c r="D1490" s="1">
        <f>IFERROR(__xludf.DUMMYFUNCTION("""COMPUTED_VALUE"""),12130.0)</f>
        <v>12130</v>
      </c>
      <c r="E1490" s="1">
        <f>IFERROR(__xludf.DUMMYFUNCTION("""COMPUTED_VALUE"""),12300.0)</f>
        <v>12300</v>
      </c>
      <c r="F1490" s="1">
        <f>IFERROR(__xludf.DUMMYFUNCTION("""COMPUTED_VALUE"""),3264.0)</f>
        <v>3264</v>
      </c>
    </row>
    <row r="1491">
      <c r="A1491" s="2">
        <f>IFERROR(__xludf.DUMMYFUNCTION("""COMPUTED_VALUE"""),45065.64583333333)</f>
        <v>45065.64583</v>
      </c>
      <c r="B1491" s="1">
        <f>IFERROR(__xludf.DUMMYFUNCTION("""COMPUTED_VALUE"""),12290.0)</f>
        <v>12290</v>
      </c>
      <c r="C1491" s="1">
        <f>IFERROR(__xludf.DUMMYFUNCTION("""COMPUTED_VALUE"""),12320.0)</f>
        <v>12320</v>
      </c>
      <c r="D1491" s="1">
        <f>IFERROR(__xludf.DUMMYFUNCTION("""COMPUTED_VALUE"""),12200.0)</f>
        <v>12200</v>
      </c>
      <c r="E1491" s="1">
        <f>IFERROR(__xludf.DUMMYFUNCTION("""COMPUTED_VALUE"""),12270.0)</f>
        <v>12270</v>
      </c>
      <c r="F1491" s="1">
        <f>IFERROR(__xludf.DUMMYFUNCTION("""COMPUTED_VALUE"""),5101.0)</f>
        <v>5101</v>
      </c>
    </row>
    <row r="1492">
      <c r="A1492" s="2">
        <f>IFERROR(__xludf.DUMMYFUNCTION("""COMPUTED_VALUE"""),45068.64583333333)</f>
        <v>45068.64583</v>
      </c>
      <c r="B1492" s="1">
        <f>IFERROR(__xludf.DUMMYFUNCTION("""COMPUTED_VALUE"""),12300.0)</f>
        <v>12300</v>
      </c>
      <c r="C1492" s="1">
        <f>IFERROR(__xludf.DUMMYFUNCTION("""COMPUTED_VALUE"""),12300.0)</f>
        <v>12300</v>
      </c>
      <c r="D1492" s="1">
        <f>IFERROR(__xludf.DUMMYFUNCTION("""COMPUTED_VALUE"""),12080.0)</f>
        <v>12080</v>
      </c>
      <c r="E1492" s="1">
        <f>IFERROR(__xludf.DUMMYFUNCTION("""COMPUTED_VALUE"""),12190.0)</f>
        <v>12190</v>
      </c>
      <c r="F1492" s="1">
        <f>IFERROR(__xludf.DUMMYFUNCTION("""COMPUTED_VALUE"""),13600.0)</f>
        <v>13600</v>
      </c>
    </row>
    <row r="1493">
      <c r="A1493" s="2">
        <f>IFERROR(__xludf.DUMMYFUNCTION("""COMPUTED_VALUE"""),45069.64583333333)</f>
        <v>45069.64583</v>
      </c>
      <c r="B1493" s="1">
        <f>IFERROR(__xludf.DUMMYFUNCTION("""COMPUTED_VALUE"""),12070.0)</f>
        <v>12070</v>
      </c>
      <c r="C1493" s="1">
        <f>IFERROR(__xludf.DUMMYFUNCTION("""COMPUTED_VALUE"""),12230.0)</f>
        <v>12230</v>
      </c>
      <c r="D1493" s="1">
        <f>IFERROR(__xludf.DUMMYFUNCTION("""COMPUTED_VALUE"""),11970.0)</f>
        <v>11970</v>
      </c>
      <c r="E1493" s="1">
        <f>IFERROR(__xludf.DUMMYFUNCTION("""COMPUTED_VALUE"""),12180.0)</f>
        <v>12180</v>
      </c>
      <c r="F1493" s="1">
        <f>IFERROR(__xludf.DUMMYFUNCTION("""COMPUTED_VALUE"""),16077.0)</f>
        <v>16077</v>
      </c>
    </row>
    <row r="1494">
      <c r="A1494" s="2">
        <f>IFERROR(__xludf.DUMMYFUNCTION("""COMPUTED_VALUE"""),45070.64583333333)</f>
        <v>45070.64583</v>
      </c>
      <c r="B1494" s="1">
        <f>IFERROR(__xludf.DUMMYFUNCTION("""COMPUTED_VALUE"""),12180.0)</f>
        <v>12180</v>
      </c>
      <c r="C1494" s="1">
        <f>IFERROR(__xludf.DUMMYFUNCTION("""COMPUTED_VALUE"""),12180.0)</f>
        <v>12180</v>
      </c>
      <c r="D1494" s="1">
        <f>IFERROR(__xludf.DUMMYFUNCTION("""COMPUTED_VALUE"""),11940.0)</f>
        <v>11940</v>
      </c>
      <c r="E1494" s="1">
        <f>IFERROR(__xludf.DUMMYFUNCTION("""COMPUTED_VALUE"""),12100.0)</f>
        <v>12100</v>
      </c>
      <c r="F1494" s="1">
        <f>IFERROR(__xludf.DUMMYFUNCTION("""COMPUTED_VALUE"""),9054.0)</f>
        <v>9054</v>
      </c>
    </row>
    <row r="1495">
      <c r="A1495" s="2">
        <f>IFERROR(__xludf.DUMMYFUNCTION("""COMPUTED_VALUE"""),45071.64583333333)</f>
        <v>45071.64583</v>
      </c>
      <c r="B1495" s="1">
        <f>IFERROR(__xludf.DUMMYFUNCTION("""COMPUTED_VALUE"""),12010.0)</f>
        <v>12010</v>
      </c>
      <c r="C1495" s="1">
        <f>IFERROR(__xludf.DUMMYFUNCTION("""COMPUTED_VALUE"""),12200.0)</f>
        <v>12200</v>
      </c>
      <c r="D1495" s="1">
        <f>IFERROR(__xludf.DUMMYFUNCTION("""COMPUTED_VALUE"""),11970.0)</f>
        <v>11970</v>
      </c>
      <c r="E1495" s="1">
        <f>IFERROR(__xludf.DUMMYFUNCTION("""COMPUTED_VALUE"""),12040.0)</f>
        <v>12040</v>
      </c>
      <c r="F1495" s="1">
        <f>IFERROR(__xludf.DUMMYFUNCTION("""COMPUTED_VALUE"""),10652.0)</f>
        <v>10652</v>
      </c>
    </row>
    <row r="1496">
      <c r="A1496" s="2">
        <f>IFERROR(__xludf.DUMMYFUNCTION("""COMPUTED_VALUE"""),45072.64583333333)</f>
        <v>45072.64583</v>
      </c>
      <c r="B1496" s="1">
        <f>IFERROR(__xludf.DUMMYFUNCTION("""COMPUTED_VALUE"""),12050.0)</f>
        <v>12050</v>
      </c>
      <c r="C1496" s="1">
        <f>IFERROR(__xludf.DUMMYFUNCTION("""COMPUTED_VALUE"""),12150.0)</f>
        <v>12150</v>
      </c>
      <c r="D1496" s="1">
        <f>IFERROR(__xludf.DUMMYFUNCTION("""COMPUTED_VALUE"""),12010.0)</f>
        <v>12010</v>
      </c>
      <c r="E1496" s="1">
        <f>IFERROR(__xludf.DUMMYFUNCTION("""COMPUTED_VALUE"""),12110.0)</f>
        <v>12110</v>
      </c>
      <c r="F1496" s="1">
        <f>IFERROR(__xludf.DUMMYFUNCTION("""COMPUTED_VALUE"""),4418.0)</f>
        <v>4418</v>
      </c>
    </row>
    <row r="1497">
      <c r="A1497" s="2">
        <f>IFERROR(__xludf.DUMMYFUNCTION("""COMPUTED_VALUE"""),45076.64583333333)</f>
        <v>45076.64583</v>
      </c>
      <c r="B1497" s="1">
        <f>IFERROR(__xludf.DUMMYFUNCTION("""COMPUTED_VALUE"""),12130.0)</f>
        <v>12130</v>
      </c>
      <c r="C1497" s="1">
        <f>IFERROR(__xludf.DUMMYFUNCTION("""COMPUTED_VALUE"""),12150.0)</f>
        <v>12150</v>
      </c>
      <c r="D1497" s="1">
        <f>IFERROR(__xludf.DUMMYFUNCTION("""COMPUTED_VALUE"""),11960.0)</f>
        <v>11960</v>
      </c>
      <c r="E1497" s="1">
        <f>IFERROR(__xludf.DUMMYFUNCTION("""COMPUTED_VALUE"""),11970.0)</f>
        <v>11970</v>
      </c>
      <c r="F1497" s="1">
        <f>IFERROR(__xludf.DUMMYFUNCTION("""COMPUTED_VALUE"""),12130.0)</f>
        <v>12130</v>
      </c>
    </row>
    <row r="1498">
      <c r="A1498" s="2">
        <f>IFERROR(__xludf.DUMMYFUNCTION("""COMPUTED_VALUE"""),45077.64583333333)</f>
        <v>45077.64583</v>
      </c>
      <c r="B1498" s="1">
        <f>IFERROR(__xludf.DUMMYFUNCTION("""COMPUTED_VALUE"""),11980.0)</f>
        <v>11980</v>
      </c>
      <c r="C1498" s="1">
        <f>IFERROR(__xludf.DUMMYFUNCTION("""COMPUTED_VALUE"""),12250.0)</f>
        <v>12250</v>
      </c>
      <c r="D1498" s="1">
        <f>IFERROR(__xludf.DUMMYFUNCTION("""COMPUTED_VALUE"""),11930.0)</f>
        <v>11930</v>
      </c>
      <c r="E1498" s="1">
        <f>IFERROR(__xludf.DUMMYFUNCTION("""COMPUTED_VALUE"""),12200.0)</f>
        <v>12200</v>
      </c>
      <c r="F1498" s="1">
        <f>IFERROR(__xludf.DUMMYFUNCTION("""COMPUTED_VALUE"""),5681.0)</f>
        <v>5681</v>
      </c>
    </row>
    <row r="1499">
      <c r="A1499" s="2">
        <f>IFERROR(__xludf.DUMMYFUNCTION("""COMPUTED_VALUE"""),45078.64583333333)</f>
        <v>45078.64583</v>
      </c>
      <c r="B1499" s="1">
        <f>IFERROR(__xludf.DUMMYFUNCTION("""COMPUTED_VALUE"""),12200.0)</f>
        <v>12200</v>
      </c>
      <c r="C1499" s="1">
        <f>IFERROR(__xludf.DUMMYFUNCTION("""COMPUTED_VALUE"""),12210.0)</f>
        <v>12210</v>
      </c>
      <c r="D1499" s="1">
        <f>IFERROR(__xludf.DUMMYFUNCTION("""COMPUTED_VALUE"""),12020.0)</f>
        <v>12020</v>
      </c>
      <c r="E1499" s="1">
        <f>IFERROR(__xludf.DUMMYFUNCTION("""COMPUTED_VALUE"""),12180.0)</f>
        <v>12180</v>
      </c>
      <c r="F1499" s="1">
        <f>IFERROR(__xludf.DUMMYFUNCTION("""COMPUTED_VALUE"""),8896.0)</f>
        <v>8896</v>
      </c>
    </row>
    <row r="1500">
      <c r="A1500" s="2">
        <f>IFERROR(__xludf.DUMMYFUNCTION("""COMPUTED_VALUE"""),45079.64583333333)</f>
        <v>45079.64583</v>
      </c>
      <c r="B1500" s="1">
        <f>IFERROR(__xludf.DUMMYFUNCTION("""COMPUTED_VALUE"""),12320.0)</f>
        <v>12320</v>
      </c>
      <c r="C1500" s="1">
        <f>IFERROR(__xludf.DUMMYFUNCTION("""COMPUTED_VALUE"""),12320.0)</f>
        <v>12320</v>
      </c>
      <c r="D1500" s="1">
        <f>IFERROR(__xludf.DUMMYFUNCTION("""COMPUTED_VALUE"""),12120.0)</f>
        <v>12120</v>
      </c>
      <c r="E1500" s="1">
        <f>IFERROR(__xludf.DUMMYFUNCTION("""COMPUTED_VALUE"""),12210.0)</f>
        <v>12210</v>
      </c>
      <c r="F1500" s="1">
        <f>IFERROR(__xludf.DUMMYFUNCTION("""COMPUTED_VALUE"""),4339.0)</f>
        <v>4339</v>
      </c>
    </row>
    <row r="1501">
      <c r="A1501" s="2">
        <f>IFERROR(__xludf.DUMMYFUNCTION("""COMPUTED_VALUE"""),45082.64583333333)</f>
        <v>45082.64583</v>
      </c>
      <c r="B1501" s="1">
        <f>IFERROR(__xludf.DUMMYFUNCTION("""COMPUTED_VALUE"""),12220.0)</f>
        <v>12220</v>
      </c>
      <c r="C1501" s="1">
        <f>IFERROR(__xludf.DUMMYFUNCTION("""COMPUTED_VALUE"""),12280.0)</f>
        <v>12280</v>
      </c>
      <c r="D1501" s="1">
        <f>IFERROR(__xludf.DUMMYFUNCTION("""COMPUTED_VALUE"""),12100.0)</f>
        <v>12100</v>
      </c>
      <c r="E1501" s="1">
        <f>IFERROR(__xludf.DUMMYFUNCTION("""COMPUTED_VALUE"""),12220.0)</f>
        <v>12220</v>
      </c>
      <c r="F1501" s="1">
        <f>IFERROR(__xludf.DUMMYFUNCTION("""COMPUTED_VALUE"""),7671.0)</f>
        <v>7671</v>
      </c>
    </row>
    <row r="1502">
      <c r="A1502" s="2">
        <f>IFERROR(__xludf.DUMMYFUNCTION("""COMPUTED_VALUE"""),45084.64583333333)</f>
        <v>45084.64583</v>
      </c>
      <c r="B1502" s="1">
        <f>IFERROR(__xludf.DUMMYFUNCTION("""COMPUTED_VALUE"""),12220.0)</f>
        <v>12220</v>
      </c>
      <c r="C1502" s="1">
        <f>IFERROR(__xludf.DUMMYFUNCTION("""COMPUTED_VALUE"""),12280.0)</f>
        <v>12280</v>
      </c>
      <c r="D1502" s="1">
        <f>IFERROR(__xludf.DUMMYFUNCTION("""COMPUTED_VALUE"""),12130.0)</f>
        <v>12130</v>
      </c>
      <c r="E1502" s="1">
        <f>IFERROR(__xludf.DUMMYFUNCTION("""COMPUTED_VALUE"""),12160.0)</f>
        <v>12160</v>
      </c>
      <c r="F1502" s="1">
        <f>IFERROR(__xludf.DUMMYFUNCTION("""COMPUTED_VALUE"""),3840.0)</f>
        <v>3840</v>
      </c>
    </row>
    <row r="1503">
      <c r="A1503" s="2">
        <f>IFERROR(__xludf.DUMMYFUNCTION("""COMPUTED_VALUE"""),45085.64583333333)</f>
        <v>45085.64583</v>
      </c>
      <c r="B1503" s="1">
        <f>IFERROR(__xludf.DUMMYFUNCTION("""COMPUTED_VALUE"""),12300.0)</f>
        <v>12300</v>
      </c>
      <c r="C1503" s="1">
        <f>IFERROR(__xludf.DUMMYFUNCTION("""COMPUTED_VALUE"""),12300.0)</f>
        <v>12300</v>
      </c>
      <c r="D1503" s="1">
        <f>IFERROR(__xludf.DUMMYFUNCTION("""COMPUTED_VALUE"""),11910.0)</f>
        <v>11910</v>
      </c>
      <c r="E1503" s="1">
        <f>IFERROR(__xludf.DUMMYFUNCTION("""COMPUTED_VALUE"""),12030.0)</f>
        <v>12030</v>
      </c>
      <c r="F1503" s="1">
        <f>IFERROR(__xludf.DUMMYFUNCTION("""COMPUTED_VALUE"""),20751.0)</f>
        <v>20751</v>
      </c>
    </row>
    <row r="1504">
      <c r="A1504" s="2">
        <f>IFERROR(__xludf.DUMMYFUNCTION("""COMPUTED_VALUE"""),45086.64583333333)</f>
        <v>45086.64583</v>
      </c>
      <c r="B1504" s="1">
        <f>IFERROR(__xludf.DUMMYFUNCTION("""COMPUTED_VALUE"""),12030.0)</f>
        <v>12030</v>
      </c>
      <c r="C1504" s="1">
        <f>IFERROR(__xludf.DUMMYFUNCTION("""COMPUTED_VALUE"""),12100.0)</f>
        <v>12100</v>
      </c>
      <c r="D1504" s="1">
        <f>IFERROR(__xludf.DUMMYFUNCTION("""COMPUTED_VALUE"""),11930.0)</f>
        <v>11930</v>
      </c>
      <c r="E1504" s="1">
        <f>IFERROR(__xludf.DUMMYFUNCTION("""COMPUTED_VALUE"""),12020.0)</f>
        <v>12020</v>
      </c>
      <c r="F1504" s="1">
        <f>IFERROR(__xludf.DUMMYFUNCTION("""COMPUTED_VALUE"""),17098.0)</f>
        <v>17098</v>
      </c>
    </row>
    <row r="1505">
      <c r="A1505" s="2">
        <f>IFERROR(__xludf.DUMMYFUNCTION("""COMPUTED_VALUE"""),45089.64583333333)</f>
        <v>45089.64583</v>
      </c>
      <c r="B1505" s="1">
        <f>IFERROR(__xludf.DUMMYFUNCTION("""COMPUTED_VALUE"""),12020.0)</f>
        <v>12020</v>
      </c>
      <c r="C1505" s="1">
        <f>IFERROR(__xludf.DUMMYFUNCTION("""COMPUTED_VALUE"""),12020.0)</f>
        <v>12020</v>
      </c>
      <c r="D1505" s="1">
        <f>IFERROR(__xludf.DUMMYFUNCTION("""COMPUTED_VALUE"""),11930.0)</f>
        <v>11930</v>
      </c>
      <c r="E1505" s="1">
        <f>IFERROR(__xludf.DUMMYFUNCTION("""COMPUTED_VALUE"""),11970.0)</f>
        <v>11970</v>
      </c>
      <c r="F1505" s="1">
        <f>IFERROR(__xludf.DUMMYFUNCTION("""COMPUTED_VALUE"""),5473.0)</f>
        <v>5473</v>
      </c>
    </row>
    <row r="1506">
      <c r="A1506" s="2">
        <f>IFERROR(__xludf.DUMMYFUNCTION("""COMPUTED_VALUE"""),45090.64583333333)</f>
        <v>45090.64583</v>
      </c>
      <c r="B1506" s="1">
        <f>IFERROR(__xludf.DUMMYFUNCTION("""COMPUTED_VALUE"""),11850.0)</f>
        <v>11850</v>
      </c>
      <c r="C1506" s="1">
        <f>IFERROR(__xludf.DUMMYFUNCTION("""COMPUTED_VALUE"""),12040.0)</f>
        <v>12040</v>
      </c>
      <c r="D1506" s="1">
        <f>IFERROR(__xludf.DUMMYFUNCTION("""COMPUTED_VALUE"""),11840.0)</f>
        <v>11840</v>
      </c>
      <c r="E1506" s="1">
        <f>IFERROR(__xludf.DUMMYFUNCTION("""COMPUTED_VALUE"""),12040.0)</f>
        <v>12040</v>
      </c>
      <c r="F1506" s="1">
        <f>IFERROR(__xludf.DUMMYFUNCTION("""COMPUTED_VALUE"""),21764.0)</f>
        <v>21764</v>
      </c>
    </row>
    <row r="1507">
      <c r="A1507" s="2">
        <f>IFERROR(__xludf.DUMMYFUNCTION("""COMPUTED_VALUE"""),45091.64583333333)</f>
        <v>45091.64583</v>
      </c>
      <c r="B1507" s="1">
        <f>IFERROR(__xludf.DUMMYFUNCTION("""COMPUTED_VALUE"""),12040.0)</f>
        <v>12040</v>
      </c>
      <c r="C1507" s="1">
        <f>IFERROR(__xludf.DUMMYFUNCTION("""COMPUTED_VALUE"""),12080.0)</f>
        <v>12080</v>
      </c>
      <c r="D1507" s="1">
        <f>IFERROR(__xludf.DUMMYFUNCTION("""COMPUTED_VALUE"""),11910.0)</f>
        <v>11910</v>
      </c>
      <c r="E1507" s="1">
        <f>IFERROR(__xludf.DUMMYFUNCTION("""COMPUTED_VALUE"""),12040.0)</f>
        <v>12040</v>
      </c>
      <c r="F1507" s="1">
        <f>IFERROR(__xludf.DUMMYFUNCTION("""COMPUTED_VALUE"""),10613.0)</f>
        <v>10613</v>
      </c>
    </row>
    <row r="1508">
      <c r="A1508" s="2">
        <f>IFERROR(__xludf.DUMMYFUNCTION("""COMPUTED_VALUE"""),45092.64583333333)</f>
        <v>45092.64583</v>
      </c>
      <c r="B1508" s="1">
        <f>IFERROR(__xludf.DUMMYFUNCTION("""COMPUTED_VALUE"""),12040.0)</f>
        <v>12040</v>
      </c>
      <c r="C1508" s="1">
        <f>IFERROR(__xludf.DUMMYFUNCTION("""COMPUTED_VALUE"""),12040.0)</f>
        <v>12040</v>
      </c>
      <c r="D1508" s="1">
        <f>IFERROR(__xludf.DUMMYFUNCTION("""COMPUTED_VALUE"""),11860.0)</f>
        <v>11860</v>
      </c>
      <c r="E1508" s="1">
        <f>IFERROR(__xludf.DUMMYFUNCTION("""COMPUTED_VALUE"""),11950.0)</f>
        <v>11950</v>
      </c>
      <c r="F1508" s="1">
        <f>IFERROR(__xludf.DUMMYFUNCTION("""COMPUTED_VALUE"""),15263.0)</f>
        <v>15263</v>
      </c>
    </row>
    <row r="1509">
      <c r="A1509" s="2">
        <f>IFERROR(__xludf.DUMMYFUNCTION("""COMPUTED_VALUE"""),45093.64583333333)</f>
        <v>45093.64583</v>
      </c>
      <c r="B1509" s="1">
        <f>IFERROR(__xludf.DUMMYFUNCTION("""COMPUTED_VALUE"""),11950.0)</f>
        <v>11950</v>
      </c>
      <c r="C1509" s="1">
        <f>IFERROR(__xludf.DUMMYFUNCTION("""COMPUTED_VALUE"""),11950.0)</f>
        <v>11950</v>
      </c>
      <c r="D1509" s="1">
        <f>IFERROR(__xludf.DUMMYFUNCTION("""COMPUTED_VALUE"""),11680.0)</f>
        <v>11680</v>
      </c>
      <c r="E1509" s="1">
        <f>IFERROR(__xludf.DUMMYFUNCTION("""COMPUTED_VALUE"""),11830.0)</f>
        <v>11830</v>
      </c>
      <c r="F1509" s="1">
        <f>IFERROR(__xludf.DUMMYFUNCTION("""COMPUTED_VALUE"""),39068.0)</f>
        <v>39068</v>
      </c>
    </row>
    <row r="1510">
      <c r="A1510" s="2">
        <f>IFERROR(__xludf.DUMMYFUNCTION("""COMPUTED_VALUE"""),45096.64583333333)</f>
        <v>45096.64583</v>
      </c>
      <c r="B1510" s="1">
        <f>IFERROR(__xludf.DUMMYFUNCTION("""COMPUTED_VALUE"""),11710.0)</f>
        <v>11710</v>
      </c>
      <c r="C1510" s="1">
        <f>IFERROR(__xludf.DUMMYFUNCTION("""COMPUTED_VALUE"""),11930.0)</f>
        <v>11930</v>
      </c>
      <c r="D1510" s="1">
        <f>IFERROR(__xludf.DUMMYFUNCTION("""COMPUTED_VALUE"""),11710.0)</f>
        <v>11710</v>
      </c>
      <c r="E1510" s="1">
        <f>IFERROR(__xludf.DUMMYFUNCTION("""COMPUTED_VALUE"""),11830.0)</f>
        <v>11830</v>
      </c>
      <c r="F1510" s="1">
        <f>IFERROR(__xludf.DUMMYFUNCTION("""COMPUTED_VALUE"""),20750.0)</f>
        <v>20750</v>
      </c>
    </row>
    <row r="1511">
      <c r="A1511" s="2">
        <f>IFERROR(__xludf.DUMMYFUNCTION("""COMPUTED_VALUE"""),45097.64583333333)</f>
        <v>45097.64583</v>
      </c>
      <c r="B1511" s="1">
        <f>IFERROR(__xludf.DUMMYFUNCTION("""COMPUTED_VALUE"""),11690.0)</f>
        <v>11690</v>
      </c>
      <c r="C1511" s="1">
        <f>IFERROR(__xludf.DUMMYFUNCTION("""COMPUTED_VALUE"""),11840.0)</f>
        <v>11840</v>
      </c>
      <c r="D1511" s="1">
        <f>IFERROR(__xludf.DUMMYFUNCTION("""COMPUTED_VALUE"""),11690.0)</f>
        <v>11690</v>
      </c>
      <c r="E1511" s="1">
        <f>IFERROR(__xludf.DUMMYFUNCTION("""COMPUTED_VALUE"""),11720.0)</f>
        <v>11720</v>
      </c>
      <c r="F1511" s="1">
        <f>IFERROR(__xludf.DUMMYFUNCTION("""COMPUTED_VALUE"""),15625.0)</f>
        <v>15625</v>
      </c>
    </row>
    <row r="1512">
      <c r="A1512" s="2">
        <f>IFERROR(__xludf.DUMMYFUNCTION("""COMPUTED_VALUE"""),45098.64583333333)</f>
        <v>45098.64583</v>
      </c>
      <c r="B1512" s="1">
        <f>IFERROR(__xludf.DUMMYFUNCTION("""COMPUTED_VALUE"""),11800.0)</f>
        <v>11800</v>
      </c>
      <c r="C1512" s="1">
        <f>IFERROR(__xludf.DUMMYFUNCTION("""COMPUTED_VALUE"""),12890.0)</f>
        <v>12890</v>
      </c>
      <c r="D1512" s="1">
        <f>IFERROR(__xludf.DUMMYFUNCTION("""COMPUTED_VALUE"""),11710.0)</f>
        <v>11710</v>
      </c>
      <c r="E1512" s="1">
        <f>IFERROR(__xludf.DUMMYFUNCTION("""COMPUTED_VALUE"""),12590.0)</f>
        <v>12590</v>
      </c>
      <c r="F1512" s="1">
        <f>IFERROR(__xludf.DUMMYFUNCTION("""COMPUTED_VALUE"""),83502.0)</f>
        <v>83502</v>
      </c>
    </row>
    <row r="1513">
      <c r="A1513" s="2">
        <f>IFERROR(__xludf.DUMMYFUNCTION("""COMPUTED_VALUE"""),45099.64583333333)</f>
        <v>45099.64583</v>
      </c>
      <c r="B1513" s="1">
        <f>IFERROR(__xludf.DUMMYFUNCTION("""COMPUTED_VALUE"""),12690.0)</f>
        <v>12690</v>
      </c>
      <c r="C1513" s="1">
        <f>IFERROR(__xludf.DUMMYFUNCTION("""COMPUTED_VALUE"""),12690.0)</f>
        <v>12690</v>
      </c>
      <c r="D1513" s="1">
        <f>IFERROR(__xludf.DUMMYFUNCTION("""COMPUTED_VALUE"""),12350.0)</f>
        <v>12350</v>
      </c>
      <c r="E1513" s="1">
        <f>IFERROR(__xludf.DUMMYFUNCTION("""COMPUTED_VALUE"""),12550.0)</f>
        <v>12550</v>
      </c>
      <c r="F1513" s="1">
        <f>IFERROR(__xludf.DUMMYFUNCTION("""COMPUTED_VALUE"""),21304.0)</f>
        <v>21304</v>
      </c>
    </row>
    <row r="1514">
      <c r="A1514" s="2">
        <f>IFERROR(__xludf.DUMMYFUNCTION("""COMPUTED_VALUE"""),45100.64583333333)</f>
        <v>45100.64583</v>
      </c>
      <c r="B1514" s="1">
        <f>IFERROR(__xludf.DUMMYFUNCTION("""COMPUTED_VALUE"""),12550.0)</f>
        <v>12550</v>
      </c>
      <c r="C1514" s="1">
        <f>IFERROR(__xludf.DUMMYFUNCTION("""COMPUTED_VALUE"""),12550.0)</f>
        <v>12550</v>
      </c>
      <c r="D1514" s="1">
        <f>IFERROR(__xludf.DUMMYFUNCTION("""COMPUTED_VALUE"""),12380.0)</f>
        <v>12380</v>
      </c>
      <c r="E1514" s="1">
        <f>IFERROR(__xludf.DUMMYFUNCTION("""COMPUTED_VALUE"""),12490.0)</f>
        <v>12490</v>
      </c>
      <c r="F1514" s="1">
        <f>IFERROR(__xludf.DUMMYFUNCTION("""COMPUTED_VALUE"""),9607.0)</f>
        <v>9607</v>
      </c>
    </row>
    <row r="1515">
      <c r="A1515" s="2">
        <f>IFERROR(__xludf.DUMMYFUNCTION("""COMPUTED_VALUE"""),45103.64583333333)</f>
        <v>45103.64583</v>
      </c>
      <c r="B1515" s="1">
        <f>IFERROR(__xludf.DUMMYFUNCTION("""COMPUTED_VALUE"""),12390.0)</f>
        <v>12390</v>
      </c>
      <c r="C1515" s="1">
        <f>IFERROR(__xludf.DUMMYFUNCTION("""COMPUTED_VALUE"""),12650.0)</f>
        <v>12650</v>
      </c>
      <c r="D1515" s="1">
        <f>IFERROR(__xludf.DUMMYFUNCTION("""COMPUTED_VALUE"""),12390.0)</f>
        <v>12390</v>
      </c>
      <c r="E1515" s="1">
        <f>IFERROR(__xludf.DUMMYFUNCTION("""COMPUTED_VALUE"""),12530.0)</f>
        <v>12530</v>
      </c>
      <c r="F1515" s="1">
        <f>IFERROR(__xludf.DUMMYFUNCTION("""COMPUTED_VALUE"""),6717.0)</f>
        <v>6717</v>
      </c>
    </row>
    <row r="1516">
      <c r="A1516" s="2">
        <f>IFERROR(__xludf.DUMMYFUNCTION("""COMPUTED_VALUE"""),45104.64583333333)</f>
        <v>45104.64583</v>
      </c>
      <c r="B1516" s="1">
        <f>IFERROR(__xludf.DUMMYFUNCTION("""COMPUTED_VALUE"""),12530.0)</f>
        <v>12530</v>
      </c>
      <c r="C1516" s="1">
        <f>IFERROR(__xludf.DUMMYFUNCTION("""COMPUTED_VALUE"""),12530.0)</f>
        <v>12530</v>
      </c>
      <c r="D1516" s="1">
        <f>IFERROR(__xludf.DUMMYFUNCTION("""COMPUTED_VALUE"""),12410.0)</f>
        <v>12410</v>
      </c>
      <c r="E1516" s="1">
        <f>IFERROR(__xludf.DUMMYFUNCTION("""COMPUTED_VALUE"""),12530.0)</f>
        <v>12530</v>
      </c>
      <c r="F1516" s="1">
        <f>IFERROR(__xludf.DUMMYFUNCTION("""COMPUTED_VALUE"""),9535.0)</f>
        <v>9535</v>
      </c>
    </row>
    <row r="1517">
      <c r="A1517" s="2">
        <f>IFERROR(__xludf.DUMMYFUNCTION("""COMPUTED_VALUE"""),45105.64583333333)</f>
        <v>45105.64583</v>
      </c>
      <c r="B1517" s="1">
        <f>IFERROR(__xludf.DUMMYFUNCTION("""COMPUTED_VALUE"""),12580.0)</f>
        <v>12580</v>
      </c>
      <c r="C1517" s="1">
        <f>IFERROR(__xludf.DUMMYFUNCTION("""COMPUTED_VALUE"""),12900.0)</f>
        <v>12900</v>
      </c>
      <c r="D1517" s="1">
        <f>IFERROR(__xludf.DUMMYFUNCTION("""COMPUTED_VALUE"""),12500.0)</f>
        <v>12500</v>
      </c>
      <c r="E1517" s="1">
        <f>IFERROR(__xludf.DUMMYFUNCTION("""COMPUTED_VALUE"""),12680.0)</f>
        <v>12680</v>
      </c>
      <c r="F1517" s="1">
        <f>IFERROR(__xludf.DUMMYFUNCTION("""COMPUTED_VALUE"""),28769.0)</f>
        <v>28769</v>
      </c>
    </row>
    <row r="1518">
      <c r="A1518" s="2">
        <f>IFERROR(__xludf.DUMMYFUNCTION("""COMPUTED_VALUE"""),45106.64583333333)</f>
        <v>45106.64583</v>
      </c>
      <c r="B1518" s="1">
        <f>IFERROR(__xludf.DUMMYFUNCTION("""COMPUTED_VALUE"""),12680.0)</f>
        <v>12680</v>
      </c>
      <c r="C1518" s="1">
        <f>IFERROR(__xludf.DUMMYFUNCTION("""COMPUTED_VALUE"""),12720.0)</f>
        <v>12720</v>
      </c>
      <c r="D1518" s="1">
        <f>IFERROR(__xludf.DUMMYFUNCTION("""COMPUTED_VALUE"""),12510.0)</f>
        <v>12510</v>
      </c>
      <c r="E1518" s="1">
        <f>IFERROR(__xludf.DUMMYFUNCTION("""COMPUTED_VALUE"""),12650.0)</f>
        <v>12650</v>
      </c>
      <c r="F1518" s="1">
        <f>IFERROR(__xludf.DUMMYFUNCTION("""COMPUTED_VALUE"""),11731.0)</f>
        <v>11731</v>
      </c>
    </row>
    <row r="1519">
      <c r="A1519" s="2">
        <f>IFERROR(__xludf.DUMMYFUNCTION("""COMPUTED_VALUE"""),45107.64583333333)</f>
        <v>45107.64583</v>
      </c>
      <c r="B1519" s="1">
        <f>IFERROR(__xludf.DUMMYFUNCTION("""COMPUTED_VALUE"""),12800.0)</f>
        <v>12800</v>
      </c>
      <c r="C1519" s="1">
        <f>IFERROR(__xludf.DUMMYFUNCTION("""COMPUTED_VALUE"""),12800.0)</f>
        <v>12800</v>
      </c>
      <c r="D1519" s="1">
        <f>IFERROR(__xludf.DUMMYFUNCTION("""COMPUTED_VALUE"""),12510.0)</f>
        <v>12510</v>
      </c>
      <c r="E1519" s="1">
        <f>IFERROR(__xludf.DUMMYFUNCTION("""COMPUTED_VALUE"""),12630.0)</f>
        <v>12630</v>
      </c>
      <c r="F1519" s="1">
        <f>IFERROR(__xludf.DUMMYFUNCTION("""COMPUTED_VALUE"""),6561.0)</f>
        <v>6561</v>
      </c>
    </row>
    <row r="1520">
      <c r="A1520" s="2">
        <f>IFERROR(__xludf.DUMMYFUNCTION("""COMPUTED_VALUE"""),45110.64583333333)</f>
        <v>45110.64583</v>
      </c>
      <c r="B1520" s="1">
        <f>IFERROR(__xludf.DUMMYFUNCTION("""COMPUTED_VALUE"""),12640.0)</f>
        <v>12640</v>
      </c>
      <c r="C1520" s="1">
        <f>IFERROR(__xludf.DUMMYFUNCTION("""COMPUTED_VALUE"""),12800.0)</f>
        <v>12800</v>
      </c>
      <c r="D1520" s="1">
        <f>IFERROR(__xludf.DUMMYFUNCTION("""COMPUTED_VALUE"""),12610.0)</f>
        <v>12610</v>
      </c>
      <c r="E1520" s="1">
        <f>IFERROR(__xludf.DUMMYFUNCTION("""COMPUTED_VALUE"""),12670.0)</f>
        <v>12670</v>
      </c>
      <c r="F1520" s="1">
        <f>IFERROR(__xludf.DUMMYFUNCTION("""COMPUTED_VALUE"""),14206.0)</f>
        <v>14206</v>
      </c>
    </row>
    <row r="1521">
      <c r="A1521" s="2">
        <f>IFERROR(__xludf.DUMMYFUNCTION("""COMPUTED_VALUE"""),45111.64583333333)</f>
        <v>45111.64583</v>
      </c>
      <c r="B1521" s="1">
        <f>IFERROR(__xludf.DUMMYFUNCTION("""COMPUTED_VALUE"""),12550.0)</f>
        <v>12550</v>
      </c>
      <c r="C1521" s="1">
        <f>IFERROR(__xludf.DUMMYFUNCTION("""COMPUTED_VALUE"""),12870.0)</f>
        <v>12870</v>
      </c>
      <c r="D1521" s="1">
        <f>IFERROR(__xludf.DUMMYFUNCTION("""COMPUTED_VALUE"""),12550.0)</f>
        <v>12550</v>
      </c>
      <c r="E1521" s="1">
        <f>IFERROR(__xludf.DUMMYFUNCTION("""COMPUTED_VALUE"""),12840.0)</f>
        <v>12840</v>
      </c>
      <c r="F1521" s="1">
        <f>IFERROR(__xludf.DUMMYFUNCTION("""COMPUTED_VALUE"""),25991.0)</f>
        <v>25991</v>
      </c>
    </row>
    <row r="1522">
      <c r="A1522" s="2">
        <f>IFERROR(__xludf.DUMMYFUNCTION("""COMPUTED_VALUE"""),45112.64583333333)</f>
        <v>45112.64583</v>
      </c>
      <c r="B1522" s="1">
        <f>IFERROR(__xludf.DUMMYFUNCTION("""COMPUTED_VALUE"""),12920.0)</f>
        <v>12920</v>
      </c>
      <c r="C1522" s="1">
        <f>IFERROR(__xludf.DUMMYFUNCTION("""COMPUTED_VALUE"""),12930.0)</f>
        <v>12930</v>
      </c>
      <c r="D1522" s="1">
        <f>IFERROR(__xludf.DUMMYFUNCTION("""COMPUTED_VALUE"""),12700.0)</f>
        <v>12700</v>
      </c>
      <c r="E1522" s="1">
        <f>IFERROR(__xludf.DUMMYFUNCTION("""COMPUTED_VALUE"""),12780.0)</f>
        <v>12780</v>
      </c>
      <c r="F1522" s="1">
        <f>IFERROR(__xludf.DUMMYFUNCTION("""COMPUTED_VALUE"""),12260.0)</f>
        <v>12260</v>
      </c>
    </row>
    <row r="1523">
      <c r="A1523" s="2">
        <f>IFERROR(__xludf.DUMMYFUNCTION("""COMPUTED_VALUE"""),45113.64583333333)</f>
        <v>45113.64583</v>
      </c>
      <c r="B1523" s="1">
        <f>IFERROR(__xludf.DUMMYFUNCTION("""COMPUTED_VALUE"""),12780.0)</f>
        <v>12780</v>
      </c>
      <c r="C1523" s="1">
        <f>IFERROR(__xludf.DUMMYFUNCTION("""COMPUTED_VALUE"""),12870.0)</f>
        <v>12870</v>
      </c>
      <c r="D1523" s="1">
        <f>IFERROR(__xludf.DUMMYFUNCTION("""COMPUTED_VALUE"""),12460.0)</f>
        <v>12460</v>
      </c>
      <c r="E1523" s="1">
        <f>IFERROR(__xludf.DUMMYFUNCTION("""COMPUTED_VALUE"""),12560.0)</f>
        <v>12560</v>
      </c>
      <c r="F1523" s="1">
        <f>IFERROR(__xludf.DUMMYFUNCTION("""COMPUTED_VALUE"""),19183.0)</f>
        <v>19183</v>
      </c>
    </row>
    <row r="1524">
      <c r="A1524" s="2">
        <f>IFERROR(__xludf.DUMMYFUNCTION("""COMPUTED_VALUE"""),45114.64583333333)</f>
        <v>45114.64583</v>
      </c>
      <c r="B1524" s="1">
        <f>IFERROR(__xludf.DUMMYFUNCTION("""COMPUTED_VALUE"""),12560.0)</f>
        <v>12560</v>
      </c>
      <c r="C1524" s="1">
        <f>IFERROR(__xludf.DUMMYFUNCTION("""COMPUTED_VALUE"""),12560.0)</f>
        <v>12560</v>
      </c>
      <c r="D1524" s="1">
        <f>IFERROR(__xludf.DUMMYFUNCTION("""COMPUTED_VALUE"""),11940.0)</f>
        <v>11940</v>
      </c>
      <c r="E1524" s="1">
        <f>IFERROR(__xludf.DUMMYFUNCTION("""COMPUTED_VALUE"""),12110.0)</f>
        <v>12110</v>
      </c>
      <c r="F1524" s="1">
        <f>IFERROR(__xludf.DUMMYFUNCTION("""COMPUTED_VALUE"""),10589.0)</f>
        <v>10589</v>
      </c>
    </row>
    <row r="1525">
      <c r="A1525" s="2">
        <f>IFERROR(__xludf.DUMMYFUNCTION("""COMPUTED_VALUE"""),45117.64583333333)</f>
        <v>45117.64583</v>
      </c>
      <c r="B1525" s="1">
        <f>IFERROR(__xludf.DUMMYFUNCTION("""COMPUTED_VALUE"""),12170.0)</f>
        <v>12170</v>
      </c>
      <c r="C1525" s="1">
        <f>IFERROR(__xludf.DUMMYFUNCTION("""COMPUTED_VALUE"""),12170.0)</f>
        <v>12170</v>
      </c>
      <c r="D1525" s="1">
        <f>IFERROR(__xludf.DUMMYFUNCTION("""COMPUTED_VALUE"""),11300.0)</f>
        <v>11300</v>
      </c>
      <c r="E1525" s="1">
        <f>IFERROR(__xludf.DUMMYFUNCTION("""COMPUTED_VALUE"""),11980.0)</f>
        <v>11980</v>
      </c>
      <c r="F1525" s="1">
        <f>IFERROR(__xludf.DUMMYFUNCTION("""COMPUTED_VALUE"""),15239.0)</f>
        <v>15239</v>
      </c>
    </row>
    <row r="1526">
      <c r="A1526" s="2">
        <f>IFERROR(__xludf.DUMMYFUNCTION("""COMPUTED_VALUE"""),45118.64583333333)</f>
        <v>45118.64583</v>
      </c>
      <c r="B1526" s="1">
        <f>IFERROR(__xludf.DUMMYFUNCTION("""COMPUTED_VALUE"""),11900.0)</f>
        <v>11900</v>
      </c>
      <c r="C1526" s="1">
        <f>IFERROR(__xludf.DUMMYFUNCTION("""COMPUTED_VALUE"""),11950.0)</f>
        <v>11950</v>
      </c>
      <c r="D1526" s="1">
        <f>IFERROR(__xludf.DUMMYFUNCTION("""COMPUTED_VALUE"""),11800.0)</f>
        <v>11800</v>
      </c>
      <c r="E1526" s="1">
        <f>IFERROR(__xludf.DUMMYFUNCTION("""COMPUTED_VALUE"""),11880.0)</f>
        <v>11880</v>
      </c>
      <c r="F1526" s="1">
        <f>IFERROR(__xludf.DUMMYFUNCTION("""COMPUTED_VALUE"""),18490.0)</f>
        <v>18490</v>
      </c>
    </row>
    <row r="1527">
      <c r="A1527" s="2">
        <f>IFERROR(__xludf.DUMMYFUNCTION("""COMPUTED_VALUE"""),45119.64583333333)</f>
        <v>45119.64583</v>
      </c>
      <c r="B1527" s="1">
        <f>IFERROR(__xludf.DUMMYFUNCTION("""COMPUTED_VALUE"""),11900.0)</f>
        <v>11900</v>
      </c>
      <c r="C1527" s="1">
        <f>IFERROR(__xludf.DUMMYFUNCTION("""COMPUTED_VALUE"""),11940.0)</f>
        <v>11940</v>
      </c>
      <c r="D1527" s="1">
        <f>IFERROR(__xludf.DUMMYFUNCTION("""COMPUTED_VALUE"""),11760.0)</f>
        <v>11760</v>
      </c>
      <c r="E1527" s="1">
        <f>IFERROR(__xludf.DUMMYFUNCTION("""COMPUTED_VALUE"""),11840.0)</f>
        <v>11840</v>
      </c>
      <c r="F1527" s="1">
        <f>IFERROR(__xludf.DUMMYFUNCTION("""COMPUTED_VALUE"""),16300.0)</f>
        <v>16300</v>
      </c>
    </row>
    <row r="1528">
      <c r="A1528" s="2">
        <f>IFERROR(__xludf.DUMMYFUNCTION("""COMPUTED_VALUE"""),45120.64583333333)</f>
        <v>45120.64583</v>
      </c>
      <c r="B1528" s="1">
        <f>IFERROR(__xludf.DUMMYFUNCTION("""COMPUTED_VALUE"""),11870.0)</f>
        <v>11870</v>
      </c>
      <c r="C1528" s="1">
        <f>IFERROR(__xludf.DUMMYFUNCTION("""COMPUTED_VALUE"""),12260.0)</f>
        <v>12260</v>
      </c>
      <c r="D1528" s="1">
        <f>IFERROR(__xludf.DUMMYFUNCTION("""COMPUTED_VALUE"""),11830.0)</f>
        <v>11830</v>
      </c>
      <c r="E1528" s="1">
        <f>IFERROR(__xludf.DUMMYFUNCTION("""COMPUTED_VALUE"""),12010.0)</f>
        <v>12010</v>
      </c>
      <c r="F1528" s="1">
        <f>IFERROR(__xludf.DUMMYFUNCTION("""COMPUTED_VALUE"""),15311.0)</f>
        <v>15311</v>
      </c>
    </row>
    <row r="1529">
      <c r="A1529" s="2">
        <f>IFERROR(__xludf.DUMMYFUNCTION("""COMPUTED_VALUE"""),45121.64583333333)</f>
        <v>45121.64583</v>
      </c>
      <c r="B1529" s="1">
        <f>IFERROR(__xludf.DUMMYFUNCTION("""COMPUTED_VALUE"""),12010.0)</f>
        <v>12010</v>
      </c>
      <c r="C1529" s="1">
        <f>IFERROR(__xludf.DUMMYFUNCTION("""COMPUTED_VALUE"""),12580.0)</f>
        <v>12580</v>
      </c>
      <c r="D1529" s="1">
        <f>IFERROR(__xludf.DUMMYFUNCTION("""COMPUTED_VALUE"""),11900.0)</f>
        <v>11900</v>
      </c>
      <c r="E1529" s="1">
        <f>IFERROR(__xludf.DUMMYFUNCTION("""COMPUTED_VALUE"""),12580.0)</f>
        <v>12580</v>
      </c>
      <c r="F1529" s="1">
        <f>IFERROR(__xludf.DUMMYFUNCTION("""COMPUTED_VALUE"""),23463.0)</f>
        <v>23463</v>
      </c>
    </row>
    <row r="1530">
      <c r="A1530" s="2">
        <f>IFERROR(__xludf.DUMMYFUNCTION("""COMPUTED_VALUE"""),45124.64583333333)</f>
        <v>45124.64583</v>
      </c>
      <c r="B1530" s="1">
        <f>IFERROR(__xludf.DUMMYFUNCTION("""COMPUTED_VALUE"""),12600.0)</f>
        <v>12600</v>
      </c>
      <c r="C1530" s="1">
        <f>IFERROR(__xludf.DUMMYFUNCTION("""COMPUTED_VALUE"""),14500.0)</f>
        <v>14500</v>
      </c>
      <c r="D1530" s="1">
        <f>IFERROR(__xludf.DUMMYFUNCTION("""COMPUTED_VALUE"""),12460.0)</f>
        <v>12460</v>
      </c>
      <c r="E1530" s="1">
        <f>IFERROR(__xludf.DUMMYFUNCTION("""COMPUTED_VALUE"""),13940.0)</f>
        <v>13940</v>
      </c>
      <c r="F1530" s="1">
        <f>IFERROR(__xludf.DUMMYFUNCTION("""COMPUTED_VALUE"""),247086.0)</f>
        <v>247086</v>
      </c>
    </row>
    <row r="1531">
      <c r="A1531" s="2">
        <f>IFERROR(__xludf.DUMMYFUNCTION("""COMPUTED_VALUE"""),45125.64583333333)</f>
        <v>45125.64583</v>
      </c>
      <c r="B1531" s="1">
        <f>IFERROR(__xludf.DUMMYFUNCTION("""COMPUTED_VALUE"""),14270.0)</f>
        <v>14270</v>
      </c>
      <c r="C1531" s="1">
        <f>IFERROR(__xludf.DUMMYFUNCTION("""COMPUTED_VALUE"""),14270.0)</f>
        <v>14270</v>
      </c>
      <c r="D1531" s="1">
        <f>IFERROR(__xludf.DUMMYFUNCTION("""COMPUTED_VALUE"""),12370.0)</f>
        <v>12370</v>
      </c>
      <c r="E1531" s="1">
        <f>IFERROR(__xludf.DUMMYFUNCTION("""COMPUTED_VALUE"""),12470.0)</f>
        <v>12470</v>
      </c>
      <c r="F1531" s="1">
        <f>IFERROR(__xludf.DUMMYFUNCTION("""COMPUTED_VALUE"""),142820.0)</f>
        <v>142820</v>
      </c>
    </row>
    <row r="1532">
      <c r="A1532" s="2">
        <f>IFERROR(__xludf.DUMMYFUNCTION("""COMPUTED_VALUE"""),45126.64583333333)</f>
        <v>45126.64583</v>
      </c>
      <c r="B1532" s="1">
        <f>IFERROR(__xludf.DUMMYFUNCTION("""COMPUTED_VALUE"""),12530.0)</f>
        <v>12530</v>
      </c>
      <c r="C1532" s="1">
        <f>IFERROR(__xludf.DUMMYFUNCTION("""COMPUTED_VALUE"""),12620.0)</f>
        <v>12620</v>
      </c>
      <c r="D1532" s="1">
        <f>IFERROR(__xludf.DUMMYFUNCTION("""COMPUTED_VALUE"""),12060.0)</f>
        <v>12060</v>
      </c>
      <c r="E1532" s="1">
        <f>IFERROR(__xludf.DUMMYFUNCTION("""COMPUTED_VALUE"""),12300.0)</f>
        <v>12300</v>
      </c>
      <c r="F1532" s="1">
        <f>IFERROR(__xludf.DUMMYFUNCTION("""COMPUTED_VALUE"""),66974.0)</f>
        <v>66974</v>
      </c>
    </row>
    <row r="1533">
      <c r="A1533" s="2">
        <f>IFERROR(__xludf.DUMMYFUNCTION("""COMPUTED_VALUE"""),45127.64583333333)</f>
        <v>45127.64583</v>
      </c>
      <c r="B1533" s="1">
        <f>IFERROR(__xludf.DUMMYFUNCTION("""COMPUTED_VALUE"""),12100.0)</f>
        <v>12100</v>
      </c>
      <c r="C1533" s="1">
        <f>IFERROR(__xludf.DUMMYFUNCTION("""COMPUTED_VALUE"""),12640.0)</f>
        <v>12640</v>
      </c>
      <c r="D1533" s="1">
        <f>IFERROR(__xludf.DUMMYFUNCTION("""COMPUTED_VALUE"""),12100.0)</f>
        <v>12100</v>
      </c>
      <c r="E1533" s="1">
        <f>IFERROR(__xludf.DUMMYFUNCTION("""COMPUTED_VALUE"""),12450.0)</f>
        <v>12450</v>
      </c>
      <c r="F1533" s="1">
        <f>IFERROR(__xludf.DUMMYFUNCTION("""COMPUTED_VALUE"""),14151.0)</f>
        <v>14151</v>
      </c>
    </row>
    <row r="1534">
      <c r="A1534" s="2">
        <f>IFERROR(__xludf.DUMMYFUNCTION("""COMPUTED_VALUE"""),45128.64583333333)</f>
        <v>45128.64583</v>
      </c>
      <c r="B1534" s="1">
        <f>IFERROR(__xludf.DUMMYFUNCTION("""COMPUTED_VALUE"""),12240.0)</f>
        <v>12240</v>
      </c>
      <c r="C1534" s="1">
        <f>IFERROR(__xludf.DUMMYFUNCTION("""COMPUTED_VALUE"""),12620.0)</f>
        <v>12620</v>
      </c>
      <c r="D1534" s="1">
        <f>IFERROR(__xludf.DUMMYFUNCTION("""COMPUTED_VALUE"""),12150.0)</f>
        <v>12150</v>
      </c>
      <c r="E1534" s="1">
        <f>IFERROR(__xludf.DUMMYFUNCTION("""COMPUTED_VALUE"""),12230.0)</f>
        <v>12230</v>
      </c>
      <c r="F1534" s="1">
        <f>IFERROR(__xludf.DUMMYFUNCTION("""COMPUTED_VALUE"""),17643.0)</f>
        <v>17643</v>
      </c>
    </row>
    <row r="1535">
      <c r="A1535" s="2">
        <f>IFERROR(__xludf.DUMMYFUNCTION("""COMPUTED_VALUE"""),45131.64583333333)</f>
        <v>45131.64583</v>
      </c>
      <c r="B1535" s="1">
        <f>IFERROR(__xludf.DUMMYFUNCTION("""COMPUTED_VALUE"""),12070.0)</f>
        <v>12070</v>
      </c>
      <c r="C1535" s="1">
        <f>IFERROR(__xludf.DUMMYFUNCTION("""COMPUTED_VALUE"""),12340.0)</f>
        <v>12340</v>
      </c>
      <c r="D1535" s="1">
        <f>IFERROR(__xludf.DUMMYFUNCTION("""COMPUTED_VALUE"""),12040.0)</f>
        <v>12040</v>
      </c>
      <c r="E1535" s="1">
        <f>IFERROR(__xludf.DUMMYFUNCTION("""COMPUTED_VALUE"""),12330.0)</f>
        <v>12330</v>
      </c>
      <c r="F1535" s="1">
        <f>IFERROR(__xludf.DUMMYFUNCTION("""COMPUTED_VALUE"""),26587.0)</f>
        <v>26587</v>
      </c>
    </row>
    <row r="1536">
      <c r="A1536" s="2">
        <f>IFERROR(__xludf.DUMMYFUNCTION("""COMPUTED_VALUE"""),45132.64583333333)</f>
        <v>45132.64583</v>
      </c>
      <c r="B1536" s="1">
        <f>IFERROR(__xludf.DUMMYFUNCTION("""COMPUTED_VALUE"""),12350.0)</f>
        <v>12350</v>
      </c>
      <c r="C1536" s="1">
        <f>IFERROR(__xludf.DUMMYFUNCTION("""COMPUTED_VALUE"""),12440.0)</f>
        <v>12440</v>
      </c>
      <c r="D1536" s="1">
        <f>IFERROR(__xludf.DUMMYFUNCTION("""COMPUTED_VALUE"""),12100.0)</f>
        <v>12100</v>
      </c>
      <c r="E1536" s="1">
        <f>IFERROR(__xludf.DUMMYFUNCTION("""COMPUTED_VALUE"""),12280.0)</f>
        <v>12280</v>
      </c>
      <c r="F1536" s="1">
        <f>IFERROR(__xludf.DUMMYFUNCTION("""COMPUTED_VALUE"""),25026.0)</f>
        <v>25026</v>
      </c>
    </row>
    <row r="1537">
      <c r="A1537" s="2">
        <f>IFERROR(__xludf.DUMMYFUNCTION("""COMPUTED_VALUE"""),45133.64583333333)</f>
        <v>45133.64583</v>
      </c>
      <c r="B1537" s="1">
        <f>IFERROR(__xludf.DUMMYFUNCTION("""COMPUTED_VALUE"""),12150.0)</f>
        <v>12150</v>
      </c>
      <c r="C1537" s="1">
        <f>IFERROR(__xludf.DUMMYFUNCTION("""COMPUTED_VALUE"""),12180.0)</f>
        <v>12180</v>
      </c>
      <c r="D1537" s="1">
        <f>IFERROR(__xludf.DUMMYFUNCTION("""COMPUTED_VALUE"""),11900.0)</f>
        <v>11900</v>
      </c>
      <c r="E1537" s="1">
        <f>IFERROR(__xludf.DUMMYFUNCTION("""COMPUTED_VALUE"""),11900.0)</f>
        <v>11900</v>
      </c>
      <c r="F1537" s="1">
        <f>IFERROR(__xludf.DUMMYFUNCTION("""COMPUTED_VALUE"""),45591.0)</f>
        <v>45591</v>
      </c>
    </row>
    <row r="1538">
      <c r="A1538" s="2">
        <f>IFERROR(__xludf.DUMMYFUNCTION("""COMPUTED_VALUE"""),45134.64583333333)</f>
        <v>45134.64583</v>
      </c>
      <c r="B1538" s="1">
        <f>IFERROR(__xludf.DUMMYFUNCTION("""COMPUTED_VALUE"""),11900.0)</f>
        <v>11900</v>
      </c>
      <c r="C1538" s="1">
        <f>IFERROR(__xludf.DUMMYFUNCTION("""COMPUTED_VALUE"""),12180.0)</f>
        <v>12180</v>
      </c>
      <c r="D1538" s="1">
        <f>IFERROR(__xludf.DUMMYFUNCTION("""COMPUTED_VALUE"""),11780.0)</f>
        <v>11780</v>
      </c>
      <c r="E1538" s="1">
        <f>IFERROR(__xludf.DUMMYFUNCTION("""COMPUTED_VALUE"""),12050.0)</f>
        <v>12050</v>
      </c>
      <c r="F1538" s="1">
        <f>IFERROR(__xludf.DUMMYFUNCTION("""COMPUTED_VALUE"""),30547.0)</f>
        <v>30547</v>
      </c>
    </row>
    <row r="1539">
      <c r="A1539" s="2">
        <f>IFERROR(__xludf.DUMMYFUNCTION("""COMPUTED_VALUE"""),45135.64583333333)</f>
        <v>45135.64583</v>
      </c>
      <c r="B1539" s="1">
        <f>IFERROR(__xludf.DUMMYFUNCTION("""COMPUTED_VALUE"""),11900.0)</f>
        <v>11900</v>
      </c>
      <c r="C1539" s="1">
        <f>IFERROR(__xludf.DUMMYFUNCTION("""COMPUTED_VALUE"""),12180.0)</f>
        <v>12180</v>
      </c>
      <c r="D1539" s="1">
        <f>IFERROR(__xludf.DUMMYFUNCTION("""COMPUTED_VALUE"""),11900.0)</f>
        <v>11900</v>
      </c>
      <c r="E1539" s="1">
        <f>IFERROR(__xludf.DUMMYFUNCTION("""COMPUTED_VALUE"""),12090.0)</f>
        <v>12090</v>
      </c>
      <c r="F1539" s="1">
        <f>IFERROR(__xludf.DUMMYFUNCTION("""COMPUTED_VALUE"""),8755.0)</f>
        <v>8755</v>
      </c>
    </row>
    <row r="1540">
      <c r="A1540" s="2">
        <f>IFERROR(__xludf.DUMMYFUNCTION("""COMPUTED_VALUE"""),45138.64583333333)</f>
        <v>45138.64583</v>
      </c>
      <c r="B1540" s="1">
        <f>IFERROR(__xludf.DUMMYFUNCTION("""COMPUTED_VALUE"""),12120.0)</f>
        <v>12120</v>
      </c>
      <c r="C1540" s="1">
        <f>IFERROR(__xludf.DUMMYFUNCTION("""COMPUTED_VALUE"""),12120.0)</f>
        <v>12120</v>
      </c>
      <c r="D1540" s="1">
        <f>IFERROR(__xludf.DUMMYFUNCTION("""COMPUTED_VALUE"""),11890.0)</f>
        <v>11890</v>
      </c>
      <c r="E1540" s="1">
        <f>IFERROR(__xludf.DUMMYFUNCTION("""COMPUTED_VALUE"""),11900.0)</f>
        <v>11900</v>
      </c>
      <c r="F1540" s="1">
        <f>IFERROR(__xludf.DUMMYFUNCTION("""COMPUTED_VALUE"""),23722.0)</f>
        <v>23722</v>
      </c>
    </row>
    <row r="1541">
      <c r="A1541" s="2">
        <f>IFERROR(__xludf.DUMMYFUNCTION("""COMPUTED_VALUE"""),45139.64583333333)</f>
        <v>45139.64583</v>
      </c>
      <c r="B1541" s="1">
        <f>IFERROR(__xludf.DUMMYFUNCTION("""COMPUTED_VALUE"""),11820.0)</f>
        <v>11820</v>
      </c>
      <c r="C1541" s="1">
        <f>IFERROR(__xludf.DUMMYFUNCTION("""COMPUTED_VALUE"""),12200.0)</f>
        <v>12200</v>
      </c>
      <c r="D1541" s="1">
        <f>IFERROR(__xludf.DUMMYFUNCTION("""COMPUTED_VALUE"""),11820.0)</f>
        <v>11820</v>
      </c>
      <c r="E1541" s="1">
        <f>IFERROR(__xludf.DUMMYFUNCTION("""COMPUTED_VALUE"""),12080.0)</f>
        <v>12080</v>
      </c>
      <c r="F1541" s="1">
        <f>IFERROR(__xludf.DUMMYFUNCTION("""COMPUTED_VALUE"""),11725.0)</f>
        <v>11725</v>
      </c>
    </row>
    <row r="1542">
      <c r="A1542" s="2">
        <f>IFERROR(__xludf.DUMMYFUNCTION("""COMPUTED_VALUE"""),45140.64583333333)</f>
        <v>45140.64583</v>
      </c>
      <c r="B1542" s="1">
        <f>IFERROR(__xludf.DUMMYFUNCTION("""COMPUTED_VALUE"""),12130.0)</f>
        <v>12130</v>
      </c>
      <c r="C1542" s="1">
        <f>IFERROR(__xludf.DUMMYFUNCTION("""COMPUTED_VALUE"""),12130.0)</f>
        <v>12130</v>
      </c>
      <c r="D1542" s="1">
        <f>IFERROR(__xludf.DUMMYFUNCTION("""COMPUTED_VALUE"""),11850.0)</f>
        <v>11850</v>
      </c>
      <c r="E1542" s="1">
        <f>IFERROR(__xludf.DUMMYFUNCTION("""COMPUTED_VALUE"""),11990.0)</f>
        <v>11990</v>
      </c>
      <c r="F1542" s="1">
        <f>IFERROR(__xludf.DUMMYFUNCTION("""COMPUTED_VALUE"""),26274.0)</f>
        <v>26274</v>
      </c>
    </row>
    <row r="1543">
      <c r="A1543" s="2">
        <f>IFERROR(__xludf.DUMMYFUNCTION("""COMPUTED_VALUE"""),45141.64583333333)</f>
        <v>45141.64583</v>
      </c>
      <c r="B1543" s="1">
        <f>IFERROR(__xludf.DUMMYFUNCTION("""COMPUTED_VALUE"""),11880.0)</f>
        <v>11880</v>
      </c>
      <c r="C1543" s="1">
        <f>IFERROR(__xludf.DUMMYFUNCTION("""COMPUTED_VALUE"""),12020.0)</f>
        <v>12020</v>
      </c>
      <c r="D1543" s="1">
        <f>IFERROR(__xludf.DUMMYFUNCTION("""COMPUTED_VALUE"""),11710.0)</f>
        <v>11710</v>
      </c>
      <c r="E1543" s="1">
        <f>IFERROR(__xludf.DUMMYFUNCTION("""COMPUTED_VALUE"""),11930.0)</f>
        <v>11930</v>
      </c>
      <c r="F1543" s="1">
        <f>IFERROR(__xludf.DUMMYFUNCTION("""COMPUTED_VALUE"""),23545.0)</f>
        <v>23545</v>
      </c>
    </row>
    <row r="1544">
      <c r="A1544" s="2">
        <f>IFERROR(__xludf.DUMMYFUNCTION("""COMPUTED_VALUE"""),45142.64583333333)</f>
        <v>45142.64583</v>
      </c>
      <c r="B1544" s="1">
        <f>IFERROR(__xludf.DUMMYFUNCTION("""COMPUTED_VALUE"""),11840.0)</f>
        <v>11840</v>
      </c>
      <c r="C1544" s="1">
        <f>IFERROR(__xludf.DUMMYFUNCTION("""COMPUTED_VALUE"""),12100.0)</f>
        <v>12100</v>
      </c>
      <c r="D1544" s="1">
        <f>IFERROR(__xludf.DUMMYFUNCTION("""COMPUTED_VALUE"""),11810.0)</f>
        <v>11810</v>
      </c>
      <c r="E1544" s="1">
        <f>IFERROR(__xludf.DUMMYFUNCTION("""COMPUTED_VALUE"""),12050.0)</f>
        <v>12050</v>
      </c>
      <c r="F1544" s="1">
        <f>IFERROR(__xludf.DUMMYFUNCTION("""COMPUTED_VALUE"""),7446.0)</f>
        <v>7446</v>
      </c>
    </row>
    <row r="1545">
      <c r="A1545" s="2">
        <f>IFERROR(__xludf.DUMMYFUNCTION("""COMPUTED_VALUE"""),45145.64583333333)</f>
        <v>45145.64583</v>
      </c>
      <c r="B1545" s="1">
        <f>IFERROR(__xludf.DUMMYFUNCTION("""COMPUTED_VALUE"""),11820.0)</f>
        <v>11820</v>
      </c>
      <c r="C1545" s="1">
        <f>IFERROR(__xludf.DUMMYFUNCTION("""COMPUTED_VALUE"""),12180.0)</f>
        <v>12180</v>
      </c>
      <c r="D1545" s="1">
        <f>IFERROR(__xludf.DUMMYFUNCTION("""COMPUTED_VALUE"""),11820.0)</f>
        <v>11820</v>
      </c>
      <c r="E1545" s="1">
        <f>IFERROR(__xludf.DUMMYFUNCTION("""COMPUTED_VALUE"""),11990.0)</f>
        <v>11990</v>
      </c>
      <c r="F1545" s="1">
        <f>IFERROR(__xludf.DUMMYFUNCTION("""COMPUTED_VALUE"""),24004.0)</f>
        <v>24004</v>
      </c>
    </row>
    <row r="1546">
      <c r="A1546" s="2">
        <f>IFERROR(__xludf.DUMMYFUNCTION("""COMPUTED_VALUE"""),45146.64583333333)</f>
        <v>45146.64583</v>
      </c>
      <c r="B1546" s="1">
        <f>IFERROR(__xludf.DUMMYFUNCTION("""COMPUTED_VALUE"""),11940.0)</f>
        <v>11940</v>
      </c>
      <c r="C1546" s="1">
        <f>IFERROR(__xludf.DUMMYFUNCTION("""COMPUTED_VALUE"""),11960.0)</f>
        <v>11960</v>
      </c>
      <c r="D1546" s="1">
        <f>IFERROR(__xludf.DUMMYFUNCTION("""COMPUTED_VALUE"""),11750.0)</f>
        <v>11750</v>
      </c>
      <c r="E1546" s="1">
        <f>IFERROR(__xludf.DUMMYFUNCTION("""COMPUTED_VALUE"""),11850.0)</f>
        <v>11850</v>
      </c>
      <c r="F1546" s="1">
        <f>IFERROR(__xludf.DUMMYFUNCTION("""COMPUTED_VALUE"""),38067.0)</f>
        <v>38067</v>
      </c>
    </row>
    <row r="1547">
      <c r="A1547" s="2">
        <f>IFERROR(__xludf.DUMMYFUNCTION("""COMPUTED_VALUE"""),45147.64583333333)</f>
        <v>45147.64583</v>
      </c>
      <c r="B1547" s="1">
        <f>IFERROR(__xludf.DUMMYFUNCTION("""COMPUTED_VALUE"""),11890.0)</f>
        <v>11890</v>
      </c>
      <c r="C1547" s="1">
        <f>IFERROR(__xludf.DUMMYFUNCTION("""COMPUTED_VALUE"""),11890.0)</f>
        <v>11890</v>
      </c>
      <c r="D1547" s="1">
        <f>IFERROR(__xludf.DUMMYFUNCTION("""COMPUTED_VALUE"""),11670.0)</f>
        <v>11670</v>
      </c>
      <c r="E1547" s="1">
        <f>IFERROR(__xludf.DUMMYFUNCTION("""COMPUTED_VALUE"""),11870.0)</f>
        <v>11870</v>
      </c>
      <c r="F1547" s="1">
        <f>IFERROR(__xludf.DUMMYFUNCTION("""COMPUTED_VALUE"""),19815.0)</f>
        <v>19815</v>
      </c>
    </row>
    <row r="1548">
      <c r="A1548" s="2">
        <f>IFERROR(__xludf.DUMMYFUNCTION("""COMPUTED_VALUE"""),45148.64583333333)</f>
        <v>45148.64583</v>
      </c>
      <c r="B1548" s="1">
        <f>IFERROR(__xludf.DUMMYFUNCTION("""COMPUTED_VALUE"""),11950.0)</f>
        <v>11950</v>
      </c>
      <c r="C1548" s="1">
        <f>IFERROR(__xludf.DUMMYFUNCTION("""COMPUTED_VALUE"""),11950.0)</f>
        <v>11950</v>
      </c>
      <c r="D1548" s="1">
        <f>IFERROR(__xludf.DUMMYFUNCTION("""COMPUTED_VALUE"""),11760.0)</f>
        <v>11760</v>
      </c>
      <c r="E1548" s="1">
        <f>IFERROR(__xludf.DUMMYFUNCTION("""COMPUTED_VALUE"""),11880.0)</f>
        <v>11880</v>
      </c>
      <c r="F1548" s="1">
        <f>IFERROR(__xludf.DUMMYFUNCTION("""COMPUTED_VALUE"""),20982.0)</f>
        <v>20982</v>
      </c>
    </row>
    <row r="1549">
      <c r="A1549" s="2">
        <f>IFERROR(__xludf.DUMMYFUNCTION("""COMPUTED_VALUE"""),45149.64583333333)</f>
        <v>45149.64583</v>
      </c>
      <c r="B1549" s="1">
        <f>IFERROR(__xludf.DUMMYFUNCTION("""COMPUTED_VALUE"""),12050.0)</f>
        <v>12050</v>
      </c>
      <c r="C1549" s="1">
        <f>IFERROR(__xludf.DUMMYFUNCTION("""COMPUTED_VALUE"""),12730.0)</f>
        <v>12730</v>
      </c>
      <c r="D1549" s="1">
        <f>IFERROR(__xludf.DUMMYFUNCTION("""COMPUTED_VALUE"""),11810.0)</f>
        <v>11810</v>
      </c>
      <c r="E1549" s="1">
        <f>IFERROR(__xludf.DUMMYFUNCTION("""COMPUTED_VALUE"""),12520.0)</f>
        <v>12520</v>
      </c>
      <c r="F1549" s="1">
        <f>IFERROR(__xludf.DUMMYFUNCTION("""COMPUTED_VALUE"""),44539.0)</f>
        <v>44539</v>
      </c>
    </row>
    <row r="1550">
      <c r="A1550" s="2">
        <f>IFERROR(__xludf.DUMMYFUNCTION("""COMPUTED_VALUE"""),45152.64583333333)</f>
        <v>45152.64583</v>
      </c>
      <c r="B1550" s="1">
        <f>IFERROR(__xludf.DUMMYFUNCTION("""COMPUTED_VALUE"""),12480.0)</f>
        <v>12480</v>
      </c>
      <c r="C1550" s="1">
        <f>IFERROR(__xludf.DUMMYFUNCTION("""COMPUTED_VALUE"""),12900.0)</f>
        <v>12900</v>
      </c>
      <c r="D1550" s="1">
        <f>IFERROR(__xludf.DUMMYFUNCTION("""COMPUTED_VALUE"""),12430.0)</f>
        <v>12430</v>
      </c>
      <c r="E1550" s="1">
        <f>IFERROR(__xludf.DUMMYFUNCTION("""COMPUTED_VALUE"""),12780.0)</f>
        <v>12780</v>
      </c>
      <c r="F1550" s="1">
        <f>IFERROR(__xludf.DUMMYFUNCTION("""COMPUTED_VALUE"""),21658.0)</f>
        <v>21658</v>
      </c>
    </row>
    <row r="1551">
      <c r="A1551" s="2">
        <f>IFERROR(__xludf.DUMMYFUNCTION("""COMPUTED_VALUE"""),45154.64583333333)</f>
        <v>45154.64583</v>
      </c>
      <c r="B1551" s="1">
        <f>IFERROR(__xludf.DUMMYFUNCTION("""COMPUTED_VALUE"""),12720.0)</f>
        <v>12720</v>
      </c>
      <c r="C1551" s="1">
        <f>IFERROR(__xludf.DUMMYFUNCTION("""COMPUTED_VALUE"""),12720.0)</f>
        <v>12720</v>
      </c>
      <c r="D1551" s="1">
        <f>IFERROR(__xludf.DUMMYFUNCTION("""COMPUTED_VALUE"""),12400.0)</f>
        <v>12400</v>
      </c>
      <c r="E1551" s="1">
        <f>IFERROR(__xludf.DUMMYFUNCTION("""COMPUTED_VALUE"""),12630.0)</f>
        <v>12630</v>
      </c>
      <c r="F1551" s="1">
        <f>IFERROR(__xludf.DUMMYFUNCTION("""COMPUTED_VALUE"""),23115.0)</f>
        <v>23115</v>
      </c>
    </row>
    <row r="1552">
      <c r="A1552" s="2">
        <f>IFERROR(__xludf.DUMMYFUNCTION("""COMPUTED_VALUE"""),45155.64583333333)</f>
        <v>45155.64583</v>
      </c>
      <c r="B1552" s="1">
        <f>IFERROR(__xludf.DUMMYFUNCTION("""COMPUTED_VALUE"""),12630.0)</f>
        <v>12630</v>
      </c>
      <c r="C1552" s="1">
        <f>IFERROR(__xludf.DUMMYFUNCTION("""COMPUTED_VALUE"""),12630.0)</f>
        <v>12630</v>
      </c>
      <c r="D1552" s="1">
        <f>IFERROR(__xludf.DUMMYFUNCTION("""COMPUTED_VALUE"""),12000.0)</f>
        <v>12000</v>
      </c>
      <c r="E1552" s="1">
        <f>IFERROR(__xludf.DUMMYFUNCTION("""COMPUTED_VALUE"""),12320.0)</f>
        <v>12320</v>
      </c>
      <c r="F1552" s="1">
        <f>IFERROR(__xludf.DUMMYFUNCTION("""COMPUTED_VALUE"""),19692.0)</f>
        <v>19692</v>
      </c>
    </row>
    <row r="1553">
      <c r="A1553" s="2">
        <f>IFERROR(__xludf.DUMMYFUNCTION("""COMPUTED_VALUE"""),45156.64583333333)</f>
        <v>45156.64583</v>
      </c>
      <c r="B1553" s="1">
        <f>IFERROR(__xludf.DUMMYFUNCTION("""COMPUTED_VALUE"""),12060.0)</f>
        <v>12060</v>
      </c>
      <c r="C1553" s="1">
        <f>IFERROR(__xludf.DUMMYFUNCTION("""COMPUTED_VALUE"""),12540.0)</f>
        <v>12540</v>
      </c>
      <c r="D1553" s="1">
        <f>IFERROR(__xludf.DUMMYFUNCTION("""COMPUTED_VALUE"""),12050.0)</f>
        <v>12050</v>
      </c>
      <c r="E1553" s="1">
        <f>IFERROR(__xludf.DUMMYFUNCTION("""COMPUTED_VALUE"""),12540.0)</f>
        <v>12540</v>
      </c>
      <c r="F1553" s="1">
        <f>IFERROR(__xludf.DUMMYFUNCTION("""COMPUTED_VALUE"""),22478.0)</f>
        <v>22478</v>
      </c>
    </row>
    <row r="1554">
      <c r="A1554" s="2">
        <f>IFERROR(__xludf.DUMMYFUNCTION("""COMPUTED_VALUE"""),45159.64583333333)</f>
        <v>45159.64583</v>
      </c>
      <c r="B1554" s="1">
        <f>IFERROR(__xludf.DUMMYFUNCTION("""COMPUTED_VALUE"""),12800.0)</f>
        <v>12800</v>
      </c>
      <c r="C1554" s="1">
        <f>IFERROR(__xludf.DUMMYFUNCTION("""COMPUTED_VALUE"""),14200.0)</f>
        <v>14200</v>
      </c>
      <c r="D1554" s="1">
        <f>IFERROR(__xludf.DUMMYFUNCTION("""COMPUTED_VALUE"""),12700.0)</f>
        <v>12700</v>
      </c>
      <c r="E1554" s="1">
        <f>IFERROR(__xludf.DUMMYFUNCTION("""COMPUTED_VALUE"""),13550.0)</f>
        <v>13550</v>
      </c>
      <c r="F1554" s="1">
        <f>IFERROR(__xludf.DUMMYFUNCTION("""COMPUTED_VALUE"""),172772.0)</f>
        <v>172772</v>
      </c>
    </row>
    <row r="1555">
      <c r="A1555" s="2">
        <f>IFERROR(__xludf.DUMMYFUNCTION("""COMPUTED_VALUE"""),45160.64583333333)</f>
        <v>45160.64583</v>
      </c>
      <c r="B1555" s="1">
        <f>IFERROR(__xludf.DUMMYFUNCTION("""COMPUTED_VALUE"""),13270.0)</f>
        <v>13270</v>
      </c>
      <c r="C1555" s="1">
        <f>IFERROR(__xludf.DUMMYFUNCTION("""COMPUTED_VALUE"""),13650.0)</f>
        <v>13650</v>
      </c>
      <c r="D1555" s="1">
        <f>IFERROR(__xludf.DUMMYFUNCTION("""COMPUTED_VALUE"""),12600.0)</f>
        <v>12600</v>
      </c>
      <c r="E1555" s="1">
        <f>IFERROR(__xludf.DUMMYFUNCTION("""COMPUTED_VALUE"""),12630.0)</f>
        <v>12630</v>
      </c>
      <c r="F1555" s="1">
        <f>IFERROR(__xludf.DUMMYFUNCTION("""COMPUTED_VALUE"""),75391.0)</f>
        <v>75391</v>
      </c>
    </row>
    <row r="1556">
      <c r="A1556" s="2">
        <f>IFERROR(__xludf.DUMMYFUNCTION("""COMPUTED_VALUE"""),45161.64583333333)</f>
        <v>45161.64583</v>
      </c>
      <c r="B1556" s="1">
        <f>IFERROR(__xludf.DUMMYFUNCTION("""COMPUTED_VALUE"""),12570.0)</f>
        <v>12570</v>
      </c>
      <c r="C1556" s="1">
        <f>IFERROR(__xludf.DUMMYFUNCTION("""COMPUTED_VALUE"""),12630.0)</f>
        <v>12630</v>
      </c>
      <c r="D1556" s="1">
        <f>IFERROR(__xludf.DUMMYFUNCTION("""COMPUTED_VALUE"""),11800.0)</f>
        <v>11800</v>
      </c>
      <c r="E1556" s="1">
        <f>IFERROR(__xludf.DUMMYFUNCTION("""COMPUTED_VALUE"""),11900.0)</f>
        <v>11900</v>
      </c>
      <c r="F1556" s="1">
        <f>IFERROR(__xludf.DUMMYFUNCTION("""COMPUTED_VALUE"""),106796.0)</f>
        <v>106796</v>
      </c>
    </row>
    <row r="1557">
      <c r="A1557" s="2">
        <f>IFERROR(__xludf.DUMMYFUNCTION("""COMPUTED_VALUE"""),45162.64583333333)</f>
        <v>45162.64583</v>
      </c>
      <c r="B1557" s="1">
        <f>IFERROR(__xludf.DUMMYFUNCTION("""COMPUTED_VALUE"""),11800.0)</f>
        <v>11800</v>
      </c>
      <c r="C1557" s="1">
        <f>IFERROR(__xludf.DUMMYFUNCTION("""COMPUTED_VALUE"""),12320.0)</f>
        <v>12320</v>
      </c>
      <c r="D1557" s="1">
        <f>IFERROR(__xludf.DUMMYFUNCTION("""COMPUTED_VALUE"""),11800.0)</f>
        <v>11800</v>
      </c>
      <c r="E1557" s="1">
        <f>IFERROR(__xludf.DUMMYFUNCTION("""COMPUTED_VALUE"""),12010.0)</f>
        <v>12010</v>
      </c>
      <c r="F1557" s="1">
        <f>IFERROR(__xludf.DUMMYFUNCTION("""COMPUTED_VALUE"""),32750.0)</f>
        <v>32750</v>
      </c>
    </row>
    <row r="1558">
      <c r="A1558" s="2">
        <f>IFERROR(__xludf.DUMMYFUNCTION("""COMPUTED_VALUE"""),45163.64583333333)</f>
        <v>45163.64583</v>
      </c>
      <c r="B1558" s="1">
        <f>IFERROR(__xludf.DUMMYFUNCTION("""COMPUTED_VALUE"""),11890.0)</f>
        <v>11890</v>
      </c>
      <c r="C1558" s="1">
        <f>IFERROR(__xludf.DUMMYFUNCTION("""COMPUTED_VALUE"""),12100.0)</f>
        <v>12100</v>
      </c>
      <c r="D1558" s="1">
        <f>IFERROR(__xludf.DUMMYFUNCTION("""COMPUTED_VALUE"""),11890.0)</f>
        <v>11890</v>
      </c>
      <c r="E1558" s="1">
        <f>IFERROR(__xludf.DUMMYFUNCTION("""COMPUTED_VALUE"""),12100.0)</f>
        <v>12100</v>
      </c>
      <c r="F1558" s="1">
        <f>IFERROR(__xludf.DUMMYFUNCTION("""COMPUTED_VALUE"""),10508.0)</f>
        <v>10508</v>
      </c>
    </row>
    <row r="1559">
      <c r="A1559" s="2">
        <f>IFERROR(__xludf.DUMMYFUNCTION("""COMPUTED_VALUE"""),45166.64583333333)</f>
        <v>45166.64583</v>
      </c>
      <c r="B1559" s="1">
        <f>IFERROR(__xludf.DUMMYFUNCTION("""COMPUTED_VALUE"""),12020.0)</f>
        <v>12020</v>
      </c>
      <c r="C1559" s="1">
        <f>IFERROR(__xludf.DUMMYFUNCTION("""COMPUTED_VALUE"""),12090.0)</f>
        <v>12090</v>
      </c>
      <c r="D1559" s="1">
        <f>IFERROR(__xludf.DUMMYFUNCTION("""COMPUTED_VALUE"""),11880.0)</f>
        <v>11880</v>
      </c>
      <c r="E1559" s="1">
        <f>IFERROR(__xludf.DUMMYFUNCTION("""COMPUTED_VALUE"""),11920.0)</f>
        <v>11920</v>
      </c>
      <c r="F1559" s="1">
        <f>IFERROR(__xludf.DUMMYFUNCTION("""COMPUTED_VALUE"""),19047.0)</f>
        <v>19047</v>
      </c>
    </row>
    <row r="1560">
      <c r="A1560" s="2">
        <f>IFERROR(__xludf.DUMMYFUNCTION("""COMPUTED_VALUE"""),45167.64583333333)</f>
        <v>45167.64583</v>
      </c>
      <c r="B1560" s="1">
        <f>IFERROR(__xludf.DUMMYFUNCTION("""COMPUTED_VALUE"""),11850.0)</f>
        <v>11850</v>
      </c>
      <c r="C1560" s="1">
        <f>IFERROR(__xludf.DUMMYFUNCTION("""COMPUTED_VALUE"""),12000.0)</f>
        <v>12000</v>
      </c>
      <c r="D1560" s="1">
        <f>IFERROR(__xludf.DUMMYFUNCTION("""COMPUTED_VALUE"""),11850.0)</f>
        <v>11850</v>
      </c>
      <c r="E1560" s="1">
        <f>IFERROR(__xludf.DUMMYFUNCTION("""COMPUTED_VALUE"""),11920.0)</f>
        <v>11920</v>
      </c>
      <c r="F1560" s="1">
        <f>IFERROR(__xludf.DUMMYFUNCTION("""COMPUTED_VALUE"""),9231.0)</f>
        <v>9231</v>
      </c>
    </row>
    <row r="1561">
      <c r="A1561" s="2">
        <f>IFERROR(__xludf.DUMMYFUNCTION("""COMPUTED_VALUE"""),45168.64583333333)</f>
        <v>45168.64583</v>
      </c>
      <c r="B1561" s="1">
        <f>IFERROR(__xludf.DUMMYFUNCTION("""COMPUTED_VALUE"""),11950.0)</f>
        <v>11950</v>
      </c>
      <c r="C1561" s="1">
        <f>IFERROR(__xludf.DUMMYFUNCTION("""COMPUTED_VALUE"""),12000.0)</f>
        <v>12000</v>
      </c>
      <c r="D1561" s="1">
        <f>IFERROR(__xludf.DUMMYFUNCTION("""COMPUTED_VALUE"""),11900.0)</f>
        <v>11900</v>
      </c>
      <c r="E1561" s="1">
        <f>IFERROR(__xludf.DUMMYFUNCTION("""COMPUTED_VALUE"""),11910.0)</f>
        <v>11910</v>
      </c>
      <c r="F1561" s="1">
        <f>IFERROR(__xludf.DUMMYFUNCTION("""COMPUTED_VALUE"""),16655.0)</f>
        <v>16655</v>
      </c>
    </row>
    <row r="1562">
      <c r="A1562" s="2">
        <f>IFERROR(__xludf.DUMMYFUNCTION("""COMPUTED_VALUE"""),45169.64583333333)</f>
        <v>45169.64583</v>
      </c>
      <c r="B1562" s="1">
        <f>IFERROR(__xludf.DUMMYFUNCTION("""COMPUTED_VALUE"""),11890.0)</f>
        <v>11890</v>
      </c>
      <c r="C1562" s="1">
        <f>IFERROR(__xludf.DUMMYFUNCTION("""COMPUTED_VALUE"""),11940.0)</f>
        <v>11940</v>
      </c>
      <c r="D1562" s="1">
        <f>IFERROR(__xludf.DUMMYFUNCTION("""COMPUTED_VALUE"""),11590.0)</f>
        <v>11590</v>
      </c>
      <c r="E1562" s="1">
        <f>IFERROR(__xludf.DUMMYFUNCTION("""COMPUTED_VALUE"""),11800.0)</f>
        <v>11800</v>
      </c>
      <c r="F1562" s="1">
        <f>IFERROR(__xludf.DUMMYFUNCTION("""COMPUTED_VALUE"""),65848.0)</f>
        <v>65848</v>
      </c>
    </row>
    <row r="1563">
      <c r="A1563" s="2">
        <f>IFERROR(__xludf.DUMMYFUNCTION("""COMPUTED_VALUE"""),45170.64583333333)</f>
        <v>45170.64583</v>
      </c>
      <c r="B1563" s="1">
        <f>IFERROR(__xludf.DUMMYFUNCTION("""COMPUTED_VALUE"""),11800.0)</f>
        <v>11800</v>
      </c>
      <c r="C1563" s="1">
        <f>IFERROR(__xludf.DUMMYFUNCTION("""COMPUTED_VALUE"""),11860.0)</f>
        <v>11860</v>
      </c>
      <c r="D1563" s="1">
        <f>IFERROR(__xludf.DUMMYFUNCTION("""COMPUTED_VALUE"""),11680.0)</f>
        <v>11680</v>
      </c>
      <c r="E1563" s="1">
        <f>IFERROR(__xludf.DUMMYFUNCTION("""COMPUTED_VALUE"""),11820.0)</f>
        <v>11820</v>
      </c>
      <c r="F1563" s="1">
        <f>IFERROR(__xludf.DUMMYFUNCTION("""COMPUTED_VALUE"""),21919.0)</f>
        <v>21919</v>
      </c>
    </row>
    <row r="1564">
      <c r="A1564" s="2">
        <f>IFERROR(__xludf.DUMMYFUNCTION("""COMPUTED_VALUE"""),45173.64583333333)</f>
        <v>45173.64583</v>
      </c>
      <c r="B1564" s="1">
        <f>IFERROR(__xludf.DUMMYFUNCTION("""COMPUTED_VALUE"""),11850.0)</f>
        <v>11850</v>
      </c>
      <c r="C1564" s="1">
        <f>IFERROR(__xludf.DUMMYFUNCTION("""COMPUTED_VALUE"""),12070.0)</f>
        <v>12070</v>
      </c>
      <c r="D1564" s="1">
        <f>IFERROR(__xludf.DUMMYFUNCTION("""COMPUTED_VALUE"""),11690.0)</f>
        <v>11690</v>
      </c>
      <c r="E1564" s="1">
        <f>IFERROR(__xludf.DUMMYFUNCTION("""COMPUTED_VALUE"""),11730.0)</f>
        <v>11730</v>
      </c>
      <c r="F1564" s="1">
        <f>IFERROR(__xludf.DUMMYFUNCTION("""COMPUTED_VALUE"""),28027.0)</f>
        <v>28027</v>
      </c>
    </row>
    <row r="1565">
      <c r="A1565" s="2">
        <f>IFERROR(__xludf.DUMMYFUNCTION("""COMPUTED_VALUE"""),45174.64583333333)</f>
        <v>45174.64583</v>
      </c>
      <c r="B1565" s="1">
        <f>IFERROR(__xludf.DUMMYFUNCTION("""COMPUTED_VALUE"""),11700.0)</f>
        <v>11700</v>
      </c>
      <c r="C1565" s="1">
        <f>IFERROR(__xludf.DUMMYFUNCTION("""COMPUTED_VALUE"""),11800.0)</f>
        <v>11800</v>
      </c>
      <c r="D1565" s="1">
        <f>IFERROR(__xludf.DUMMYFUNCTION("""COMPUTED_VALUE"""),11600.0)</f>
        <v>11600</v>
      </c>
      <c r="E1565" s="1">
        <f>IFERROR(__xludf.DUMMYFUNCTION("""COMPUTED_VALUE"""),11730.0)</f>
        <v>11730</v>
      </c>
      <c r="F1565" s="1">
        <f>IFERROR(__xludf.DUMMYFUNCTION("""COMPUTED_VALUE"""),13526.0)</f>
        <v>13526</v>
      </c>
    </row>
    <row r="1566">
      <c r="A1566" s="2">
        <f>IFERROR(__xludf.DUMMYFUNCTION("""COMPUTED_VALUE"""),45175.64583333333)</f>
        <v>45175.64583</v>
      </c>
      <c r="B1566" s="1">
        <f>IFERROR(__xludf.DUMMYFUNCTION("""COMPUTED_VALUE"""),11660.0)</f>
        <v>11660</v>
      </c>
      <c r="C1566" s="1">
        <f>IFERROR(__xludf.DUMMYFUNCTION("""COMPUTED_VALUE"""),11770.0)</f>
        <v>11770</v>
      </c>
      <c r="D1566" s="1">
        <f>IFERROR(__xludf.DUMMYFUNCTION("""COMPUTED_VALUE"""),11470.0)</f>
        <v>11470</v>
      </c>
      <c r="E1566" s="1">
        <f>IFERROR(__xludf.DUMMYFUNCTION("""COMPUTED_VALUE"""),11730.0)</f>
        <v>11730</v>
      </c>
      <c r="F1566" s="1">
        <f>IFERROR(__xludf.DUMMYFUNCTION("""COMPUTED_VALUE"""),34443.0)</f>
        <v>34443</v>
      </c>
    </row>
    <row r="1567">
      <c r="A1567" s="2">
        <f>IFERROR(__xludf.DUMMYFUNCTION("""COMPUTED_VALUE"""),45176.64583333333)</f>
        <v>45176.64583</v>
      </c>
      <c r="B1567" s="1">
        <f>IFERROR(__xludf.DUMMYFUNCTION("""COMPUTED_VALUE"""),11800.0)</f>
        <v>11800</v>
      </c>
      <c r="C1567" s="1">
        <f>IFERROR(__xludf.DUMMYFUNCTION("""COMPUTED_VALUE"""),11800.0)</f>
        <v>11800</v>
      </c>
      <c r="D1567" s="1">
        <f>IFERROR(__xludf.DUMMYFUNCTION("""COMPUTED_VALUE"""),11400.0)</f>
        <v>11400</v>
      </c>
      <c r="E1567" s="1">
        <f>IFERROR(__xludf.DUMMYFUNCTION("""COMPUTED_VALUE"""),11650.0)</f>
        <v>11650</v>
      </c>
      <c r="F1567" s="1">
        <f>IFERROR(__xludf.DUMMYFUNCTION("""COMPUTED_VALUE"""),53885.0)</f>
        <v>53885</v>
      </c>
    </row>
    <row r="1568">
      <c r="A1568" s="2">
        <f>IFERROR(__xludf.DUMMYFUNCTION("""COMPUTED_VALUE"""),45177.64583333333)</f>
        <v>45177.64583</v>
      </c>
      <c r="B1568" s="1">
        <f>IFERROR(__xludf.DUMMYFUNCTION("""COMPUTED_VALUE"""),11730.0)</f>
        <v>11730</v>
      </c>
      <c r="C1568" s="1">
        <f>IFERROR(__xludf.DUMMYFUNCTION("""COMPUTED_VALUE"""),11730.0)</f>
        <v>11730</v>
      </c>
      <c r="D1568" s="1">
        <f>IFERROR(__xludf.DUMMYFUNCTION("""COMPUTED_VALUE"""),11530.0)</f>
        <v>11530</v>
      </c>
      <c r="E1568" s="1">
        <f>IFERROR(__xludf.DUMMYFUNCTION("""COMPUTED_VALUE"""),11700.0)</f>
        <v>11700</v>
      </c>
      <c r="F1568" s="1">
        <f>IFERROR(__xludf.DUMMYFUNCTION("""COMPUTED_VALUE"""),8121.0)</f>
        <v>8121</v>
      </c>
    </row>
    <row r="1569">
      <c r="A1569" s="2">
        <f>IFERROR(__xludf.DUMMYFUNCTION("""COMPUTED_VALUE"""),45180.64583333333)</f>
        <v>45180.64583</v>
      </c>
      <c r="B1569" s="1">
        <f>IFERROR(__xludf.DUMMYFUNCTION("""COMPUTED_VALUE"""),11730.0)</f>
        <v>11730</v>
      </c>
      <c r="C1569" s="1">
        <f>IFERROR(__xludf.DUMMYFUNCTION("""COMPUTED_VALUE"""),11730.0)</f>
        <v>11730</v>
      </c>
      <c r="D1569" s="1">
        <f>IFERROR(__xludf.DUMMYFUNCTION("""COMPUTED_VALUE"""),11480.0)</f>
        <v>11480</v>
      </c>
      <c r="E1569" s="1">
        <f>IFERROR(__xludf.DUMMYFUNCTION("""COMPUTED_VALUE"""),11680.0)</f>
        <v>11680</v>
      </c>
      <c r="F1569" s="1">
        <f>IFERROR(__xludf.DUMMYFUNCTION("""COMPUTED_VALUE"""),15467.0)</f>
        <v>15467</v>
      </c>
    </row>
    <row r="1570">
      <c r="A1570" s="2">
        <f>IFERROR(__xludf.DUMMYFUNCTION("""COMPUTED_VALUE"""),45181.64583333333)</f>
        <v>45181.64583</v>
      </c>
      <c r="B1570" s="1">
        <f>IFERROR(__xludf.DUMMYFUNCTION("""COMPUTED_VALUE"""),11710.0)</f>
        <v>11710</v>
      </c>
      <c r="C1570" s="1">
        <f>IFERROR(__xludf.DUMMYFUNCTION("""COMPUTED_VALUE"""),11710.0)</f>
        <v>11710</v>
      </c>
      <c r="D1570" s="1">
        <f>IFERROR(__xludf.DUMMYFUNCTION("""COMPUTED_VALUE"""),11480.0)</f>
        <v>11480</v>
      </c>
      <c r="E1570" s="1">
        <f>IFERROR(__xludf.DUMMYFUNCTION("""COMPUTED_VALUE"""),11650.0)</f>
        <v>11650</v>
      </c>
      <c r="F1570" s="1">
        <f>IFERROR(__xludf.DUMMYFUNCTION("""COMPUTED_VALUE"""),12505.0)</f>
        <v>12505</v>
      </c>
    </row>
    <row r="1571">
      <c r="A1571" s="2">
        <f>IFERROR(__xludf.DUMMYFUNCTION("""COMPUTED_VALUE"""),45182.64583333333)</f>
        <v>45182.64583</v>
      </c>
      <c r="B1571" s="1">
        <f>IFERROR(__xludf.DUMMYFUNCTION("""COMPUTED_VALUE"""),11690.0)</f>
        <v>11690</v>
      </c>
      <c r="C1571" s="1">
        <f>IFERROR(__xludf.DUMMYFUNCTION("""COMPUTED_VALUE"""),11850.0)</f>
        <v>11850</v>
      </c>
      <c r="D1571" s="1">
        <f>IFERROR(__xludf.DUMMYFUNCTION("""COMPUTED_VALUE"""),11490.0)</f>
        <v>11490</v>
      </c>
      <c r="E1571" s="1">
        <f>IFERROR(__xludf.DUMMYFUNCTION("""COMPUTED_VALUE"""),11630.0)</f>
        <v>11630</v>
      </c>
      <c r="F1571" s="1">
        <f>IFERROR(__xludf.DUMMYFUNCTION("""COMPUTED_VALUE"""),44432.0)</f>
        <v>44432</v>
      </c>
    </row>
    <row r="1572">
      <c r="A1572" s="2">
        <f>IFERROR(__xludf.DUMMYFUNCTION("""COMPUTED_VALUE"""),45183.64583333333)</f>
        <v>45183.64583</v>
      </c>
      <c r="B1572" s="1">
        <f>IFERROR(__xludf.DUMMYFUNCTION("""COMPUTED_VALUE"""),11530.0)</f>
        <v>11530</v>
      </c>
      <c r="C1572" s="1">
        <f>IFERROR(__xludf.DUMMYFUNCTION("""COMPUTED_VALUE"""),11730.0)</f>
        <v>11730</v>
      </c>
      <c r="D1572" s="1">
        <f>IFERROR(__xludf.DUMMYFUNCTION("""COMPUTED_VALUE"""),11490.0)</f>
        <v>11490</v>
      </c>
      <c r="E1572" s="1">
        <f>IFERROR(__xludf.DUMMYFUNCTION("""COMPUTED_VALUE"""),11650.0)</f>
        <v>11650</v>
      </c>
      <c r="F1572" s="1">
        <f>IFERROR(__xludf.DUMMYFUNCTION("""COMPUTED_VALUE"""),18455.0)</f>
        <v>18455</v>
      </c>
    </row>
    <row r="1573">
      <c r="A1573" s="2">
        <f>IFERROR(__xludf.DUMMYFUNCTION("""COMPUTED_VALUE"""),45184.64583333333)</f>
        <v>45184.64583</v>
      </c>
      <c r="B1573" s="1">
        <f>IFERROR(__xludf.DUMMYFUNCTION("""COMPUTED_VALUE"""),11600.0)</f>
        <v>11600</v>
      </c>
      <c r="C1573" s="1">
        <f>IFERROR(__xludf.DUMMYFUNCTION("""COMPUTED_VALUE"""),11650.0)</f>
        <v>11650</v>
      </c>
      <c r="D1573" s="1">
        <f>IFERROR(__xludf.DUMMYFUNCTION("""COMPUTED_VALUE"""),11490.0)</f>
        <v>11490</v>
      </c>
      <c r="E1573" s="1">
        <f>IFERROR(__xludf.DUMMYFUNCTION("""COMPUTED_VALUE"""),11600.0)</f>
        <v>11600</v>
      </c>
      <c r="F1573" s="1">
        <f>IFERROR(__xludf.DUMMYFUNCTION("""COMPUTED_VALUE"""),18011.0)</f>
        <v>18011</v>
      </c>
    </row>
    <row r="1574">
      <c r="A1574" s="2">
        <f>IFERROR(__xludf.DUMMYFUNCTION("""COMPUTED_VALUE"""),45187.64583333333)</f>
        <v>45187.64583</v>
      </c>
      <c r="B1574" s="1">
        <f>IFERROR(__xludf.DUMMYFUNCTION("""COMPUTED_VALUE"""),11550.0)</f>
        <v>11550</v>
      </c>
      <c r="C1574" s="1">
        <f>IFERROR(__xludf.DUMMYFUNCTION("""COMPUTED_VALUE"""),11690.0)</f>
        <v>11690</v>
      </c>
      <c r="D1574" s="1">
        <f>IFERROR(__xludf.DUMMYFUNCTION("""COMPUTED_VALUE"""),11480.0)</f>
        <v>11480</v>
      </c>
      <c r="E1574" s="1">
        <f>IFERROR(__xludf.DUMMYFUNCTION("""COMPUTED_VALUE"""),11540.0)</f>
        <v>11540</v>
      </c>
      <c r="F1574" s="1">
        <f>IFERROR(__xludf.DUMMYFUNCTION("""COMPUTED_VALUE"""),17998.0)</f>
        <v>17998</v>
      </c>
    </row>
    <row r="1575">
      <c r="A1575" s="2">
        <f>IFERROR(__xludf.DUMMYFUNCTION("""COMPUTED_VALUE"""),45188.64583333333)</f>
        <v>45188.64583</v>
      </c>
      <c r="B1575" s="1">
        <f>IFERROR(__xludf.DUMMYFUNCTION("""COMPUTED_VALUE"""),11450.0)</f>
        <v>11450</v>
      </c>
      <c r="C1575" s="1">
        <f>IFERROR(__xludf.DUMMYFUNCTION("""COMPUTED_VALUE"""),11590.0)</f>
        <v>11590</v>
      </c>
      <c r="D1575" s="1">
        <f>IFERROR(__xludf.DUMMYFUNCTION("""COMPUTED_VALUE"""),11390.0)</f>
        <v>11390</v>
      </c>
      <c r="E1575" s="1">
        <f>IFERROR(__xludf.DUMMYFUNCTION("""COMPUTED_VALUE"""),11470.0)</f>
        <v>11470</v>
      </c>
      <c r="F1575" s="1">
        <f>IFERROR(__xludf.DUMMYFUNCTION("""COMPUTED_VALUE"""),23989.0)</f>
        <v>23989</v>
      </c>
    </row>
    <row r="1576">
      <c r="A1576" s="2">
        <f>IFERROR(__xludf.DUMMYFUNCTION("""COMPUTED_VALUE"""),45189.64583333333)</f>
        <v>45189.64583</v>
      </c>
      <c r="B1576" s="1">
        <f>IFERROR(__xludf.DUMMYFUNCTION("""COMPUTED_VALUE"""),11580.0)</f>
        <v>11580</v>
      </c>
      <c r="C1576" s="1">
        <f>IFERROR(__xludf.DUMMYFUNCTION("""COMPUTED_VALUE"""),11580.0)</f>
        <v>11580</v>
      </c>
      <c r="D1576" s="1">
        <f>IFERROR(__xludf.DUMMYFUNCTION("""COMPUTED_VALUE"""),11250.0)</f>
        <v>11250</v>
      </c>
      <c r="E1576" s="1">
        <f>IFERROR(__xludf.DUMMYFUNCTION("""COMPUTED_VALUE"""),11330.0)</f>
        <v>11330</v>
      </c>
      <c r="F1576" s="1">
        <f>IFERROR(__xludf.DUMMYFUNCTION("""COMPUTED_VALUE"""),32514.0)</f>
        <v>32514</v>
      </c>
    </row>
    <row r="1577">
      <c r="A1577" s="2">
        <f>IFERROR(__xludf.DUMMYFUNCTION("""COMPUTED_VALUE"""),45190.64583333333)</f>
        <v>45190.64583</v>
      </c>
      <c r="B1577" s="1">
        <f>IFERROR(__xludf.DUMMYFUNCTION("""COMPUTED_VALUE"""),11330.0)</f>
        <v>11330</v>
      </c>
      <c r="C1577" s="1">
        <f>IFERROR(__xludf.DUMMYFUNCTION("""COMPUTED_VALUE"""),11360.0)</f>
        <v>11360</v>
      </c>
      <c r="D1577" s="1">
        <f>IFERROR(__xludf.DUMMYFUNCTION("""COMPUTED_VALUE"""),10810.0)</f>
        <v>10810</v>
      </c>
      <c r="E1577" s="1">
        <f>IFERROR(__xludf.DUMMYFUNCTION("""COMPUTED_VALUE"""),11040.0)</f>
        <v>11040</v>
      </c>
      <c r="F1577" s="1">
        <f>IFERROR(__xludf.DUMMYFUNCTION("""COMPUTED_VALUE"""),34136.0)</f>
        <v>34136</v>
      </c>
    </row>
    <row r="1578">
      <c r="A1578" s="2">
        <f>IFERROR(__xludf.DUMMYFUNCTION("""COMPUTED_VALUE"""),45191.64583333333)</f>
        <v>45191.64583</v>
      </c>
      <c r="B1578" s="1">
        <f>IFERROR(__xludf.DUMMYFUNCTION("""COMPUTED_VALUE"""),10740.0)</f>
        <v>10740</v>
      </c>
      <c r="C1578" s="1">
        <f>IFERROR(__xludf.DUMMYFUNCTION("""COMPUTED_VALUE"""),11040.0)</f>
        <v>11040</v>
      </c>
      <c r="D1578" s="1">
        <f>IFERROR(__xludf.DUMMYFUNCTION("""COMPUTED_VALUE"""),10710.0)</f>
        <v>10710</v>
      </c>
      <c r="E1578" s="1">
        <f>IFERROR(__xludf.DUMMYFUNCTION("""COMPUTED_VALUE"""),11020.0)</f>
        <v>11020</v>
      </c>
      <c r="F1578" s="1">
        <f>IFERROR(__xludf.DUMMYFUNCTION("""COMPUTED_VALUE"""),24118.0)</f>
        <v>24118</v>
      </c>
    </row>
    <row r="1579">
      <c r="A1579" s="2">
        <f>IFERROR(__xludf.DUMMYFUNCTION("""COMPUTED_VALUE"""),45194.64583333333)</f>
        <v>45194.64583</v>
      </c>
      <c r="B1579" s="1">
        <f>IFERROR(__xludf.DUMMYFUNCTION("""COMPUTED_VALUE"""),11100.0)</f>
        <v>11100</v>
      </c>
      <c r="C1579" s="1">
        <f>IFERROR(__xludf.DUMMYFUNCTION("""COMPUTED_VALUE"""),11100.0)</f>
        <v>11100</v>
      </c>
      <c r="D1579" s="1">
        <f>IFERROR(__xludf.DUMMYFUNCTION("""COMPUTED_VALUE"""),10830.0)</f>
        <v>10830</v>
      </c>
      <c r="E1579" s="1">
        <f>IFERROR(__xludf.DUMMYFUNCTION("""COMPUTED_VALUE"""),11020.0)</f>
        <v>11020</v>
      </c>
      <c r="F1579" s="1">
        <f>IFERROR(__xludf.DUMMYFUNCTION("""COMPUTED_VALUE"""),7524.0)</f>
        <v>7524</v>
      </c>
    </row>
    <row r="1580">
      <c r="A1580" s="2">
        <f>IFERROR(__xludf.DUMMYFUNCTION("""COMPUTED_VALUE"""),45195.64583333333)</f>
        <v>45195.64583</v>
      </c>
      <c r="B1580" s="1">
        <f>IFERROR(__xludf.DUMMYFUNCTION("""COMPUTED_VALUE"""),10830.0)</f>
        <v>10830</v>
      </c>
      <c r="C1580" s="1">
        <f>IFERROR(__xludf.DUMMYFUNCTION("""COMPUTED_VALUE"""),11040.0)</f>
        <v>11040</v>
      </c>
      <c r="D1580" s="1">
        <f>IFERROR(__xludf.DUMMYFUNCTION("""COMPUTED_VALUE"""),10820.0)</f>
        <v>10820</v>
      </c>
      <c r="E1580" s="1">
        <f>IFERROR(__xludf.DUMMYFUNCTION("""COMPUTED_VALUE"""),11000.0)</f>
        <v>11000</v>
      </c>
      <c r="F1580" s="1">
        <f>IFERROR(__xludf.DUMMYFUNCTION("""COMPUTED_VALUE"""),9969.0)</f>
        <v>9969</v>
      </c>
    </row>
    <row r="1581">
      <c r="A1581" s="2">
        <f>IFERROR(__xludf.DUMMYFUNCTION("""COMPUTED_VALUE"""),45196.64583333333)</f>
        <v>45196.64583</v>
      </c>
      <c r="B1581" s="1">
        <f>IFERROR(__xludf.DUMMYFUNCTION("""COMPUTED_VALUE"""),11360.0)</f>
        <v>11360</v>
      </c>
      <c r="C1581" s="1">
        <f>IFERROR(__xludf.DUMMYFUNCTION("""COMPUTED_VALUE"""),11360.0)</f>
        <v>11360</v>
      </c>
      <c r="D1581" s="1">
        <f>IFERROR(__xludf.DUMMYFUNCTION("""COMPUTED_VALUE"""),10860.0)</f>
        <v>10860</v>
      </c>
      <c r="E1581" s="1">
        <f>IFERROR(__xludf.DUMMYFUNCTION("""COMPUTED_VALUE"""),11090.0)</f>
        <v>11090</v>
      </c>
      <c r="F1581" s="1">
        <f>IFERROR(__xludf.DUMMYFUNCTION("""COMPUTED_VALUE"""),3959.0)</f>
        <v>3959</v>
      </c>
    </row>
    <row r="1582">
      <c r="A1582" s="2">
        <f>IFERROR(__xludf.DUMMYFUNCTION("""COMPUTED_VALUE"""),45203.64583333333)</f>
        <v>45203.64583</v>
      </c>
      <c r="B1582" s="1">
        <f>IFERROR(__xludf.DUMMYFUNCTION("""COMPUTED_VALUE"""),10810.0)</f>
        <v>10810</v>
      </c>
      <c r="C1582" s="1">
        <f>IFERROR(__xludf.DUMMYFUNCTION("""COMPUTED_VALUE"""),11200.0)</f>
        <v>11200</v>
      </c>
      <c r="D1582" s="1">
        <f>IFERROR(__xludf.DUMMYFUNCTION("""COMPUTED_VALUE"""),10810.0)</f>
        <v>10810</v>
      </c>
      <c r="E1582" s="1">
        <f>IFERROR(__xludf.DUMMYFUNCTION("""COMPUTED_VALUE"""),10890.0)</f>
        <v>10890</v>
      </c>
      <c r="F1582" s="1">
        <f>IFERROR(__xludf.DUMMYFUNCTION("""COMPUTED_VALUE"""),8324.0)</f>
        <v>8324</v>
      </c>
    </row>
    <row r="1583">
      <c r="A1583" s="2">
        <f>IFERROR(__xludf.DUMMYFUNCTION("""COMPUTED_VALUE"""),45204.64583333333)</f>
        <v>45204.64583</v>
      </c>
      <c r="B1583" s="1">
        <f>IFERROR(__xludf.DUMMYFUNCTION("""COMPUTED_VALUE"""),10880.0)</f>
        <v>10880</v>
      </c>
      <c r="C1583" s="1">
        <f>IFERROR(__xludf.DUMMYFUNCTION("""COMPUTED_VALUE"""),11380.0)</f>
        <v>11380</v>
      </c>
      <c r="D1583" s="1">
        <f>IFERROR(__xludf.DUMMYFUNCTION("""COMPUTED_VALUE"""),10520.0)</f>
        <v>10520</v>
      </c>
      <c r="E1583" s="1">
        <f>IFERROR(__xludf.DUMMYFUNCTION("""COMPUTED_VALUE"""),10920.0)</f>
        <v>10920</v>
      </c>
      <c r="F1583" s="1">
        <f>IFERROR(__xludf.DUMMYFUNCTION("""COMPUTED_VALUE"""),23492.0)</f>
        <v>23492</v>
      </c>
    </row>
    <row r="1584">
      <c r="A1584" s="2">
        <f>IFERROR(__xludf.DUMMYFUNCTION("""COMPUTED_VALUE"""),45205.64583333333)</f>
        <v>45205.64583</v>
      </c>
      <c r="B1584" s="1">
        <f>IFERROR(__xludf.DUMMYFUNCTION("""COMPUTED_VALUE"""),10590.0)</f>
        <v>10590</v>
      </c>
      <c r="C1584" s="1">
        <f>IFERROR(__xludf.DUMMYFUNCTION("""COMPUTED_VALUE"""),11000.0)</f>
        <v>11000</v>
      </c>
      <c r="D1584" s="1">
        <f>IFERROR(__xludf.DUMMYFUNCTION("""COMPUTED_VALUE"""),10590.0)</f>
        <v>10590</v>
      </c>
      <c r="E1584" s="1">
        <f>IFERROR(__xludf.DUMMYFUNCTION("""COMPUTED_VALUE"""),11000.0)</f>
        <v>11000</v>
      </c>
      <c r="F1584" s="1">
        <f>IFERROR(__xludf.DUMMYFUNCTION("""COMPUTED_VALUE"""),8210.0)</f>
        <v>8210</v>
      </c>
    </row>
    <row r="1585">
      <c r="A1585" s="2">
        <f>IFERROR(__xludf.DUMMYFUNCTION("""COMPUTED_VALUE"""),45209.64583333333)</f>
        <v>45209.64583</v>
      </c>
      <c r="B1585" s="1">
        <f>IFERROR(__xludf.DUMMYFUNCTION("""COMPUTED_VALUE"""),11000.0)</f>
        <v>11000</v>
      </c>
      <c r="C1585" s="1">
        <f>IFERROR(__xludf.DUMMYFUNCTION("""COMPUTED_VALUE"""),11000.0)</f>
        <v>11000</v>
      </c>
      <c r="D1585" s="1">
        <f>IFERROR(__xludf.DUMMYFUNCTION("""COMPUTED_VALUE"""),10550.0)</f>
        <v>10550</v>
      </c>
      <c r="E1585" s="1">
        <f>IFERROR(__xludf.DUMMYFUNCTION("""COMPUTED_VALUE"""),10860.0)</f>
        <v>10860</v>
      </c>
      <c r="F1585" s="1">
        <f>IFERROR(__xludf.DUMMYFUNCTION("""COMPUTED_VALUE"""),20459.0)</f>
        <v>20459</v>
      </c>
    </row>
    <row r="1586">
      <c r="A1586" s="2">
        <f>IFERROR(__xludf.DUMMYFUNCTION("""COMPUTED_VALUE"""),45210.64583333333)</f>
        <v>45210.64583</v>
      </c>
      <c r="B1586" s="1">
        <f>IFERROR(__xludf.DUMMYFUNCTION("""COMPUTED_VALUE"""),10860.0)</f>
        <v>10860</v>
      </c>
      <c r="C1586" s="1">
        <f>IFERROR(__xludf.DUMMYFUNCTION("""COMPUTED_VALUE"""),11210.0)</f>
        <v>11210</v>
      </c>
      <c r="D1586" s="1">
        <f>IFERROR(__xludf.DUMMYFUNCTION("""COMPUTED_VALUE"""),10850.0)</f>
        <v>10850</v>
      </c>
      <c r="E1586" s="1">
        <f>IFERROR(__xludf.DUMMYFUNCTION("""COMPUTED_VALUE"""),11010.0)</f>
        <v>11010</v>
      </c>
      <c r="F1586" s="1">
        <f>IFERROR(__xludf.DUMMYFUNCTION("""COMPUTED_VALUE"""),4664.0)</f>
        <v>4664</v>
      </c>
    </row>
    <row r="1587">
      <c r="A1587" s="2">
        <f>IFERROR(__xludf.DUMMYFUNCTION("""COMPUTED_VALUE"""),45211.64583333333)</f>
        <v>45211.64583</v>
      </c>
      <c r="B1587" s="1">
        <f>IFERROR(__xludf.DUMMYFUNCTION("""COMPUTED_VALUE"""),10930.0)</f>
        <v>10930</v>
      </c>
      <c r="C1587" s="1">
        <f>IFERROR(__xludf.DUMMYFUNCTION("""COMPUTED_VALUE"""),11250.0)</f>
        <v>11250</v>
      </c>
      <c r="D1587" s="1">
        <f>IFERROR(__xludf.DUMMYFUNCTION("""COMPUTED_VALUE"""),10850.0)</f>
        <v>10850</v>
      </c>
      <c r="E1587" s="1">
        <f>IFERROR(__xludf.DUMMYFUNCTION("""COMPUTED_VALUE"""),11010.0)</f>
        <v>11010</v>
      </c>
      <c r="F1587" s="1">
        <f>IFERROR(__xludf.DUMMYFUNCTION("""COMPUTED_VALUE"""),1772.0)</f>
        <v>1772</v>
      </c>
    </row>
    <row r="1588">
      <c r="A1588" s="2">
        <f>IFERROR(__xludf.DUMMYFUNCTION("""COMPUTED_VALUE"""),45212.64583333333)</f>
        <v>45212.64583</v>
      </c>
      <c r="B1588" s="1">
        <f>IFERROR(__xludf.DUMMYFUNCTION("""COMPUTED_VALUE"""),11020.0)</f>
        <v>11020</v>
      </c>
      <c r="C1588" s="1">
        <f>IFERROR(__xludf.DUMMYFUNCTION("""COMPUTED_VALUE"""),11160.0)</f>
        <v>11160</v>
      </c>
      <c r="D1588" s="1">
        <f>IFERROR(__xludf.DUMMYFUNCTION("""COMPUTED_VALUE"""),10790.0)</f>
        <v>10790</v>
      </c>
      <c r="E1588" s="1">
        <f>IFERROR(__xludf.DUMMYFUNCTION("""COMPUTED_VALUE"""),11000.0)</f>
        <v>11000</v>
      </c>
      <c r="F1588" s="1">
        <f>IFERROR(__xludf.DUMMYFUNCTION("""COMPUTED_VALUE"""),4643.0)</f>
        <v>4643</v>
      </c>
    </row>
    <row r="1589">
      <c r="A1589" s="2">
        <f>IFERROR(__xludf.DUMMYFUNCTION("""COMPUTED_VALUE"""),45215.64583333333)</f>
        <v>45215.64583</v>
      </c>
      <c r="B1589" s="1">
        <f>IFERROR(__xludf.DUMMYFUNCTION("""COMPUTED_VALUE"""),11010.0)</f>
        <v>11010</v>
      </c>
      <c r="C1589" s="1">
        <f>IFERROR(__xludf.DUMMYFUNCTION("""COMPUTED_VALUE"""),11180.0)</f>
        <v>11180</v>
      </c>
      <c r="D1589" s="1">
        <f>IFERROR(__xludf.DUMMYFUNCTION("""COMPUTED_VALUE"""),10740.0)</f>
        <v>10740</v>
      </c>
      <c r="E1589" s="1">
        <f>IFERROR(__xludf.DUMMYFUNCTION("""COMPUTED_VALUE"""),10860.0)</f>
        <v>10860</v>
      </c>
      <c r="F1589" s="1">
        <f>IFERROR(__xludf.DUMMYFUNCTION("""COMPUTED_VALUE"""),8230.0)</f>
        <v>8230</v>
      </c>
    </row>
    <row r="1590">
      <c r="A1590" s="2">
        <f>IFERROR(__xludf.DUMMYFUNCTION("""COMPUTED_VALUE"""),45216.64583333333)</f>
        <v>45216.64583</v>
      </c>
      <c r="B1590" s="1">
        <f>IFERROR(__xludf.DUMMYFUNCTION("""COMPUTED_VALUE"""),11240.0)</f>
        <v>11240</v>
      </c>
      <c r="C1590" s="1">
        <f>IFERROR(__xludf.DUMMYFUNCTION("""COMPUTED_VALUE"""),11240.0)</f>
        <v>11240</v>
      </c>
      <c r="D1590" s="1">
        <f>IFERROR(__xludf.DUMMYFUNCTION("""COMPUTED_VALUE"""),10750.0)</f>
        <v>10750</v>
      </c>
      <c r="E1590" s="1">
        <f>IFERROR(__xludf.DUMMYFUNCTION("""COMPUTED_VALUE"""),10940.0)</f>
        <v>10940</v>
      </c>
      <c r="F1590" s="1">
        <f>IFERROR(__xludf.DUMMYFUNCTION("""COMPUTED_VALUE"""),6827.0)</f>
        <v>6827</v>
      </c>
    </row>
    <row r="1591">
      <c r="A1591" s="2">
        <f>IFERROR(__xludf.DUMMYFUNCTION("""COMPUTED_VALUE"""),45217.64583333333)</f>
        <v>45217.64583</v>
      </c>
      <c r="B1591" s="1">
        <f>IFERROR(__xludf.DUMMYFUNCTION("""COMPUTED_VALUE"""),10400.0)</f>
        <v>10400</v>
      </c>
      <c r="C1591" s="1">
        <f>IFERROR(__xludf.DUMMYFUNCTION("""COMPUTED_VALUE"""),11160.0)</f>
        <v>11160</v>
      </c>
      <c r="D1591" s="1">
        <f>IFERROR(__xludf.DUMMYFUNCTION("""COMPUTED_VALUE"""),10400.0)</f>
        <v>10400</v>
      </c>
      <c r="E1591" s="1">
        <f>IFERROR(__xludf.DUMMYFUNCTION("""COMPUTED_VALUE"""),11090.0)</f>
        <v>11090</v>
      </c>
      <c r="F1591" s="1">
        <f>IFERROR(__xludf.DUMMYFUNCTION("""COMPUTED_VALUE"""),12317.0)</f>
        <v>12317</v>
      </c>
    </row>
    <row r="1592">
      <c r="A1592" s="2">
        <f>IFERROR(__xludf.DUMMYFUNCTION("""COMPUTED_VALUE"""),45218.64583333333)</f>
        <v>45218.64583</v>
      </c>
      <c r="B1592" s="1">
        <f>IFERROR(__xludf.DUMMYFUNCTION("""COMPUTED_VALUE"""),10980.0)</f>
        <v>10980</v>
      </c>
      <c r="C1592" s="1">
        <f>IFERROR(__xludf.DUMMYFUNCTION("""COMPUTED_VALUE"""),11120.0)</f>
        <v>11120</v>
      </c>
      <c r="D1592" s="1">
        <f>IFERROR(__xludf.DUMMYFUNCTION("""COMPUTED_VALUE"""),10530.0)</f>
        <v>10530</v>
      </c>
      <c r="E1592" s="1">
        <f>IFERROR(__xludf.DUMMYFUNCTION("""COMPUTED_VALUE"""),10620.0)</f>
        <v>10620</v>
      </c>
      <c r="F1592" s="1">
        <f>IFERROR(__xludf.DUMMYFUNCTION("""COMPUTED_VALUE"""),15220.0)</f>
        <v>15220</v>
      </c>
    </row>
    <row r="1593">
      <c r="A1593" s="2">
        <f>IFERROR(__xludf.DUMMYFUNCTION("""COMPUTED_VALUE"""),45219.64583333333)</f>
        <v>45219.64583</v>
      </c>
      <c r="B1593" s="1">
        <f>IFERROR(__xludf.DUMMYFUNCTION("""COMPUTED_VALUE"""),10620.0)</f>
        <v>10620</v>
      </c>
      <c r="C1593" s="1">
        <f>IFERROR(__xludf.DUMMYFUNCTION("""COMPUTED_VALUE"""),10900.0)</f>
        <v>10900</v>
      </c>
      <c r="D1593" s="1">
        <f>IFERROR(__xludf.DUMMYFUNCTION("""COMPUTED_VALUE"""),9850.0)</f>
        <v>9850</v>
      </c>
      <c r="E1593" s="1">
        <f>IFERROR(__xludf.DUMMYFUNCTION("""COMPUTED_VALUE"""),10780.0)</f>
        <v>10780</v>
      </c>
      <c r="F1593" s="1">
        <f>IFERROR(__xludf.DUMMYFUNCTION("""COMPUTED_VALUE"""),44618.0)</f>
        <v>44618</v>
      </c>
    </row>
    <row r="1594">
      <c r="A1594" s="2">
        <f>IFERROR(__xludf.DUMMYFUNCTION("""COMPUTED_VALUE"""),45222.64583333333)</f>
        <v>45222.64583</v>
      </c>
      <c r="B1594" s="1">
        <f>IFERROR(__xludf.DUMMYFUNCTION("""COMPUTED_VALUE"""),10780.0)</f>
        <v>10780</v>
      </c>
      <c r="C1594" s="1">
        <f>IFERROR(__xludf.DUMMYFUNCTION("""COMPUTED_VALUE"""),10780.0)</f>
        <v>10780</v>
      </c>
      <c r="D1594" s="1">
        <f>IFERROR(__xludf.DUMMYFUNCTION("""COMPUTED_VALUE"""),10340.0)</f>
        <v>10340</v>
      </c>
      <c r="E1594" s="1">
        <f>IFERROR(__xludf.DUMMYFUNCTION("""COMPUTED_VALUE"""),10730.0)</f>
        <v>10730</v>
      </c>
      <c r="F1594" s="1">
        <f>IFERROR(__xludf.DUMMYFUNCTION("""COMPUTED_VALUE"""),11392.0)</f>
        <v>11392</v>
      </c>
    </row>
    <row r="1595">
      <c r="A1595" s="2">
        <f>IFERROR(__xludf.DUMMYFUNCTION("""COMPUTED_VALUE"""),45223.64583333333)</f>
        <v>45223.64583</v>
      </c>
      <c r="B1595" s="1">
        <f>IFERROR(__xludf.DUMMYFUNCTION("""COMPUTED_VALUE"""),10530.0)</f>
        <v>10530</v>
      </c>
      <c r="C1595" s="1">
        <f>IFERROR(__xludf.DUMMYFUNCTION("""COMPUTED_VALUE"""),10900.0)</f>
        <v>10900</v>
      </c>
      <c r="D1595" s="1">
        <f>IFERROR(__xludf.DUMMYFUNCTION("""COMPUTED_VALUE"""),10050.0)</f>
        <v>10050</v>
      </c>
      <c r="E1595" s="1">
        <f>IFERROR(__xludf.DUMMYFUNCTION("""COMPUTED_VALUE"""),10760.0)</f>
        <v>10760</v>
      </c>
      <c r="F1595" s="1">
        <f>IFERROR(__xludf.DUMMYFUNCTION("""COMPUTED_VALUE"""),19331.0)</f>
        <v>19331</v>
      </c>
    </row>
    <row r="1596">
      <c r="A1596" s="2">
        <f>IFERROR(__xludf.DUMMYFUNCTION("""COMPUTED_VALUE"""),45224.64583333333)</f>
        <v>45224.64583</v>
      </c>
      <c r="B1596" s="1">
        <f>IFERROR(__xludf.DUMMYFUNCTION("""COMPUTED_VALUE"""),10760.0)</f>
        <v>10760</v>
      </c>
      <c r="C1596" s="1">
        <f>IFERROR(__xludf.DUMMYFUNCTION("""COMPUTED_VALUE"""),10760.0)</f>
        <v>10760</v>
      </c>
      <c r="D1596" s="1">
        <f>IFERROR(__xludf.DUMMYFUNCTION("""COMPUTED_VALUE"""),10300.0)</f>
        <v>10300</v>
      </c>
      <c r="E1596" s="1">
        <f>IFERROR(__xludf.DUMMYFUNCTION("""COMPUTED_VALUE"""),10740.0)</f>
        <v>10740</v>
      </c>
      <c r="F1596" s="1">
        <f>IFERROR(__xludf.DUMMYFUNCTION("""COMPUTED_VALUE"""),6131.0)</f>
        <v>6131</v>
      </c>
    </row>
    <row r="1597">
      <c r="A1597" s="2">
        <f>IFERROR(__xludf.DUMMYFUNCTION("""COMPUTED_VALUE"""),45225.64583333333)</f>
        <v>45225.64583</v>
      </c>
      <c r="B1597" s="1">
        <f>IFERROR(__xludf.DUMMYFUNCTION("""COMPUTED_VALUE"""),10500.0)</f>
        <v>10500</v>
      </c>
      <c r="C1597" s="1">
        <f>IFERROR(__xludf.DUMMYFUNCTION("""COMPUTED_VALUE"""),10690.0)</f>
        <v>10690</v>
      </c>
      <c r="D1597" s="1">
        <f>IFERROR(__xludf.DUMMYFUNCTION("""COMPUTED_VALUE"""),10200.0)</f>
        <v>10200</v>
      </c>
      <c r="E1597" s="1">
        <f>IFERROR(__xludf.DUMMYFUNCTION("""COMPUTED_VALUE"""),10630.0)</f>
        <v>10630</v>
      </c>
      <c r="F1597" s="1">
        <f>IFERROR(__xludf.DUMMYFUNCTION("""COMPUTED_VALUE"""),12764.0)</f>
        <v>12764</v>
      </c>
    </row>
    <row r="1598">
      <c r="A1598" s="2">
        <f>IFERROR(__xludf.DUMMYFUNCTION("""COMPUTED_VALUE"""),45226.64583333333)</f>
        <v>45226.64583</v>
      </c>
      <c r="B1598" s="1">
        <f>IFERROR(__xludf.DUMMYFUNCTION("""COMPUTED_VALUE"""),10300.0)</f>
        <v>10300</v>
      </c>
      <c r="C1598" s="1">
        <f>IFERROR(__xludf.DUMMYFUNCTION("""COMPUTED_VALUE"""),10700.0)</f>
        <v>10700</v>
      </c>
      <c r="D1598" s="1">
        <f>IFERROR(__xludf.DUMMYFUNCTION("""COMPUTED_VALUE"""),10080.0)</f>
        <v>10080</v>
      </c>
      <c r="E1598" s="1">
        <f>IFERROR(__xludf.DUMMYFUNCTION("""COMPUTED_VALUE"""),10640.0)</f>
        <v>10640</v>
      </c>
      <c r="F1598" s="1">
        <f>IFERROR(__xludf.DUMMYFUNCTION("""COMPUTED_VALUE"""),37069.0)</f>
        <v>37069</v>
      </c>
    </row>
    <row r="1599">
      <c r="A1599" s="2">
        <f>IFERROR(__xludf.DUMMYFUNCTION("""COMPUTED_VALUE"""),45229.64583333333)</f>
        <v>45229.64583</v>
      </c>
      <c r="B1599" s="1">
        <f>IFERROR(__xludf.DUMMYFUNCTION("""COMPUTED_VALUE"""),10610.0)</f>
        <v>10610</v>
      </c>
      <c r="C1599" s="1">
        <f>IFERROR(__xludf.DUMMYFUNCTION("""COMPUTED_VALUE"""),10640.0)</f>
        <v>10640</v>
      </c>
      <c r="D1599" s="1">
        <f>IFERROR(__xludf.DUMMYFUNCTION("""COMPUTED_VALUE"""),10220.0)</f>
        <v>10220</v>
      </c>
      <c r="E1599" s="1">
        <f>IFERROR(__xludf.DUMMYFUNCTION("""COMPUTED_VALUE"""),10640.0)</f>
        <v>10640</v>
      </c>
      <c r="F1599" s="1">
        <f>IFERROR(__xludf.DUMMYFUNCTION("""COMPUTED_VALUE"""),19224.0)</f>
        <v>19224</v>
      </c>
    </row>
    <row r="1600">
      <c r="A1600" s="2">
        <f>IFERROR(__xludf.DUMMYFUNCTION("""COMPUTED_VALUE"""),45230.64583333333)</f>
        <v>45230.64583</v>
      </c>
      <c r="B1600" s="1">
        <f>IFERROR(__xludf.DUMMYFUNCTION("""COMPUTED_VALUE"""),10630.0)</f>
        <v>10630</v>
      </c>
      <c r="C1600" s="1">
        <f>IFERROR(__xludf.DUMMYFUNCTION("""COMPUTED_VALUE"""),10650.0)</f>
        <v>10650</v>
      </c>
      <c r="D1600" s="1">
        <f>IFERROR(__xludf.DUMMYFUNCTION("""COMPUTED_VALUE"""),10360.0)</f>
        <v>10360</v>
      </c>
      <c r="E1600" s="1">
        <f>IFERROR(__xludf.DUMMYFUNCTION("""COMPUTED_VALUE"""),10650.0)</f>
        <v>10650</v>
      </c>
      <c r="F1600" s="1">
        <f>IFERROR(__xludf.DUMMYFUNCTION("""COMPUTED_VALUE"""),5484.0)</f>
        <v>5484</v>
      </c>
    </row>
    <row r="1601">
      <c r="A1601" s="2">
        <f>IFERROR(__xludf.DUMMYFUNCTION("""COMPUTED_VALUE"""),45231.64583333333)</f>
        <v>45231.64583</v>
      </c>
      <c r="B1601" s="1">
        <f>IFERROR(__xludf.DUMMYFUNCTION("""COMPUTED_VALUE"""),10640.0)</f>
        <v>10640</v>
      </c>
      <c r="C1601" s="1">
        <f>IFERROR(__xludf.DUMMYFUNCTION("""COMPUTED_VALUE"""),10650.0)</f>
        <v>10650</v>
      </c>
      <c r="D1601" s="1">
        <f>IFERROR(__xludf.DUMMYFUNCTION("""COMPUTED_VALUE"""),10360.0)</f>
        <v>10360</v>
      </c>
      <c r="E1601" s="1">
        <f>IFERROR(__xludf.DUMMYFUNCTION("""COMPUTED_VALUE"""),10630.0)</f>
        <v>10630</v>
      </c>
      <c r="F1601" s="1">
        <f>IFERROR(__xludf.DUMMYFUNCTION("""COMPUTED_VALUE"""),22287.0)</f>
        <v>22287</v>
      </c>
    </row>
    <row r="1602">
      <c r="A1602" s="2">
        <f>IFERROR(__xludf.DUMMYFUNCTION("""COMPUTED_VALUE"""),45232.64583333333)</f>
        <v>45232.64583</v>
      </c>
      <c r="B1602" s="1">
        <f>IFERROR(__xludf.DUMMYFUNCTION("""COMPUTED_VALUE"""),10540.0)</f>
        <v>10540</v>
      </c>
      <c r="C1602" s="1">
        <f>IFERROR(__xludf.DUMMYFUNCTION("""COMPUTED_VALUE"""),10630.0)</f>
        <v>10630</v>
      </c>
      <c r="D1602" s="1">
        <f>IFERROR(__xludf.DUMMYFUNCTION("""COMPUTED_VALUE"""),10410.0)</f>
        <v>10410</v>
      </c>
      <c r="E1602" s="1">
        <f>IFERROR(__xludf.DUMMYFUNCTION("""COMPUTED_VALUE"""),10610.0)</f>
        <v>10610</v>
      </c>
      <c r="F1602" s="1">
        <f>IFERROR(__xludf.DUMMYFUNCTION("""COMPUTED_VALUE"""),29257.0)</f>
        <v>29257</v>
      </c>
    </row>
    <row r="1603">
      <c r="A1603" s="2">
        <f>IFERROR(__xludf.DUMMYFUNCTION("""COMPUTED_VALUE"""),45233.64583333333)</f>
        <v>45233.64583</v>
      </c>
      <c r="B1603" s="1">
        <f>IFERROR(__xludf.DUMMYFUNCTION("""COMPUTED_VALUE"""),10650.0)</f>
        <v>10650</v>
      </c>
      <c r="C1603" s="1">
        <f>IFERROR(__xludf.DUMMYFUNCTION("""COMPUTED_VALUE"""),10780.0)</f>
        <v>10780</v>
      </c>
      <c r="D1603" s="1">
        <f>IFERROR(__xludf.DUMMYFUNCTION("""COMPUTED_VALUE"""),10470.0)</f>
        <v>10470</v>
      </c>
      <c r="E1603" s="1">
        <f>IFERROR(__xludf.DUMMYFUNCTION("""COMPUTED_VALUE"""),10770.0)</f>
        <v>10770</v>
      </c>
      <c r="F1603" s="1">
        <f>IFERROR(__xludf.DUMMYFUNCTION("""COMPUTED_VALUE"""),14890.0)</f>
        <v>14890</v>
      </c>
    </row>
    <row r="1604">
      <c r="A1604" s="2">
        <f>IFERROR(__xludf.DUMMYFUNCTION("""COMPUTED_VALUE"""),45236.64583333333)</f>
        <v>45236.64583</v>
      </c>
      <c r="B1604" s="1">
        <f>IFERROR(__xludf.DUMMYFUNCTION("""COMPUTED_VALUE"""),10900.0)</f>
        <v>10900</v>
      </c>
      <c r="C1604" s="1">
        <f>IFERROR(__xludf.DUMMYFUNCTION("""COMPUTED_VALUE"""),11150.0)</f>
        <v>11150</v>
      </c>
      <c r="D1604" s="1">
        <f>IFERROR(__xludf.DUMMYFUNCTION("""COMPUTED_VALUE"""),10770.0)</f>
        <v>10770</v>
      </c>
      <c r="E1604" s="1">
        <f>IFERROR(__xludf.DUMMYFUNCTION("""COMPUTED_VALUE"""),11100.0)</f>
        <v>11100</v>
      </c>
      <c r="F1604" s="1">
        <f>IFERROR(__xludf.DUMMYFUNCTION("""COMPUTED_VALUE"""),22047.0)</f>
        <v>22047</v>
      </c>
    </row>
    <row r="1605">
      <c r="A1605" s="2">
        <f>IFERROR(__xludf.DUMMYFUNCTION("""COMPUTED_VALUE"""),45237.64583333333)</f>
        <v>45237.64583</v>
      </c>
      <c r="B1605" s="1">
        <f>IFERROR(__xludf.DUMMYFUNCTION("""COMPUTED_VALUE"""),10990.0)</f>
        <v>10990</v>
      </c>
      <c r="C1605" s="1">
        <f>IFERROR(__xludf.DUMMYFUNCTION("""COMPUTED_VALUE"""),11140.0)</f>
        <v>11140</v>
      </c>
      <c r="D1605" s="1">
        <f>IFERROR(__xludf.DUMMYFUNCTION("""COMPUTED_VALUE"""),10990.0)</f>
        <v>10990</v>
      </c>
      <c r="E1605" s="1">
        <f>IFERROR(__xludf.DUMMYFUNCTION("""COMPUTED_VALUE"""),11100.0)</f>
        <v>11100</v>
      </c>
      <c r="F1605" s="1">
        <f>IFERROR(__xludf.DUMMYFUNCTION("""COMPUTED_VALUE"""),9143.0)</f>
        <v>9143</v>
      </c>
    </row>
    <row r="1606">
      <c r="A1606" s="2">
        <f>IFERROR(__xludf.DUMMYFUNCTION("""COMPUTED_VALUE"""),45238.64583333333)</f>
        <v>45238.64583</v>
      </c>
      <c r="B1606" s="1">
        <f>IFERROR(__xludf.DUMMYFUNCTION("""COMPUTED_VALUE"""),11000.0)</f>
        <v>11000</v>
      </c>
      <c r="C1606" s="1">
        <f>IFERROR(__xludf.DUMMYFUNCTION("""COMPUTED_VALUE"""),11150.0)</f>
        <v>11150</v>
      </c>
      <c r="D1606" s="1">
        <f>IFERROR(__xludf.DUMMYFUNCTION("""COMPUTED_VALUE"""),10710.0)</f>
        <v>10710</v>
      </c>
      <c r="E1606" s="1">
        <f>IFERROR(__xludf.DUMMYFUNCTION("""COMPUTED_VALUE"""),11150.0)</f>
        <v>11150</v>
      </c>
      <c r="F1606" s="1">
        <f>IFERROR(__xludf.DUMMYFUNCTION("""COMPUTED_VALUE"""),4774.0)</f>
        <v>4774</v>
      </c>
    </row>
    <row r="1607">
      <c r="A1607" s="2">
        <f>IFERROR(__xludf.DUMMYFUNCTION("""COMPUTED_VALUE"""),45239.64583333333)</f>
        <v>45239.64583</v>
      </c>
      <c r="B1607" s="1">
        <f>IFERROR(__xludf.DUMMYFUNCTION("""COMPUTED_VALUE"""),11150.0)</f>
        <v>11150</v>
      </c>
      <c r="C1607" s="1">
        <f>IFERROR(__xludf.DUMMYFUNCTION("""COMPUTED_VALUE"""),11350.0)</f>
        <v>11350</v>
      </c>
      <c r="D1607" s="1">
        <f>IFERROR(__xludf.DUMMYFUNCTION("""COMPUTED_VALUE"""),11010.0)</f>
        <v>11010</v>
      </c>
      <c r="E1607" s="1">
        <f>IFERROR(__xludf.DUMMYFUNCTION("""COMPUTED_VALUE"""),11200.0)</f>
        <v>11200</v>
      </c>
      <c r="F1607" s="1">
        <f>IFERROR(__xludf.DUMMYFUNCTION("""COMPUTED_VALUE"""),15026.0)</f>
        <v>15026</v>
      </c>
    </row>
    <row r="1608">
      <c r="A1608" s="2">
        <f>IFERROR(__xludf.DUMMYFUNCTION("""COMPUTED_VALUE"""),45240.64583333333)</f>
        <v>45240.64583</v>
      </c>
      <c r="B1608" s="1">
        <f>IFERROR(__xludf.DUMMYFUNCTION("""COMPUTED_VALUE"""),11210.0)</f>
        <v>11210</v>
      </c>
      <c r="C1608" s="1">
        <f>IFERROR(__xludf.DUMMYFUNCTION("""COMPUTED_VALUE"""),11350.0)</f>
        <v>11350</v>
      </c>
      <c r="D1608" s="1">
        <f>IFERROR(__xludf.DUMMYFUNCTION("""COMPUTED_VALUE"""),11090.0)</f>
        <v>11090</v>
      </c>
      <c r="E1608" s="1">
        <f>IFERROR(__xludf.DUMMYFUNCTION("""COMPUTED_VALUE"""),11210.0)</f>
        <v>11210</v>
      </c>
      <c r="F1608" s="1">
        <f>IFERROR(__xludf.DUMMYFUNCTION("""COMPUTED_VALUE"""),12733.0)</f>
        <v>12733</v>
      </c>
    </row>
    <row r="1609">
      <c r="A1609" s="2">
        <f>IFERROR(__xludf.DUMMYFUNCTION("""COMPUTED_VALUE"""),45243.64583333333)</f>
        <v>45243.64583</v>
      </c>
      <c r="B1609" s="1">
        <f>IFERROR(__xludf.DUMMYFUNCTION("""COMPUTED_VALUE"""),11360.0)</f>
        <v>11360</v>
      </c>
      <c r="C1609" s="1">
        <f>IFERROR(__xludf.DUMMYFUNCTION("""COMPUTED_VALUE"""),11360.0)</f>
        <v>11360</v>
      </c>
      <c r="D1609" s="1">
        <f>IFERROR(__xludf.DUMMYFUNCTION("""COMPUTED_VALUE"""),11120.0)</f>
        <v>11120</v>
      </c>
      <c r="E1609" s="1">
        <f>IFERROR(__xludf.DUMMYFUNCTION("""COMPUTED_VALUE"""),11260.0)</f>
        <v>11260</v>
      </c>
      <c r="F1609" s="1">
        <f>IFERROR(__xludf.DUMMYFUNCTION("""COMPUTED_VALUE"""),7517.0)</f>
        <v>7517</v>
      </c>
    </row>
    <row r="1610">
      <c r="A1610" s="2">
        <f>IFERROR(__xludf.DUMMYFUNCTION("""COMPUTED_VALUE"""),45244.64583333333)</f>
        <v>45244.64583</v>
      </c>
      <c r="B1610" s="1">
        <f>IFERROR(__xludf.DUMMYFUNCTION("""COMPUTED_VALUE"""),11120.0)</f>
        <v>11120</v>
      </c>
      <c r="C1610" s="1">
        <f>IFERROR(__xludf.DUMMYFUNCTION("""COMPUTED_VALUE"""),11270.0)</f>
        <v>11270</v>
      </c>
      <c r="D1610" s="1">
        <f>IFERROR(__xludf.DUMMYFUNCTION("""COMPUTED_VALUE"""),10990.0)</f>
        <v>10990</v>
      </c>
      <c r="E1610" s="1">
        <f>IFERROR(__xludf.DUMMYFUNCTION("""COMPUTED_VALUE"""),11080.0)</f>
        <v>11080</v>
      </c>
      <c r="F1610" s="1">
        <f>IFERROR(__xludf.DUMMYFUNCTION("""COMPUTED_VALUE"""),15171.0)</f>
        <v>15171</v>
      </c>
    </row>
    <row r="1611">
      <c r="A1611" s="2">
        <f>IFERROR(__xludf.DUMMYFUNCTION("""COMPUTED_VALUE"""),45245.64583333333)</f>
        <v>45245.64583</v>
      </c>
      <c r="B1611" s="1">
        <f>IFERROR(__xludf.DUMMYFUNCTION("""COMPUTED_VALUE"""),11140.0)</f>
        <v>11140</v>
      </c>
      <c r="C1611" s="1">
        <f>IFERROR(__xludf.DUMMYFUNCTION("""COMPUTED_VALUE"""),11140.0)</f>
        <v>11140</v>
      </c>
      <c r="D1611" s="1">
        <f>IFERROR(__xludf.DUMMYFUNCTION("""COMPUTED_VALUE"""),10740.0)</f>
        <v>10740</v>
      </c>
      <c r="E1611" s="1">
        <f>IFERROR(__xludf.DUMMYFUNCTION("""COMPUTED_VALUE"""),10740.0)</f>
        <v>10740</v>
      </c>
      <c r="F1611" s="1">
        <f>IFERROR(__xludf.DUMMYFUNCTION("""COMPUTED_VALUE"""),23500.0)</f>
        <v>23500</v>
      </c>
    </row>
    <row r="1612">
      <c r="A1612" s="2">
        <f>IFERROR(__xludf.DUMMYFUNCTION("""COMPUTED_VALUE"""),45246.64583333333)</f>
        <v>45246.64583</v>
      </c>
      <c r="B1612" s="1">
        <f>IFERROR(__xludf.DUMMYFUNCTION("""COMPUTED_VALUE"""),10740.0)</f>
        <v>10740</v>
      </c>
      <c r="C1612" s="1">
        <f>IFERROR(__xludf.DUMMYFUNCTION("""COMPUTED_VALUE"""),10780.0)</f>
        <v>10780</v>
      </c>
      <c r="D1612" s="1">
        <f>IFERROR(__xludf.DUMMYFUNCTION("""COMPUTED_VALUE"""),10590.0)</f>
        <v>10590</v>
      </c>
      <c r="E1612" s="1">
        <f>IFERROR(__xludf.DUMMYFUNCTION("""COMPUTED_VALUE"""),10710.0)</f>
        <v>10710</v>
      </c>
      <c r="F1612" s="1">
        <f>IFERROR(__xludf.DUMMYFUNCTION("""COMPUTED_VALUE"""),19360.0)</f>
        <v>19360</v>
      </c>
    </row>
    <row r="1613">
      <c r="A1613" s="2">
        <f>IFERROR(__xludf.DUMMYFUNCTION("""COMPUTED_VALUE"""),45247.64583333333)</f>
        <v>45247.64583</v>
      </c>
      <c r="B1613" s="1">
        <f>IFERROR(__xludf.DUMMYFUNCTION("""COMPUTED_VALUE"""),10700.0)</f>
        <v>10700</v>
      </c>
      <c r="C1613" s="1">
        <f>IFERROR(__xludf.DUMMYFUNCTION("""COMPUTED_VALUE"""),10700.0)</f>
        <v>10700</v>
      </c>
      <c r="D1613" s="1">
        <f>IFERROR(__xludf.DUMMYFUNCTION("""COMPUTED_VALUE"""),10380.0)</f>
        <v>10380</v>
      </c>
      <c r="E1613" s="1">
        <f>IFERROR(__xludf.DUMMYFUNCTION("""COMPUTED_VALUE"""),10580.0)</f>
        <v>10580</v>
      </c>
      <c r="F1613" s="1">
        <f>IFERROR(__xludf.DUMMYFUNCTION("""COMPUTED_VALUE"""),15354.0)</f>
        <v>15354</v>
      </c>
    </row>
    <row r="1614">
      <c r="A1614" s="2">
        <f>IFERROR(__xludf.DUMMYFUNCTION("""COMPUTED_VALUE"""),45250.64583333333)</f>
        <v>45250.64583</v>
      </c>
      <c r="B1614" s="1">
        <f>IFERROR(__xludf.DUMMYFUNCTION("""COMPUTED_VALUE"""),10330.0)</f>
        <v>10330</v>
      </c>
      <c r="C1614" s="1">
        <f>IFERROR(__xludf.DUMMYFUNCTION("""COMPUTED_VALUE"""),10600.0)</f>
        <v>10600</v>
      </c>
      <c r="D1614" s="1">
        <f>IFERROR(__xludf.DUMMYFUNCTION("""COMPUTED_VALUE"""),10330.0)</f>
        <v>10330</v>
      </c>
      <c r="E1614" s="1">
        <f>IFERROR(__xludf.DUMMYFUNCTION("""COMPUTED_VALUE"""),10410.0)</f>
        <v>10410</v>
      </c>
      <c r="F1614" s="1">
        <f>IFERROR(__xludf.DUMMYFUNCTION("""COMPUTED_VALUE"""),10292.0)</f>
        <v>10292</v>
      </c>
    </row>
    <row r="1615">
      <c r="A1615" s="2">
        <f>IFERROR(__xludf.DUMMYFUNCTION("""COMPUTED_VALUE"""),45251.64583333333)</f>
        <v>45251.64583</v>
      </c>
      <c r="B1615" s="1">
        <f>IFERROR(__xludf.DUMMYFUNCTION("""COMPUTED_VALUE"""),10360.0)</f>
        <v>10360</v>
      </c>
      <c r="C1615" s="1">
        <f>IFERROR(__xludf.DUMMYFUNCTION("""COMPUTED_VALUE"""),10470.0)</f>
        <v>10470</v>
      </c>
      <c r="D1615" s="1">
        <f>IFERROR(__xludf.DUMMYFUNCTION("""COMPUTED_VALUE"""),10220.0)</f>
        <v>10220</v>
      </c>
      <c r="E1615" s="1">
        <f>IFERROR(__xludf.DUMMYFUNCTION("""COMPUTED_VALUE"""),10430.0)</f>
        <v>10430</v>
      </c>
      <c r="F1615" s="1">
        <f>IFERROR(__xludf.DUMMYFUNCTION("""COMPUTED_VALUE"""),14770.0)</f>
        <v>14770</v>
      </c>
    </row>
    <row r="1616">
      <c r="A1616" s="2">
        <f>IFERROR(__xludf.DUMMYFUNCTION("""COMPUTED_VALUE"""),45252.64583333333)</f>
        <v>45252.64583</v>
      </c>
      <c r="B1616" s="1">
        <f>IFERROR(__xludf.DUMMYFUNCTION("""COMPUTED_VALUE"""),10340.0)</f>
        <v>10340</v>
      </c>
      <c r="C1616" s="1">
        <f>IFERROR(__xludf.DUMMYFUNCTION("""COMPUTED_VALUE"""),10550.0)</f>
        <v>10550</v>
      </c>
      <c r="D1616" s="1">
        <f>IFERROR(__xludf.DUMMYFUNCTION("""COMPUTED_VALUE"""),10310.0)</f>
        <v>10310</v>
      </c>
      <c r="E1616" s="1">
        <f>IFERROR(__xludf.DUMMYFUNCTION("""COMPUTED_VALUE"""),10460.0)</f>
        <v>10460</v>
      </c>
      <c r="F1616" s="1">
        <f>IFERROR(__xludf.DUMMYFUNCTION("""COMPUTED_VALUE"""),4826.0)</f>
        <v>4826</v>
      </c>
    </row>
    <row r="1617">
      <c r="A1617" s="2">
        <f>IFERROR(__xludf.DUMMYFUNCTION("""COMPUTED_VALUE"""),45253.64583333333)</f>
        <v>45253.64583</v>
      </c>
      <c r="B1617" s="1">
        <f>IFERROR(__xludf.DUMMYFUNCTION("""COMPUTED_VALUE"""),10530.0)</f>
        <v>10530</v>
      </c>
      <c r="C1617" s="1">
        <f>IFERROR(__xludf.DUMMYFUNCTION("""COMPUTED_VALUE"""),10530.0)</f>
        <v>10530</v>
      </c>
      <c r="D1617" s="1">
        <f>IFERROR(__xludf.DUMMYFUNCTION("""COMPUTED_VALUE"""),10300.0)</f>
        <v>10300</v>
      </c>
      <c r="E1617" s="1">
        <f>IFERROR(__xludf.DUMMYFUNCTION("""COMPUTED_VALUE"""),10470.0)</f>
        <v>10470</v>
      </c>
      <c r="F1617" s="1">
        <f>IFERROR(__xludf.DUMMYFUNCTION("""COMPUTED_VALUE"""),5128.0)</f>
        <v>5128</v>
      </c>
    </row>
    <row r="1618">
      <c r="A1618" s="2">
        <f>IFERROR(__xludf.DUMMYFUNCTION("""COMPUTED_VALUE"""),45254.64583333333)</f>
        <v>45254.64583</v>
      </c>
      <c r="B1618" s="1">
        <f>IFERROR(__xludf.DUMMYFUNCTION("""COMPUTED_VALUE"""),10370.0)</f>
        <v>10370</v>
      </c>
      <c r="C1618" s="1">
        <f>IFERROR(__xludf.DUMMYFUNCTION("""COMPUTED_VALUE"""),10460.0)</f>
        <v>10460</v>
      </c>
      <c r="D1618" s="1">
        <f>IFERROR(__xludf.DUMMYFUNCTION("""COMPUTED_VALUE"""),10130.0)</f>
        <v>10130</v>
      </c>
      <c r="E1618" s="1">
        <f>IFERROR(__xludf.DUMMYFUNCTION("""COMPUTED_VALUE"""),10230.0)</f>
        <v>10230</v>
      </c>
      <c r="F1618" s="1">
        <f>IFERROR(__xludf.DUMMYFUNCTION("""COMPUTED_VALUE"""),23696.0)</f>
        <v>23696</v>
      </c>
    </row>
    <row r="1619">
      <c r="A1619" s="2">
        <f>IFERROR(__xludf.DUMMYFUNCTION("""COMPUTED_VALUE"""),45257.64583333333)</f>
        <v>45257.64583</v>
      </c>
      <c r="B1619" s="1">
        <f>IFERROR(__xludf.DUMMYFUNCTION("""COMPUTED_VALUE"""),10230.0)</f>
        <v>10230</v>
      </c>
      <c r="C1619" s="1">
        <f>IFERROR(__xludf.DUMMYFUNCTION("""COMPUTED_VALUE"""),10470.0)</f>
        <v>10470</v>
      </c>
      <c r="D1619" s="1">
        <f>IFERROR(__xludf.DUMMYFUNCTION("""COMPUTED_VALUE"""),10100.0)</f>
        <v>10100</v>
      </c>
      <c r="E1619" s="1">
        <f>IFERROR(__xludf.DUMMYFUNCTION("""COMPUTED_VALUE"""),10230.0)</f>
        <v>10230</v>
      </c>
      <c r="F1619" s="1">
        <f>IFERROR(__xludf.DUMMYFUNCTION("""COMPUTED_VALUE"""),19321.0)</f>
        <v>19321</v>
      </c>
    </row>
    <row r="1620">
      <c r="A1620" s="2">
        <f>IFERROR(__xludf.DUMMYFUNCTION("""COMPUTED_VALUE"""),45258.64583333333)</f>
        <v>45258.64583</v>
      </c>
      <c r="B1620" s="1">
        <f>IFERROR(__xludf.DUMMYFUNCTION("""COMPUTED_VALUE"""),10230.0)</f>
        <v>10230</v>
      </c>
      <c r="C1620" s="1">
        <f>IFERROR(__xludf.DUMMYFUNCTION("""COMPUTED_VALUE"""),10310.0)</f>
        <v>10310</v>
      </c>
      <c r="D1620" s="1">
        <f>IFERROR(__xludf.DUMMYFUNCTION("""COMPUTED_VALUE"""),10080.0)</f>
        <v>10080</v>
      </c>
      <c r="E1620" s="1">
        <f>IFERROR(__xludf.DUMMYFUNCTION("""COMPUTED_VALUE"""),10230.0)</f>
        <v>10230</v>
      </c>
      <c r="F1620" s="1">
        <f>IFERROR(__xludf.DUMMYFUNCTION("""COMPUTED_VALUE"""),16625.0)</f>
        <v>16625</v>
      </c>
    </row>
    <row r="1621">
      <c r="A1621" s="2">
        <f>IFERROR(__xludf.DUMMYFUNCTION("""COMPUTED_VALUE"""),45259.64583333333)</f>
        <v>45259.64583</v>
      </c>
      <c r="B1621" s="1">
        <f>IFERROR(__xludf.DUMMYFUNCTION("""COMPUTED_VALUE"""),10330.0)</f>
        <v>10330</v>
      </c>
      <c r="C1621" s="1">
        <f>IFERROR(__xludf.DUMMYFUNCTION("""COMPUTED_VALUE"""),11360.0)</f>
        <v>11360</v>
      </c>
      <c r="D1621" s="1">
        <f>IFERROR(__xludf.DUMMYFUNCTION("""COMPUTED_VALUE"""),10180.0)</f>
        <v>10180</v>
      </c>
      <c r="E1621" s="1">
        <f>IFERROR(__xludf.DUMMYFUNCTION("""COMPUTED_VALUE"""),10780.0)</f>
        <v>10780</v>
      </c>
      <c r="F1621" s="1">
        <f>IFERROR(__xludf.DUMMYFUNCTION("""COMPUTED_VALUE"""),55902.0)</f>
        <v>55902</v>
      </c>
    </row>
    <row r="1622">
      <c r="A1622" s="2">
        <f>IFERROR(__xludf.DUMMYFUNCTION("""COMPUTED_VALUE"""),45260.64583333333)</f>
        <v>45260.64583</v>
      </c>
      <c r="B1622" s="1">
        <f>IFERROR(__xludf.DUMMYFUNCTION("""COMPUTED_VALUE"""),11000.0)</f>
        <v>11000</v>
      </c>
      <c r="C1622" s="1">
        <f>IFERROR(__xludf.DUMMYFUNCTION("""COMPUTED_VALUE"""),11200.0)</f>
        <v>11200</v>
      </c>
      <c r="D1622" s="1">
        <f>IFERROR(__xludf.DUMMYFUNCTION("""COMPUTED_VALUE"""),10630.0)</f>
        <v>10630</v>
      </c>
      <c r="E1622" s="1">
        <f>IFERROR(__xludf.DUMMYFUNCTION("""COMPUTED_VALUE"""),10930.0)</f>
        <v>10930</v>
      </c>
      <c r="F1622" s="1">
        <f>IFERROR(__xludf.DUMMYFUNCTION("""COMPUTED_VALUE"""),14380.0)</f>
        <v>14380</v>
      </c>
    </row>
    <row r="1623">
      <c r="A1623" s="2">
        <f>IFERROR(__xludf.DUMMYFUNCTION("""COMPUTED_VALUE"""),45261.64583333333)</f>
        <v>45261.64583</v>
      </c>
      <c r="B1623" s="1">
        <f>IFERROR(__xludf.DUMMYFUNCTION("""COMPUTED_VALUE"""),10940.0)</f>
        <v>10940</v>
      </c>
      <c r="C1623" s="1">
        <f>IFERROR(__xludf.DUMMYFUNCTION("""COMPUTED_VALUE"""),10940.0)</f>
        <v>10940</v>
      </c>
      <c r="D1623" s="1">
        <f>IFERROR(__xludf.DUMMYFUNCTION("""COMPUTED_VALUE"""),10490.0)</f>
        <v>10490</v>
      </c>
      <c r="E1623" s="1">
        <f>IFERROR(__xludf.DUMMYFUNCTION("""COMPUTED_VALUE"""),10800.0)</f>
        <v>10800</v>
      </c>
      <c r="F1623" s="1">
        <f>IFERROR(__xludf.DUMMYFUNCTION("""COMPUTED_VALUE"""),33298.0)</f>
        <v>33298</v>
      </c>
    </row>
    <row r="1624">
      <c r="A1624" s="2">
        <f>IFERROR(__xludf.DUMMYFUNCTION("""COMPUTED_VALUE"""),45264.64583333333)</f>
        <v>45264.64583</v>
      </c>
      <c r="B1624" s="1">
        <f>IFERROR(__xludf.DUMMYFUNCTION("""COMPUTED_VALUE"""),10650.0)</f>
        <v>10650</v>
      </c>
      <c r="C1624" s="1">
        <f>IFERROR(__xludf.DUMMYFUNCTION("""COMPUTED_VALUE"""),10910.0)</f>
        <v>10910</v>
      </c>
      <c r="D1624" s="1">
        <f>IFERROR(__xludf.DUMMYFUNCTION("""COMPUTED_VALUE"""),10450.0)</f>
        <v>10450</v>
      </c>
      <c r="E1624" s="1">
        <f>IFERROR(__xludf.DUMMYFUNCTION("""COMPUTED_VALUE"""),10450.0)</f>
        <v>10450</v>
      </c>
      <c r="F1624" s="1">
        <f>IFERROR(__xludf.DUMMYFUNCTION("""COMPUTED_VALUE"""),37025.0)</f>
        <v>37025</v>
      </c>
    </row>
    <row r="1625">
      <c r="A1625" s="2">
        <f>IFERROR(__xludf.DUMMYFUNCTION("""COMPUTED_VALUE"""),45265.64583333333)</f>
        <v>45265.64583</v>
      </c>
      <c r="B1625" s="1">
        <f>IFERROR(__xludf.DUMMYFUNCTION("""COMPUTED_VALUE"""),10520.0)</f>
        <v>10520</v>
      </c>
      <c r="C1625" s="1">
        <f>IFERROR(__xludf.DUMMYFUNCTION("""COMPUTED_VALUE"""),10670.0)</f>
        <v>10670</v>
      </c>
      <c r="D1625" s="1">
        <f>IFERROR(__xludf.DUMMYFUNCTION("""COMPUTED_VALUE"""),10400.0)</f>
        <v>10400</v>
      </c>
      <c r="E1625" s="1">
        <f>IFERROR(__xludf.DUMMYFUNCTION("""COMPUTED_VALUE"""),10630.0)</f>
        <v>10630</v>
      </c>
      <c r="F1625" s="1">
        <f>IFERROR(__xludf.DUMMYFUNCTION("""COMPUTED_VALUE"""),9240.0)</f>
        <v>9240</v>
      </c>
    </row>
    <row r="1626">
      <c r="A1626" s="2">
        <f>IFERROR(__xludf.DUMMYFUNCTION("""COMPUTED_VALUE"""),45266.64583333333)</f>
        <v>45266.64583</v>
      </c>
      <c r="B1626" s="1">
        <f>IFERROR(__xludf.DUMMYFUNCTION("""COMPUTED_VALUE"""),10520.0)</f>
        <v>10520</v>
      </c>
      <c r="C1626" s="1">
        <f>IFERROR(__xludf.DUMMYFUNCTION("""COMPUTED_VALUE"""),10970.0)</f>
        <v>10970</v>
      </c>
      <c r="D1626" s="1">
        <f>IFERROR(__xludf.DUMMYFUNCTION("""COMPUTED_VALUE"""),10520.0)</f>
        <v>10520</v>
      </c>
      <c r="E1626" s="1">
        <f>IFERROR(__xludf.DUMMYFUNCTION("""COMPUTED_VALUE"""),10850.0)</f>
        <v>10850</v>
      </c>
      <c r="F1626" s="1">
        <f>IFERROR(__xludf.DUMMYFUNCTION("""COMPUTED_VALUE"""),20274.0)</f>
        <v>20274</v>
      </c>
    </row>
    <row r="1627">
      <c r="A1627" s="2">
        <f>IFERROR(__xludf.DUMMYFUNCTION("""COMPUTED_VALUE"""),45267.64583333333)</f>
        <v>45267.64583</v>
      </c>
      <c r="B1627" s="1">
        <f>IFERROR(__xludf.DUMMYFUNCTION("""COMPUTED_VALUE"""),10850.0)</f>
        <v>10850</v>
      </c>
      <c r="C1627" s="1">
        <f>IFERROR(__xludf.DUMMYFUNCTION("""COMPUTED_VALUE"""),11210.0)</f>
        <v>11210</v>
      </c>
      <c r="D1627" s="1">
        <f>IFERROR(__xludf.DUMMYFUNCTION("""COMPUTED_VALUE"""),10740.0)</f>
        <v>10740</v>
      </c>
      <c r="E1627" s="1">
        <f>IFERROR(__xludf.DUMMYFUNCTION("""COMPUTED_VALUE"""),11180.0)</f>
        <v>11180</v>
      </c>
      <c r="F1627" s="1">
        <f>IFERROR(__xludf.DUMMYFUNCTION("""COMPUTED_VALUE"""),16921.0)</f>
        <v>16921</v>
      </c>
    </row>
    <row r="1628">
      <c r="A1628" s="2">
        <f>IFERROR(__xludf.DUMMYFUNCTION("""COMPUTED_VALUE"""),45268.64583333333)</f>
        <v>45268.64583</v>
      </c>
      <c r="B1628" s="1">
        <f>IFERROR(__xludf.DUMMYFUNCTION("""COMPUTED_VALUE"""),11310.0)</f>
        <v>11310</v>
      </c>
      <c r="C1628" s="1">
        <f>IFERROR(__xludf.DUMMYFUNCTION("""COMPUTED_VALUE"""),11370.0)</f>
        <v>11370</v>
      </c>
      <c r="D1628" s="1">
        <f>IFERROR(__xludf.DUMMYFUNCTION("""COMPUTED_VALUE"""),11000.0)</f>
        <v>11000</v>
      </c>
      <c r="E1628" s="1">
        <f>IFERROR(__xludf.DUMMYFUNCTION("""COMPUTED_VALUE"""),11240.0)</f>
        <v>11240</v>
      </c>
      <c r="F1628" s="1">
        <f>IFERROR(__xludf.DUMMYFUNCTION("""COMPUTED_VALUE"""),76565.0)</f>
        <v>76565</v>
      </c>
    </row>
    <row r="1629">
      <c r="A1629" s="2">
        <f>IFERROR(__xludf.DUMMYFUNCTION("""COMPUTED_VALUE"""),45271.64583333333)</f>
        <v>45271.64583</v>
      </c>
      <c r="B1629" s="1">
        <f>IFERROR(__xludf.DUMMYFUNCTION("""COMPUTED_VALUE"""),11240.0)</f>
        <v>11240</v>
      </c>
      <c r="C1629" s="1">
        <f>IFERROR(__xludf.DUMMYFUNCTION("""COMPUTED_VALUE"""),11340.0)</f>
        <v>11340</v>
      </c>
      <c r="D1629" s="1">
        <f>IFERROR(__xludf.DUMMYFUNCTION("""COMPUTED_VALUE"""),11040.0)</f>
        <v>11040</v>
      </c>
      <c r="E1629" s="1">
        <f>IFERROR(__xludf.DUMMYFUNCTION("""COMPUTED_VALUE"""),11280.0)</f>
        <v>11280</v>
      </c>
      <c r="F1629" s="1">
        <f>IFERROR(__xludf.DUMMYFUNCTION("""COMPUTED_VALUE"""),30463.0)</f>
        <v>30463</v>
      </c>
    </row>
    <row r="1630">
      <c r="A1630" s="2">
        <f>IFERROR(__xludf.DUMMYFUNCTION("""COMPUTED_VALUE"""),45272.64583333333)</f>
        <v>45272.64583</v>
      </c>
      <c r="B1630" s="1">
        <f>IFERROR(__xludf.DUMMYFUNCTION("""COMPUTED_VALUE"""),11280.0)</f>
        <v>11280</v>
      </c>
      <c r="C1630" s="1">
        <f>IFERROR(__xludf.DUMMYFUNCTION("""COMPUTED_VALUE"""),11280.0)</f>
        <v>11280</v>
      </c>
      <c r="D1630" s="1">
        <f>IFERROR(__xludf.DUMMYFUNCTION("""COMPUTED_VALUE"""),10800.0)</f>
        <v>10800</v>
      </c>
      <c r="E1630" s="1">
        <f>IFERROR(__xludf.DUMMYFUNCTION("""COMPUTED_VALUE"""),10950.0)</f>
        <v>10950</v>
      </c>
      <c r="F1630" s="1">
        <f>IFERROR(__xludf.DUMMYFUNCTION("""COMPUTED_VALUE"""),17920.0)</f>
        <v>17920</v>
      </c>
    </row>
    <row r="1631">
      <c r="A1631" s="2">
        <f>IFERROR(__xludf.DUMMYFUNCTION("""COMPUTED_VALUE"""),45273.64583333333)</f>
        <v>45273.64583</v>
      </c>
      <c r="B1631" s="1">
        <f>IFERROR(__xludf.DUMMYFUNCTION("""COMPUTED_VALUE"""),11060.0)</f>
        <v>11060</v>
      </c>
      <c r="C1631" s="1">
        <f>IFERROR(__xludf.DUMMYFUNCTION("""COMPUTED_VALUE"""),11060.0)</f>
        <v>11060</v>
      </c>
      <c r="D1631" s="1">
        <f>IFERROR(__xludf.DUMMYFUNCTION("""COMPUTED_VALUE"""),10750.0)</f>
        <v>10750</v>
      </c>
      <c r="E1631" s="1">
        <f>IFERROR(__xludf.DUMMYFUNCTION("""COMPUTED_VALUE"""),11030.0)</f>
        <v>11030</v>
      </c>
      <c r="F1631" s="1">
        <f>IFERROR(__xludf.DUMMYFUNCTION("""COMPUTED_VALUE"""),8003.0)</f>
        <v>8003</v>
      </c>
    </row>
    <row r="1632">
      <c r="A1632" s="2">
        <f>IFERROR(__xludf.DUMMYFUNCTION("""COMPUTED_VALUE"""),45274.64583333333)</f>
        <v>45274.64583</v>
      </c>
      <c r="B1632" s="1">
        <f>IFERROR(__xludf.DUMMYFUNCTION("""COMPUTED_VALUE"""),10950.0)</f>
        <v>10950</v>
      </c>
      <c r="C1632" s="1">
        <f>IFERROR(__xludf.DUMMYFUNCTION("""COMPUTED_VALUE"""),11120.0)</f>
        <v>11120</v>
      </c>
      <c r="D1632" s="1">
        <f>IFERROR(__xludf.DUMMYFUNCTION("""COMPUTED_VALUE"""),10920.0)</f>
        <v>10920</v>
      </c>
      <c r="E1632" s="1">
        <f>IFERROR(__xludf.DUMMYFUNCTION("""COMPUTED_VALUE"""),11030.0)</f>
        <v>11030</v>
      </c>
      <c r="F1632" s="1">
        <f>IFERROR(__xludf.DUMMYFUNCTION("""COMPUTED_VALUE"""),11716.0)</f>
        <v>11716</v>
      </c>
    </row>
    <row r="1633">
      <c r="A1633" s="2">
        <f>IFERROR(__xludf.DUMMYFUNCTION("""COMPUTED_VALUE"""),45275.64583333333)</f>
        <v>45275.64583</v>
      </c>
      <c r="B1633" s="1">
        <f>IFERROR(__xludf.DUMMYFUNCTION("""COMPUTED_VALUE"""),10900.0)</f>
        <v>10900</v>
      </c>
      <c r="C1633" s="1">
        <f>IFERROR(__xludf.DUMMYFUNCTION("""COMPUTED_VALUE"""),11030.0)</f>
        <v>11030</v>
      </c>
      <c r="D1633" s="1">
        <f>IFERROR(__xludf.DUMMYFUNCTION("""COMPUTED_VALUE"""),10670.0)</f>
        <v>10670</v>
      </c>
      <c r="E1633" s="1">
        <f>IFERROR(__xludf.DUMMYFUNCTION("""COMPUTED_VALUE"""),10670.0)</f>
        <v>10670</v>
      </c>
      <c r="F1633" s="1">
        <f>IFERROR(__xludf.DUMMYFUNCTION("""COMPUTED_VALUE"""),14127.0)</f>
        <v>14127</v>
      </c>
    </row>
    <row r="1634">
      <c r="A1634" s="2">
        <f>IFERROR(__xludf.DUMMYFUNCTION("""COMPUTED_VALUE"""),45278.64583333333)</f>
        <v>45278.64583</v>
      </c>
      <c r="B1634" s="1">
        <f>IFERROR(__xludf.DUMMYFUNCTION("""COMPUTED_VALUE"""),10600.0)</f>
        <v>10600</v>
      </c>
      <c r="C1634" s="1">
        <f>IFERROR(__xludf.DUMMYFUNCTION("""COMPUTED_VALUE"""),10610.0)</f>
        <v>10610</v>
      </c>
      <c r="D1634" s="1">
        <f>IFERROR(__xludf.DUMMYFUNCTION("""COMPUTED_VALUE"""),10440.0)</f>
        <v>10440</v>
      </c>
      <c r="E1634" s="1">
        <f>IFERROR(__xludf.DUMMYFUNCTION("""COMPUTED_VALUE"""),10550.0)</f>
        <v>10550</v>
      </c>
      <c r="F1634" s="1">
        <f>IFERROR(__xludf.DUMMYFUNCTION("""COMPUTED_VALUE"""),13410.0)</f>
        <v>13410</v>
      </c>
    </row>
    <row r="1635">
      <c r="A1635" s="2">
        <f>IFERROR(__xludf.DUMMYFUNCTION("""COMPUTED_VALUE"""),45279.64583333333)</f>
        <v>45279.64583</v>
      </c>
      <c r="B1635" s="1">
        <f>IFERROR(__xludf.DUMMYFUNCTION("""COMPUTED_VALUE"""),11300.0)</f>
        <v>11300</v>
      </c>
      <c r="C1635" s="1">
        <f>IFERROR(__xludf.DUMMYFUNCTION("""COMPUTED_VALUE"""),12030.0)</f>
        <v>12030</v>
      </c>
      <c r="D1635" s="1">
        <f>IFERROR(__xludf.DUMMYFUNCTION("""COMPUTED_VALUE"""),10470.0)</f>
        <v>10470</v>
      </c>
      <c r="E1635" s="1">
        <f>IFERROR(__xludf.DUMMYFUNCTION("""COMPUTED_VALUE"""),10490.0)</f>
        <v>10490</v>
      </c>
      <c r="F1635" s="1">
        <f>IFERROR(__xludf.DUMMYFUNCTION("""COMPUTED_VALUE"""),298553.0)</f>
        <v>298553</v>
      </c>
    </row>
    <row r="1636">
      <c r="A1636" s="2">
        <f>IFERROR(__xludf.DUMMYFUNCTION("""COMPUTED_VALUE"""),45280.64583333333)</f>
        <v>45280.64583</v>
      </c>
      <c r="B1636" s="1">
        <f>IFERROR(__xludf.DUMMYFUNCTION("""COMPUTED_VALUE"""),10580.0)</f>
        <v>10580</v>
      </c>
      <c r="C1636" s="1">
        <f>IFERROR(__xludf.DUMMYFUNCTION("""COMPUTED_VALUE"""),10700.0)</f>
        <v>10700</v>
      </c>
      <c r="D1636" s="1">
        <f>IFERROR(__xludf.DUMMYFUNCTION("""COMPUTED_VALUE"""),10360.0)</f>
        <v>10360</v>
      </c>
      <c r="E1636" s="1">
        <f>IFERROR(__xludf.DUMMYFUNCTION("""COMPUTED_VALUE"""),10670.0)</f>
        <v>10670</v>
      </c>
      <c r="F1636" s="1">
        <f>IFERROR(__xludf.DUMMYFUNCTION("""COMPUTED_VALUE"""),26081.0)</f>
        <v>26081</v>
      </c>
    </row>
    <row r="1637">
      <c r="A1637" s="2">
        <f>IFERROR(__xludf.DUMMYFUNCTION("""COMPUTED_VALUE"""),45281.64583333333)</f>
        <v>45281.64583</v>
      </c>
      <c r="B1637" s="1">
        <f>IFERROR(__xludf.DUMMYFUNCTION("""COMPUTED_VALUE"""),10530.0)</f>
        <v>10530</v>
      </c>
      <c r="C1637" s="1">
        <f>IFERROR(__xludf.DUMMYFUNCTION("""COMPUTED_VALUE"""),10740.0)</f>
        <v>10740</v>
      </c>
      <c r="D1637" s="1">
        <f>IFERROR(__xludf.DUMMYFUNCTION("""COMPUTED_VALUE"""),10390.0)</f>
        <v>10390</v>
      </c>
      <c r="E1637" s="1">
        <f>IFERROR(__xludf.DUMMYFUNCTION("""COMPUTED_VALUE"""),10410.0)</f>
        <v>10410</v>
      </c>
      <c r="F1637" s="1">
        <f>IFERROR(__xludf.DUMMYFUNCTION("""COMPUTED_VALUE"""),34861.0)</f>
        <v>34861</v>
      </c>
    </row>
    <row r="1638">
      <c r="A1638" s="2">
        <f>IFERROR(__xludf.DUMMYFUNCTION("""COMPUTED_VALUE"""),45282.64583333333)</f>
        <v>45282.64583</v>
      </c>
      <c r="B1638" s="1">
        <f>IFERROR(__xludf.DUMMYFUNCTION("""COMPUTED_VALUE"""),10430.0)</f>
        <v>10430</v>
      </c>
      <c r="C1638" s="1">
        <f>IFERROR(__xludf.DUMMYFUNCTION("""COMPUTED_VALUE"""),10640.0)</f>
        <v>10640</v>
      </c>
      <c r="D1638" s="1">
        <f>IFERROR(__xludf.DUMMYFUNCTION("""COMPUTED_VALUE"""),10340.0)</f>
        <v>10340</v>
      </c>
      <c r="E1638" s="1">
        <f>IFERROR(__xludf.DUMMYFUNCTION("""COMPUTED_VALUE"""),10400.0)</f>
        <v>10400</v>
      </c>
      <c r="F1638" s="1">
        <f>IFERROR(__xludf.DUMMYFUNCTION("""COMPUTED_VALUE"""),19366.0)</f>
        <v>19366</v>
      </c>
    </row>
    <row r="1639">
      <c r="A1639" s="2">
        <f>IFERROR(__xludf.DUMMYFUNCTION("""COMPUTED_VALUE"""),45286.64583333333)</f>
        <v>45286.64583</v>
      </c>
      <c r="B1639" s="1">
        <f>IFERROR(__xludf.DUMMYFUNCTION("""COMPUTED_VALUE"""),10390.0)</f>
        <v>10390</v>
      </c>
      <c r="C1639" s="1">
        <f>IFERROR(__xludf.DUMMYFUNCTION("""COMPUTED_VALUE"""),10580.0)</f>
        <v>10580</v>
      </c>
      <c r="D1639" s="1">
        <f>IFERROR(__xludf.DUMMYFUNCTION("""COMPUTED_VALUE"""),10190.0)</f>
        <v>10190</v>
      </c>
      <c r="E1639" s="1">
        <f>IFERROR(__xludf.DUMMYFUNCTION("""COMPUTED_VALUE"""),10330.0)</f>
        <v>10330</v>
      </c>
      <c r="F1639" s="1">
        <f>IFERROR(__xludf.DUMMYFUNCTION("""COMPUTED_VALUE"""),46801.0)</f>
        <v>46801</v>
      </c>
    </row>
    <row r="1640">
      <c r="A1640" s="2">
        <f>IFERROR(__xludf.DUMMYFUNCTION("""COMPUTED_VALUE"""),45287.64583333333)</f>
        <v>45287.64583</v>
      </c>
      <c r="B1640" s="1">
        <f>IFERROR(__xludf.DUMMYFUNCTION("""COMPUTED_VALUE"""),10300.0)</f>
        <v>10300</v>
      </c>
      <c r="C1640" s="1">
        <f>IFERROR(__xludf.DUMMYFUNCTION("""COMPUTED_VALUE"""),10480.0)</f>
        <v>10480</v>
      </c>
      <c r="D1640" s="1">
        <f>IFERROR(__xludf.DUMMYFUNCTION("""COMPUTED_VALUE"""),10290.0)</f>
        <v>10290</v>
      </c>
      <c r="E1640" s="1">
        <f>IFERROR(__xludf.DUMMYFUNCTION("""COMPUTED_VALUE"""),10430.0)</f>
        <v>10430</v>
      </c>
      <c r="F1640" s="1">
        <f>IFERROR(__xludf.DUMMYFUNCTION("""COMPUTED_VALUE"""),12669.0)</f>
        <v>12669</v>
      </c>
    </row>
    <row r="1641">
      <c r="A1641" s="2">
        <f>IFERROR(__xludf.DUMMYFUNCTION("""COMPUTED_VALUE"""),45288.64583333333)</f>
        <v>45288.64583</v>
      </c>
      <c r="B1641" s="1">
        <f>IFERROR(__xludf.DUMMYFUNCTION("""COMPUTED_VALUE"""),10470.0)</f>
        <v>10470</v>
      </c>
      <c r="C1641" s="1">
        <f>IFERROR(__xludf.DUMMYFUNCTION("""COMPUTED_VALUE"""),10490.0)</f>
        <v>10490</v>
      </c>
      <c r="D1641" s="1">
        <f>IFERROR(__xludf.DUMMYFUNCTION("""COMPUTED_VALUE"""),10390.0)</f>
        <v>10390</v>
      </c>
      <c r="E1641" s="1">
        <f>IFERROR(__xludf.DUMMYFUNCTION("""COMPUTED_VALUE"""),10470.0)</f>
        <v>10470</v>
      </c>
      <c r="F1641" s="1">
        <f>IFERROR(__xludf.DUMMYFUNCTION("""COMPUTED_VALUE"""),13782.0)</f>
        <v>13782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IFERROR(__xludf.DUMMYFUNCTION("GOOGLEFINANCE(""KOSDAQ:419080"", ""all"", DATE(2012,1,1), DATE(2023,12,31),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IFERROR(__xludf.DUMMYFUNCTION("""COMPUTED_VALUE"""),44883.64583333333)</f>
        <v>44883.64583</v>
      </c>
      <c r="B2" s="1">
        <f>IFERROR(__xludf.DUMMYFUNCTION("""COMPUTED_VALUE"""),9000.0)</f>
        <v>9000</v>
      </c>
      <c r="C2" s="1">
        <f>IFERROR(__xludf.DUMMYFUNCTION("""COMPUTED_VALUE"""),11600.0)</f>
        <v>11600</v>
      </c>
      <c r="D2" s="1">
        <f>IFERROR(__xludf.DUMMYFUNCTION("""COMPUTED_VALUE"""),9000.0)</f>
        <v>9000</v>
      </c>
      <c r="E2" s="1">
        <f>IFERROR(__xludf.DUMMYFUNCTION("""COMPUTED_VALUE"""),10850.0)</f>
        <v>10850</v>
      </c>
      <c r="F2" s="1">
        <f>IFERROR(__xludf.DUMMYFUNCTION("""COMPUTED_VALUE"""),1.036289E7)</f>
        <v>10362890</v>
      </c>
    </row>
    <row r="3">
      <c r="A3" s="2">
        <f>IFERROR(__xludf.DUMMYFUNCTION("""COMPUTED_VALUE"""),44886.64583333333)</f>
        <v>44886.64583</v>
      </c>
      <c r="B3" s="1">
        <f>IFERROR(__xludf.DUMMYFUNCTION("""COMPUTED_VALUE"""),11200.0)</f>
        <v>11200</v>
      </c>
      <c r="C3" s="1">
        <f>IFERROR(__xludf.DUMMYFUNCTION("""COMPUTED_VALUE"""),13350.0)</f>
        <v>13350</v>
      </c>
      <c r="D3" s="1">
        <f>IFERROR(__xludf.DUMMYFUNCTION("""COMPUTED_VALUE"""),11000.0)</f>
        <v>11000</v>
      </c>
      <c r="E3" s="1">
        <f>IFERROR(__xludf.DUMMYFUNCTION("""COMPUTED_VALUE"""),11200.0)</f>
        <v>11200</v>
      </c>
      <c r="F3" s="1">
        <f>IFERROR(__xludf.DUMMYFUNCTION("""COMPUTED_VALUE"""),6667454.0)</f>
        <v>6667454</v>
      </c>
    </row>
    <row r="4">
      <c r="A4" s="2">
        <f>IFERROR(__xludf.DUMMYFUNCTION("""COMPUTED_VALUE"""),44887.64583333333)</f>
        <v>44887.64583</v>
      </c>
      <c r="B4" s="1">
        <f>IFERROR(__xludf.DUMMYFUNCTION("""COMPUTED_VALUE"""),10950.0)</f>
        <v>10950</v>
      </c>
      <c r="C4" s="1">
        <f>IFERROR(__xludf.DUMMYFUNCTION("""COMPUTED_VALUE"""),11100.0)</f>
        <v>11100</v>
      </c>
      <c r="D4" s="1">
        <f>IFERROR(__xludf.DUMMYFUNCTION("""COMPUTED_VALUE"""),10050.0)</f>
        <v>10050</v>
      </c>
      <c r="E4" s="1">
        <f>IFERROR(__xludf.DUMMYFUNCTION("""COMPUTED_VALUE"""),10200.0)</f>
        <v>10200</v>
      </c>
      <c r="F4" s="1">
        <f>IFERROR(__xludf.DUMMYFUNCTION("""COMPUTED_VALUE"""),908757.0)</f>
        <v>908757</v>
      </c>
    </row>
    <row r="5">
      <c r="A5" s="2">
        <f>IFERROR(__xludf.DUMMYFUNCTION("""COMPUTED_VALUE"""),44888.64583333333)</f>
        <v>44888.64583</v>
      </c>
      <c r="B5" s="1">
        <f>IFERROR(__xludf.DUMMYFUNCTION("""COMPUTED_VALUE"""),10350.0)</f>
        <v>10350</v>
      </c>
      <c r="C5" s="1">
        <f>IFERROR(__xludf.DUMMYFUNCTION("""COMPUTED_VALUE"""),11850.0)</f>
        <v>11850</v>
      </c>
      <c r="D5" s="1">
        <f>IFERROR(__xludf.DUMMYFUNCTION("""COMPUTED_VALUE"""),10100.0)</f>
        <v>10100</v>
      </c>
      <c r="E5" s="1">
        <f>IFERROR(__xludf.DUMMYFUNCTION("""COMPUTED_VALUE"""),10550.0)</f>
        <v>10550</v>
      </c>
      <c r="F5" s="1">
        <f>IFERROR(__xludf.DUMMYFUNCTION("""COMPUTED_VALUE"""),2098193.0)</f>
        <v>2098193</v>
      </c>
    </row>
    <row r="6">
      <c r="A6" s="2">
        <f>IFERROR(__xludf.DUMMYFUNCTION("""COMPUTED_VALUE"""),44889.64583333333)</f>
        <v>44889.64583</v>
      </c>
      <c r="B6" s="1">
        <f>IFERROR(__xludf.DUMMYFUNCTION("""COMPUTED_VALUE"""),10400.0)</f>
        <v>10400</v>
      </c>
      <c r="C6" s="1">
        <f>IFERROR(__xludf.DUMMYFUNCTION("""COMPUTED_VALUE"""),13700.0)</f>
        <v>13700</v>
      </c>
      <c r="D6" s="1">
        <f>IFERROR(__xludf.DUMMYFUNCTION("""COMPUTED_VALUE"""),10400.0)</f>
        <v>10400</v>
      </c>
      <c r="E6" s="1">
        <f>IFERROR(__xludf.DUMMYFUNCTION("""COMPUTED_VALUE"""),13700.0)</f>
        <v>13700</v>
      </c>
      <c r="F6" s="1">
        <f>IFERROR(__xludf.DUMMYFUNCTION("""COMPUTED_VALUE"""),2690019.0)</f>
        <v>2690019</v>
      </c>
    </row>
    <row r="7">
      <c r="A7" s="2">
        <f>IFERROR(__xludf.DUMMYFUNCTION("""COMPUTED_VALUE"""),44890.64583333333)</f>
        <v>44890.64583</v>
      </c>
      <c r="B7" s="1">
        <f>IFERROR(__xludf.DUMMYFUNCTION("""COMPUTED_VALUE"""),14950.0)</f>
        <v>14950</v>
      </c>
      <c r="C7" s="1">
        <f>IFERROR(__xludf.DUMMYFUNCTION("""COMPUTED_VALUE"""),15950.0)</f>
        <v>15950</v>
      </c>
      <c r="D7" s="1">
        <f>IFERROR(__xludf.DUMMYFUNCTION("""COMPUTED_VALUE"""),13300.0)</f>
        <v>13300</v>
      </c>
      <c r="E7" s="1">
        <f>IFERROR(__xludf.DUMMYFUNCTION("""COMPUTED_VALUE"""),13950.0)</f>
        <v>13950</v>
      </c>
      <c r="F7" s="1">
        <f>IFERROR(__xludf.DUMMYFUNCTION("""COMPUTED_VALUE"""),4842310.0)</f>
        <v>4842310</v>
      </c>
    </row>
    <row r="8">
      <c r="A8" s="2">
        <f>IFERROR(__xludf.DUMMYFUNCTION("""COMPUTED_VALUE"""),44893.64583333333)</f>
        <v>44893.64583</v>
      </c>
      <c r="B8" s="1">
        <f>IFERROR(__xludf.DUMMYFUNCTION("""COMPUTED_VALUE"""),14350.0)</f>
        <v>14350</v>
      </c>
      <c r="C8" s="1">
        <f>IFERROR(__xludf.DUMMYFUNCTION("""COMPUTED_VALUE"""),15600.0)</f>
        <v>15600</v>
      </c>
      <c r="D8" s="1">
        <f>IFERROR(__xludf.DUMMYFUNCTION("""COMPUTED_VALUE"""),12700.0)</f>
        <v>12700</v>
      </c>
      <c r="E8" s="1">
        <f>IFERROR(__xludf.DUMMYFUNCTION("""COMPUTED_VALUE"""),13500.0)</f>
        <v>13500</v>
      </c>
      <c r="F8" s="1">
        <f>IFERROR(__xludf.DUMMYFUNCTION("""COMPUTED_VALUE"""),2398324.0)</f>
        <v>2398324</v>
      </c>
    </row>
    <row r="9">
      <c r="A9" s="2">
        <f>IFERROR(__xludf.DUMMYFUNCTION("""COMPUTED_VALUE"""),44894.64583333333)</f>
        <v>44894.64583</v>
      </c>
      <c r="B9" s="1">
        <f>IFERROR(__xludf.DUMMYFUNCTION("""COMPUTED_VALUE"""),14150.0)</f>
        <v>14150</v>
      </c>
      <c r="C9" s="1">
        <f>IFERROR(__xludf.DUMMYFUNCTION("""COMPUTED_VALUE"""),14350.0)</f>
        <v>14350</v>
      </c>
      <c r="D9" s="1">
        <f>IFERROR(__xludf.DUMMYFUNCTION("""COMPUTED_VALUE"""),12150.0)</f>
        <v>12150</v>
      </c>
      <c r="E9" s="1">
        <f>IFERROR(__xludf.DUMMYFUNCTION("""COMPUTED_VALUE"""),12600.0)</f>
        <v>12600</v>
      </c>
      <c r="F9" s="1">
        <f>IFERROR(__xludf.DUMMYFUNCTION("""COMPUTED_VALUE"""),1693564.0)</f>
        <v>1693564</v>
      </c>
    </row>
    <row r="10">
      <c r="A10" s="2">
        <f>IFERROR(__xludf.DUMMYFUNCTION("""COMPUTED_VALUE"""),44895.64583333333)</f>
        <v>44895.64583</v>
      </c>
      <c r="B10" s="1">
        <f>IFERROR(__xludf.DUMMYFUNCTION("""COMPUTED_VALUE"""),12550.0)</f>
        <v>12550</v>
      </c>
      <c r="C10" s="1">
        <f>IFERROR(__xludf.DUMMYFUNCTION("""COMPUTED_VALUE"""),12900.0)</f>
        <v>12900</v>
      </c>
      <c r="D10" s="1">
        <f>IFERROR(__xludf.DUMMYFUNCTION("""COMPUTED_VALUE"""),11900.0)</f>
        <v>11900</v>
      </c>
      <c r="E10" s="1">
        <f>IFERROR(__xludf.DUMMYFUNCTION("""COMPUTED_VALUE"""),12600.0)</f>
        <v>12600</v>
      </c>
      <c r="F10" s="1">
        <f>IFERROR(__xludf.DUMMYFUNCTION("""COMPUTED_VALUE"""),681242.0)</f>
        <v>681242</v>
      </c>
    </row>
    <row r="11">
      <c r="A11" s="2">
        <f>IFERROR(__xludf.DUMMYFUNCTION("""COMPUTED_VALUE"""),44896.64583333333)</f>
        <v>44896.64583</v>
      </c>
      <c r="B11" s="1">
        <f>IFERROR(__xludf.DUMMYFUNCTION("""COMPUTED_VALUE"""),12600.0)</f>
        <v>12600</v>
      </c>
      <c r="C11" s="1">
        <f>IFERROR(__xludf.DUMMYFUNCTION("""COMPUTED_VALUE"""),13000.0)</f>
        <v>13000</v>
      </c>
      <c r="D11" s="1">
        <f>IFERROR(__xludf.DUMMYFUNCTION("""COMPUTED_VALUE"""),12000.0)</f>
        <v>12000</v>
      </c>
      <c r="E11" s="1">
        <f>IFERROR(__xludf.DUMMYFUNCTION("""COMPUTED_VALUE"""),12200.0)</f>
        <v>12200</v>
      </c>
      <c r="F11" s="1">
        <f>IFERROR(__xludf.DUMMYFUNCTION("""COMPUTED_VALUE"""),889885.0)</f>
        <v>889885</v>
      </c>
    </row>
    <row r="12">
      <c r="A12" s="2">
        <f>IFERROR(__xludf.DUMMYFUNCTION("""COMPUTED_VALUE"""),44897.64583333333)</f>
        <v>44897.64583</v>
      </c>
      <c r="B12" s="1">
        <f>IFERROR(__xludf.DUMMYFUNCTION("""COMPUTED_VALUE"""),12400.0)</f>
        <v>12400</v>
      </c>
      <c r="C12" s="1">
        <f>IFERROR(__xludf.DUMMYFUNCTION("""COMPUTED_VALUE"""),12950.0)</f>
        <v>12950</v>
      </c>
      <c r="D12" s="1">
        <f>IFERROR(__xludf.DUMMYFUNCTION("""COMPUTED_VALUE"""),11300.0)</f>
        <v>11300</v>
      </c>
      <c r="E12" s="1">
        <f>IFERROR(__xludf.DUMMYFUNCTION("""COMPUTED_VALUE"""),11300.0)</f>
        <v>11300</v>
      </c>
      <c r="F12" s="1">
        <f>IFERROR(__xludf.DUMMYFUNCTION("""COMPUTED_VALUE"""),1519689.0)</f>
        <v>1519689</v>
      </c>
    </row>
    <row r="13">
      <c r="A13" s="2">
        <f>IFERROR(__xludf.DUMMYFUNCTION("""COMPUTED_VALUE"""),44900.64583333333)</f>
        <v>44900.64583</v>
      </c>
      <c r="B13" s="1">
        <f>IFERROR(__xludf.DUMMYFUNCTION("""COMPUTED_VALUE"""),11450.0)</f>
        <v>11450</v>
      </c>
      <c r="C13" s="1">
        <f>IFERROR(__xludf.DUMMYFUNCTION("""COMPUTED_VALUE"""),11650.0)</f>
        <v>11650</v>
      </c>
      <c r="D13" s="1">
        <f>IFERROR(__xludf.DUMMYFUNCTION("""COMPUTED_VALUE"""),10950.0)</f>
        <v>10950</v>
      </c>
      <c r="E13" s="1">
        <f>IFERROR(__xludf.DUMMYFUNCTION("""COMPUTED_VALUE"""),11300.0)</f>
        <v>11300</v>
      </c>
      <c r="F13" s="1">
        <f>IFERROR(__xludf.DUMMYFUNCTION("""COMPUTED_VALUE"""),402463.0)</f>
        <v>402463</v>
      </c>
    </row>
    <row r="14">
      <c r="A14" s="2">
        <f>IFERROR(__xludf.DUMMYFUNCTION("""COMPUTED_VALUE"""),44901.64583333333)</f>
        <v>44901.64583</v>
      </c>
      <c r="B14" s="1">
        <f>IFERROR(__xludf.DUMMYFUNCTION("""COMPUTED_VALUE"""),11050.0)</f>
        <v>11050</v>
      </c>
      <c r="C14" s="1">
        <f>IFERROR(__xludf.DUMMYFUNCTION("""COMPUTED_VALUE"""),11650.0)</f>
        <v>11650</v>
      </c>
      <c r="D14" s="1">
        <f>IFERROR(__xludf.DUMMYFUNCTION("""COMPUTED_VALUE"""),10950.0)</f>
        <v>10950</v>
      </c>
      <c r="E14" s="1">
        <f>IFERROR(__xludf.DUMMYFUNCTION("""COMPUTED_VALUE"""),11650.0)</f>
        <v>11650</v>
      </c>
      <c r="F14" s="1">
        <f>IFERROR(__xludf.DUMMYFUNCTION("""COMPUTED_VALUE"""),293091.0)</f>
        <v>293091</v>
      </c>
    </row>
    <row r="15">
      <c r="A15" s="2">
        <f>IFERROR(__xludf.DUMMYFUNCTION("""COMPUTED_VALUE"""),44902.64583333333)</f>
        <v>44902.64583</v>
      </c>
      <c r="B15" s="1">
        <f>IFERROR(__xludf.DUMMYFUNCTION("""COMPUTED_VALUE"""),11350.0)</f>
        <v>11350</v>
      </c>
      <c r="C15" s="1">
        <f>IFERROR(__xludf.DUMMYFUNCTION("""COMPUTED_VALUE"""),11900.0)</f>
        <v>11900</v>
      </c>
      <c r="D15" s="1">
        <f>IFERROR(__xludf.DUMMYFUNCTION("""COMPUTED_VALUE"""),11150.0)</f>
        <v>11150</v>
      </c>
      <c r="E15" s="1">
        <f>IFERROR(__xludf.DUMMYFUNCTION("""COMPUTED_VALUE"""),11800.0)</f>
        <v>11800</v>
      </c>
      <c r="F15" s="1">
        <f>IFERROR(__xludf.DUMMYFUNCTION("""COMPUTED_VALUE"""),230103.0)</f>
        <v>230103</v>
      </c>
    </row>
    <row r="16">
      <c r="A16" s="2">
        <f>IFERROR(__xludf.DUMMYFUNCTION("""COMPUTED_VALUE"""),44903.64583333333)</f>
        <v>44903.64583</v>
      </c>
      <c r="B16" s="1">
        <f>IFERROR(__xludf.DUMMYFUNCTION("""COMPUTED_VALUE"""),11600.0)</f>
        <v>11600</v>
      </c>
      <c r="C16" s="1">
        <f>IFERROR(__xludf.DUMMYFUNCTION("""COMPUTED_VALUE"""),12000.0)</f>
        <v>12000</v>
      </c>
      <c r="D16" s="1">
        <f>IFERROR(__xludf.DUMMYFUNCTION("""COMPUTED_VALUE"""),11200.0)</f>
        <v>11200</v>
      </c>
      <c r="E16" s="1">
        <f>IFERROR(__xludf.DUMMYFUNCTION("""COMPUTED_VALUE"""),11200.0)</f>
        <v>11200</v>
      </c>
      <c r="F16" s="1">
        <f>IFERROR(__xludf.DUMMYFUNCTION("""COMPUTED_VALUE"""),177577.0)</f>
        <v>177577</v>
      </c>
    </row>
    <row r="17">
      <c r="A17" s="2">
        <f>IFERROR(__xludf.DUMMYFUNCTION("""COMPUTED_VALUE"""),44904.64583333333)</f>
        <v>44904.64583</v>
      </c>
      <c r="B17" s="1">
        <f>IFERROR(__xludf.DUMMYFUNCTION("""COMPUTED_VALUE"""),11300.0)</f>
        <v>11300</v>
      </c>
      <c r="C17" s="1">
        <f>IFERROR(__xludf.DUMMYFUNCTION("""COMPUTED_VALUE"""),11450.0)</f>
        <v>11450</v>
      </c>
      <c r="D17" s="1">
        <f>IFERROR(__xludf.DUMMYFUNCTION("""COMPUTED_VALUE"""),10950.0)</f>
        <v>10950</v>
      </c>
      <c r="E17" s="1">
        <f>IFERROR(__xludf.DUMMYFUNCTION("""COMPUTED_VALUE"""),11350.0)</f>
        <v>11350</v>
      </c>
      <c r="F17" s="1">
        <f>IFERROR(__xludf.DUMMYFUNCTION("""COMPUTED_VALUE"""),116221.0)</f>
        <v>116221</v>
      </c>
    </row>
    <row r="18">
      <c r="A18" s="2">
        <f>IFERROR(__xludf.DUMMYFUNCTION("""COMPUTED_VALUE"""),44907.64583333333)</f>
        <v>44907.64583</v>
      </c>
      <c r="B18" s="1">
        <f>IFERROR(__xludf.DUMMYFUNCTION("""COMPUTED_VALUE"""),11300.0)</f>
        <v>11300</v>
      </c>
      <c r="C18" s="1">
        <f>IFERROR(__xludf.DUMMYFUNCTION("""COMPUTED_VALUE"""),11300.0)</f>
        <v>11300</v>
      </c>
      <c r="D18" s="1">
        <f>IFERROR(__xludf.DUMMYFUNCTION("""COMPUTED_VALUE"""),10550.0)</f>
        <v>10550</v>
      </c>
      <c r="E18" s="1">
        <f>IFERROR(__xludf.DUMMYFUNCTION("""COMPUTED_VALUE"""),10700.0)</f>
        <v>10700</v>
      </c>
      <c r="F18" s="1">
        <f>IFERROR(__xludf.DUMMYFUNCTION("""COMPUTED_VALUE"""),140771.0)</f>
        <v>140771</v>
      </c>
    </row>
    <row r="19">
      <c r="A19" s="2">
        <f>IFERROR(__xludf.DUMMYFUNCTION("""COMPUTED_VALUE"""),44908.64583333333)</f>
        <v>44908.64583</v>
      </c>
      <c r="B19" s="1">
        <f>IFERROR(__xludf.DUMMYFUNCTION("""COMPUTED_VALUE"""),10800.0)</f>
        <v>10800</v>
      </c>
      <c r="C19" s="1">
        <f>IFERROR(__xludf.DUMMYFUNCTION("""COMPUTED_VALUE"""),10800.0)</f>
        <v>10800</v>
      </c>
      <c r="D19" s="1">
        <f>IFERROR(__xludf.DUMMYFUNCTION("""COMPUTED_VALUE"""),10300.0)</f>
        <v>10300</v>
      </c>
      <c r="E19" s="1">
        <f>IFERROR(__xludf.DUMMYFUNCTION("""COMPUTED_VALUE"""),10300.0)</f>
        <v>10300</v>
      </c>
      <c r="F19" s="1">
        <f>IFERROR(__xludf.DUMMYFUNCTION("""COMPUTED_VALUE"""),101690.0)</f>
        <v>101690</v>
      </c>
    </row>
    <row r="20">
      <c r="A20" s="2">
        <f>IFERROR(__xludf.DUMMYFUNCTION("""COMPUTED_VALUE"""),44909.64583333333)</f>
        <v>44909.64583</v>
      </c>
      <c r="B20" s="1">
        <f>IFERROR(__xludf.DUMMYFUNCTION("""COMPUTED_VALUE"""),10350.0)</f>
        <v>10350</v>
      </c>
      <c r="C20" s="1">
        <f>IFERROR(__xludf.DUMMYFUNCTION("""COMPUTED_VALUE"""),10450.0)</f>
        <v>10450</v>
      </c>
      <c r="D20" s="1">
        <f>IFERROR(__xludf.DUMMYFUNCTION("""COMPUTED_VALUE"""),10050.0)</f>
        <v>10050</v>
      </c>
      <c r="E20" s="1">
        <f>IFERROR(__xludf.DUMMYFUNCTION("""COMPUTED_VALUE"""),10300.0)</f>
        <v>10300</v>
      </c>
      <c r="F20" s="1">
        <f>IFERROR(__xludf.DUMMYFUNCTION("""COMPUTED_VALUE"""),111997.0)</f>
        <v>111997</v>
      </c>
    </row>
    <row r="21">
      <c r="A21" s="2">
        <f>IFERROR(__xludf.DUMMYFUNCTION("""COMPUTED_VALUE"""),44910.64583333333)</f>
        <v>44910.64583</v>
      </c>
      <c r="B21" s="1">
        <f>IFERROR(__xludf.DUMMYFUNCTION("""COMPUTED_VALUE"""),10200.0)</f>
        <v>10200</v>
      </c>
      <c r="C21" s="1">
        <f>IFERROR(__xludf.DUMMYFUNCTION("""COMPUTED_VALUE"""),11550.0)</f>
        <v>11550</v>
      </c>
      <c r="D21" s="1">
        <f>IFERROR(__xludf.DUMMYFUNCTION("""COMPUTED_VALUE"""),10150.0)</f>
        <v>10150</v>
      </c>
      <c r="E21" s="1">
        <f>IFERROR(__xludf.DUMMYFUNCTION("""COMPUTED_VALUE"""),10900.0)</f>
        <v>10900</v>
      </c>
      <c r="F21" s="1">
        <f>IFERROR(__xludf.DUMMYFUNCTION("""COMPUTED_VALUE"""),587671.0)</f>
        <v>587671</v>
      </c>
    </row>
    <row r="22">
      <c r="A22" s="2">
        <f>IFERROR(__xludf.DUMMYFUNCTION("""COMPUTED_VALUE"""),44911.64583333333)</f>
        <v>44911.64583</v>
      </c>
      <c r="B22" s="1">
        <f>IFERROR(__xludf.DUMMYFUNCTION("""COMPUTED_VALUE"""),10600.0)</f>
        <v>10600</v>
      </c>
      <c r="C22" s="1">
        <f>IFERROR(__xludf.DUMMYFUNCTION("""COMPUTED_VALUE"""),11450.0)</f>
        <v>11450</v>
      </c>
      <c r="D22" s="1">
        <f>IFERROR(__xludf.DUMMYFUNCTION("""COMPUTED_VALUE"""),10600.0)</f>
        <v>10600</v>
      </c>
      <c r="E22" s="1">
        <f>IFERROR(__xludf.DUMMYFUNCTION("""COMPUTED_VALUE"""),11150.0)</f>
        <v>11150</v>
      </c>
      <c r="F22" s="1">
        <f>IFERROR(__xludf.DUMMYFUNCTION("""COMPUTED_VALUE"""),188029.0)</f>
        <v>188029</v>
      </c>
    </row>
    <row r="23">
      <c r="A23" s="2">
        <f>IFERROR(__xludf.DUMMYFUNCTION("""COMPUTED_VALUE"""),44914.64583333333)</f>
        <v>44914.64583</v>
      </c>
      <c r="B23" s="1">
        <f>IFERROR(__xludf.DUMMYFUNCTION("""COMPUTED_VALUE"""),11300.0)</f>
        <v>11300</v>
      </c>
      <c r="C23" s="1">
        <f>IFERROR(__xludf.DUMMYFUNCTION("""COMPUTED_VALUE"""),11450.0)</f>
        <v>11450</v>
      </c>
      <c r="D23" s="1">
        <f>IFERROR(__xludf.DUMMYFUNCTION("""COMPUTED_VALUE"""),10550.0)</f>
        <v>10550</v>
      </c>
      <c r="E23" s="1">
        <f>IFERROR(__xludf.DUMMYFUNCTION("""COMPUTED_VALUE"""),10950.0)</f>
        <v>10950</v>
      </c>
      <c r="F23" s="1">
        <f>IFERROR(__xludf.DUMMYFUNCTION("""COMPUTED_VALUE"""),152230.0)</f>
        <v>152230</v>
      </c>
    </row>
    <row r="24">
      <c r="A24" s="2">
        <f>IFERROR(__xludf.DUMMYFUNCTION("""COMPUTED_VALUE"""),44915.64583333333)</f>
        <v>44915.64583</v>
      </c>
      <c r="B24" s="1">
        <f>IFERROR(__xludf.DUMMYFUNCTION("""COMPUTED_VALUE"""),10800.0)</f>
        <v>10800</v>
      </c>
      <c r="C24" s="1">
        <f>IFERROR(__xludf.DUMMYFUNCTION("""COMPUTED_VALUE"""),10950.0)</f>
        <v>10950</v>
      </c>
      <c r="D24" s="1">
        <f>IFERROR(__xludf.DUMMYFUNCTION("""COMPUTED_VALUE"""),10400.0)</f>
        <v>10400</v>
      </c>
      <c r="E24" s="1">
        <f>IFERROR(__xludf.DUMMYFUNCTION("""COMPUTED_VALUE"""),10500.0)</f>
        <v>10500</v>
      </c>
      <c r="F24" s="1">
        <f>IFERROR(__xludf.DUMMYFUNCTION("""COMPUTED_VALUE"""),92768.0)</f>
        <v>92768</v>
      </c>
    </row>
    <row r="25">
      <c r="A25" s="2">
        <f>IFERROR(__xludf.DUMMYFUNCTION("""COMPUTED_VALUE"""),44916.64583333333)</f>
        <v>44916.64583</v>
      </c>
      <c r="B25" s="1">
        <f>IFERROR(__xludf.DUMMYFUNCTION("""COMPUTED_VALUE"""),10800.0)</f>
        <v>10800</v>
      </c>
      <c r="C25" s="1">
        <f>IFERROR(__xludf.DUMMYFUNCTION("""COMPUTED_VALUE"""),11850.0)</f>
        <v>11850</v>
      </c>
      <c r="D25" s="1">
        <f>IFERROR(__xludf.DUMMYFUNCTION("""COMPUTED_VALUE"""),10650.0)</f>
        <v>10650</v>
      </c>
      <c r="E25" s="1">
        <f>IFERROR(__xludf.DUMMYFUNCTION("""COMPUTED_VALUE"""),11600.0)</f>
        <v>11600</v>
      </c>
      <c r="F25" s="1">
        <f>IFERROR(__xludf.DUMMYFUNCTION("""COMPUTED_VALUE"""),458920.0)</f>
        <v>458920</v>
      </c>
    </row>
    <row r="26">
      <c r="A26" s="2">
        <f>IFERROR(__xludf.DUMMYFUNCTION("""COMPUTED_VALUE"""),44917.64583333333)</f>
        <v>44917.64583</v>
      </c>
      <c r="B26" s="1">
        <f>IFERROR(__xludf.DUMMYFUNCTION("""COMPUTED_VALUE"""),11500.0)</f>
        <v>11500</v>
      </c>
      <c r="C26" s="1">
        <f>IFERROR(__xludf.DUMMYFUNCTION("""COMPUTED_VALUE"""),11950.0)</f>
        <v>11950</v>
      </c>
      <c r="D26" s="1">
        <f>IFERROR(__xludf.DUMMYFUNCTION("""COMPUTED_VALUE"""),11300.0)</f>
        <v>11300</v>
      </c>
      <c r="E26" s="1">
        <f>IFERROR(__xludf.DUMMYFUNCTION("""COMPUTED_VALUE"""),11550.0)</f>
        <v>11550</v>
      </c>
      <c r="F26" s="1">
        <f>IFERROR(__xludf.DUMMYFUNCTION("""COMPUTED_VALUE"""),205035.0)</f>
        <v>205035</v>
      </c>
    </row>
    <row r="27">
      <c r="A27" s="2">
        <f>IFERROR(__xludf.DUMMYFUNCTION("""COMPUTED_VALUE"""),44918.64583333333)</f>
        <v>44918.64583</v>
      </c>
      <c r="B27" s="1">
        <f>IFERROR(__xludf.DUMMYFUNCTION("""COMPUTED_VALUE"""),11400.0)</f>
        <v>11400</v>
      </c>
      <c r="C27" s="1">
        <f>IFERROR(__xludf.DUMMYFUNCTION("""COMPUTED_VALUE"""),11400.0)</f>
        <v>11400</v>
      </c>
      <c r="D27" s="1">
        <f>IFERROR(__xludf.DUMMYFUNCTION("""COMPUTED_VALUE"""),10600.0)</f>
        <v>10600</v>
      </c>
      <c r="E27" s="1">
        <f>IFERROR(__xludf.DUMMYFUNCTION("""COMPUTED_VALUE"""),10600.0)</f>
        <v>10600</v>
      </c>
      <c r="F27" s="1">
        <f>IFERROR(__xludf.DUMMYFUNCTION("""COMPUTED_VALUE"""),199692.0)</f>
        <v>199692</v>
      </c>
    </row>
    <row r="28">
      <c r="A28" s="2">
        <f>IFERROR(__xludf.DUMMYFUNCTION("""COMPUTED_VALUE"""),44921.64583333333)</f>
        <v>44921.64583</v>
      </c>
      <c r="B28" s="1">
        <f>IFERROR(__xludf.DUMMYFUNCTION("""COMPUTED_VALUE"""),10600.0)</f>
        <v>10600</v>
      </c>
      <c r="C28" s="1">
        <f>IFERROR(__xludf.DUMMYFUNCTION("""COMPUTED_VALUE"""),11400.0)</f>
        <v>11400</v>
      </c>
      <c r="D28" s="1">
        <f>IFERROR(__xludf.DUMMYFUNCTION("""COMPUTED_VALUE"""),10300.0)</f>
        <v>10300</v>
      </c>
      <c r="E28" s="1">
        <f>IFERROR(__xludf.DUMMYFUNCTION("""COMPUTED_VALUE"""),11050.0)</f>
        <v>11050</v>
      </c>
      <c r="F28" s="1">
        <f>IFERROR(__xludf.DUMMYFUNCTION("""COMPUTED_VALUE"""),184951.0)</f>
        <v>184951</v>
      </c>
    </row>
    <row r="29">
      <c r="A29" s="2">
        <f>IFERROR(__xludf.DUMMYFUNCTION("""COMPUTED_VALUE"""),44922.64583333333)</f>
        <v>44922.64583</v>
      </c>
      <c r="B29" s="1">
        <f>IFERROR(__xludf.DUMMYFUNCTION("""COMPUTED_VALUE"""),10850.0)</f>
        <v>10850</v>
      </c>
      <c r="C29" s="1">
        <f>IFERROR(__xludf.DUMMYFUNCTION("""COMPUTED_VALUE"""),12200.0)</f>
        <v>12200</v>
      </c>
      <c r="D29" s="1">
        <f>IFERROR(__xludf.DUMMYFUNCTION("""COMPUTED_VALUE"""),10850.0)</f>
        <v>10850</v>
      </c>
      <c r="E29" s="1">
        <f>IFERROR(__xludf.DUMMYFUNCTION("""COMPUTED_VALUE"""),11500.0)</f>
        <v>11500</v>
      </c>
      <c r="F29" s="1">
        <f>IFERROR(__xludf.DUMMYFUNCTION("""COMPUTED_VALUE"""),639343.0)</f>
        <v>639343</v>
      </c>
    </row>
    <row r="30">
      <c r="A30" s="2">
        <f>IFERROR(__xludf.DUMMYFUNCTION("""COMPUTED_VALUE"""),44923.64583333333)</f>
        <v>44923.64583</v>
      </c>
      <c r="B30" s="1">
        <f>IFERROR(__xludf.DUMMYFUNCTION("""COMPUTED_VALUE"""),11450.0)</f>
        <v>11450</v>
      </c>
      <c r="C30" s="1">
        <f>IFERROR(__xludf.DUMMYFUNCTION("""COMPUTED_VALUE"""),12750.0)</f>
        <v>12750</v>
      </c>
      <c r="D30" s="1">
        <f>IFERROR(__xludf.DUMMYFUNCTION("""COMPUTED_VALUE"""),11350.0)</f>
        <v>11350</v>
      </c>
      <c r="E30" s="1">
        <f>IFERROR(__xludf.DUMMYFUNCTION("""COMPUTED_VALUE"""),12450.0)</f>
        <v>12450</v>
      </c>
      <c r="F30" s="1">
        <f>IFERROR(__xludf.DUMMYFUNCTION("""COMPUTED_VALUE"""),581058.0)</f>
        <v>581058</v>
      </c>
    </row>
    <row r="31">
      <c r="A31" s="2">
        <f>IFERROR(__xludf.DUMMYFUNCTION("""COMPUTED_VALUE"""),44924.64583333333)</f>
        <v>44924.64583</v>
      </c>
      <c r="B31" s="1">
        <f>IFERROR(__xludf.DUMMYFUNCTION("""COMPUTED_VALUE"""),12200.0)</f>
        <v>12200</v>
      </c>
      <c r="C31" s="1">
        <f>IFERROR(__xludf.DUMMYFUNCTION("""COMPUTED_VALUE"""),12600.0)</f>
        <v>12600</v>
      </c>
      <c r="D31" s="1">
        <f>IFERROR(__xludf.DUMMYFUNCTION("""COMPUTED_VALUE"""),11700.0)</f>
        <v>11700</v>
      </c>
      <c r="E31" s="1">
        <f>IFERROR(__xludf.DUMMYFUNCTION("""COMPUTED_VALUE"""),12600.0)</f>
        <v>12600</v>
      </c>
      <c r="F31" s="1">
        <f>IFERROR(__xludf.DUMMYFUNCTION("""COMPUTED_VALUE"""),138378.0)</f>
        <v>138378</v>
      </c>
    </row>
    <row r="32">
      <c r="A32" s="2">
        <f>IFERROR(__xludf.DUMMYFUNCTION("""COMPUTED_VALUE"""),44928.64583333333)</f>
        <v>44928.64583</v>
      </c>
      <c r="B32" s="1">
        <f>IFERROR(__xludf.DUMMYFUNCTION("""COMPUTED_VALUE"""),12900.0)</f>
        <v>12900</v>
      </c>
      <c r="C32" s="1">
        <f>IFERROR(__xludf.DUMMYFUNCTION("""COMPUTED_VALUE"""),13250.0)</f>
        <v>13250</v>
      </c>
      <c r="D32" s="1">
        <f>IFERROR(__xludf.DUMMYFUNCTION("""COMPUTED_VALUE"""),12400.0)</f>
        <v>12400</v>
      </c>
      <c r="E32" s="1">
        <f>IFERROR(__xludf.DUMMYFUNCTION("""COMPUTED_VALUE"""),12550.0)</f>
        <v>12550</v>
      </c>
      <c r="F32" s="1">
        <f>IFERROR(__xludf.DUMMYFUNCTION("""COMPUTED_VALUE"""),316245.0)</f>
        <v>316245</v>
      </c>
    </row>
    <row r="33">
      <c r="A33" s="2">
        <f>IFERROR(__xludf.DUMMYFUNCTION("""COMPUTED_VALUE"""),44929.64583333333)</f>
        <v>44929.64583</v>
      </c>
      <c r="B33" s="1">
        <f>IFERROR(__xludf.DUMMYFUNCTION("""COMPUTED_VALUE"""),12350.0)</f>
        <v>12350</v>
      </c>
      <c r="C33" s="1">
        <f>IFERROR(__xludf.DUMMYFUNCTION("""COMPUTED_VALUE"""),13200.0)</f>
        <v>13200</v>
      </c>
      <c r="D33" s="1">
        <f>IFERROR(__xludf.DUMMYFUNCTION("""COMPUTED_VALUE"""),12350.0)</f>
        <v>12350</v>
      </c>
      <c r="E33" s="1">
        <f>IFERROR(__xludf.DUMMYFUNCTION("""COMPUTED_VALUE"""),12900.0)</f>
        <v>12900</v>
      </c>
      <c r="F33" s="1">
        <f>IFERROR(__xludf.DUMMYFUNCTION("""COMPUTED_VALUE"""),171547.0)</f>
        <v>171547</v>
      </c>
    </row>
    <row r="34">
      <c r="A34" s="2">
        <f>IFERROR(__xludf.DUMMYFUNCTION("""COMPUTED_VALUE"""),44930.64583333333)</f>
        <v>44930.64583</v>
      </c>
      <c r="B34" s="1">
        <f>IFERROR(__xludf.DUMMYFUNCTION("""COMPUTED_VALUE"""),12900.0)</f>
        <v>12900</v>
      </c>
      <c r="C34" s="1">
        <f>IFERROR(__xludf.DUMMYFUNCTION("""COMPUTED_VALUE"""),13250.0)</f>
        <v>13250</v>
      </c>
      <c r="D34" s="1">
        <f>IFERROR(__xludf.DUMMYFUNCTION("""COMPUTED_VALUE"""),12500.0)</f>
        <v>12500</v>
      </c>
      <c r="E34" s="1">
        <f>IFERROR(__xludf.DUMMYFUNCTION("""COMPUTED_VALUE"""),13000.0)</f>
        <v>13000</v>
      </c>
      <c r="F34" s="1">
        <f>IFERROR(__xludf.DUMMYFUNCTION("""COMPUTED_VALUE"""),105564.0)</f>
        <v>105564</v>
      </c>
    </row>
    <row r="35">
      <c r="A35" s="2">
        <f>IFERROR(__xludf.DUMMYFUNCTION("""COMPUTED_VALUE"""),44931.64583333333)</f>
        <v>44931.64583</v>
      </c>
      <c r="B35" s="1">
        <f>IFERROR(__xludf.DUMMYFUNCTION("""COMPUTED_VALUE"""),13050.0)</f>
        <v>13050</v>
      </c>
      <c r="C35" s="1">
        <f>IFERROR(__xludf.DUMMYFUNCTION("""COMPUTED_VALUE"""),13600.0)</f>
        <v>13600</v>
      </c>
      <c r="D35" s="1">
        <f>IFERROR(__xludf.DUMMYFUNCTION("""COMPUTED_VALUE"""),12800.0)</f>
        <v>12800</v>
      </c>
      <c r="E35" s="1">
        <f>IFERROR(__xludf.DUMMYFUNCTION("""COMPUTED_VALUE"""),12900.0)</f>
        <v>12900</v>
      </c>
      <c r="F35" s="1">
        <f>IFERROR(__xludf.DUMMYFUNCTION("""COMPUTED_VALUE"""),131066.0)</f>
        <v>131066</v>
      </c>
    </row>
    <row r="36">
      <c r="A36" s="2">
        <f>IFERROR(__xludf.DUMMYFUNCTION("""COMPUTED_VALUE"""),44932.64583333333)</f>
        <v>44932.64583</v>
      </c>
      <c r="B36" s="1">
        <f>IFERROR(__xludf.DUMMYFUNCTION("""COMPUTED_VALUE"""),12900.0)</f>
        <v>12900</v>
      </c>
      <c r="C36" s="1">
        <f>IFERROR(__xludf.DUMMYFUNCTION("""COMPUTED_VALUE"""),13650.0)</f>
        <v>13650</v>
      </c>
      <c r="D36" s="1">
        <f>IFERROR(__xludf.DUMMYFUNCTION("""COMPUTED_VALUE"""),12650.0)</f>
        <v>12650</v>
      </c>
      <c r="E36" s="1">
        <f>IFERROR(__xludf.DUMMYFUNCTION("""COMPUTED_VALUE"""),12850.0)</f>
        <v>12850</v>
      </c>
      <c r="F36" s="1">
        <f>IFERROR(__xludf.DUMMYFUNCTION("""COMPUTED_VALUE"""),225368.0)</f>
        <v>225368</v>
      </c>
    </row>
    <row r="37">
      <c r="A37" s="2">
        <f>IFERROR(__xludf.DUMMYFUNCTION("""COMPUTED_VALUE"""),44935.64583333333)</f>
        <v>44935.64583</v>
      </c>
      <c r="B37" s="1">
        <f>IFERROR(__xludf.DUMMYFUNCTION("""COMPUTED_VALUE"""),13000.0)</f>
        <v>13000</v>
      </c>
      <c r="C37" s="1">
        <f>IFERROR(__xludf.DUMMYFUNCTION("""COMPUTED_VALUE"""),13100.0)</f>
        <v>13100</v>
      </c>
      <c r="D37" s="1">
        <f>IFERROR(__xludf.DUMMYFUNCTION("""COMPUTED_VALUE"""),12600.0)</f>
        <v>12600</v>
      </c>
      <c r="E37" s="1">
        <f>IFERROR(__xludf.DUMMYFUNCTION("""COMPUTED_VALUE"""),12750.0)</f>
        <v>12750</v>
      </c>
      <c r="F37" s="1">
        <f>IFERROR(__xludf.DUMMYFUNCTION("""COMPUTED_VALUE"""),139107.0)</f>
        <v>139107</v>
      </c>
    </row>
    <row r="38">
      <c r="A38" s="2">
        <f>IFERROR(__xludf.DUMMYFUNCTION("""COMPUTED_VALUE"""),44936.64583333333)</f>
        <v>44936.64583</v>
      </c>
      <c r="B38" s="1">
        <f>IFERROR(__xludf.DUMMYFUNCTION("""COMPUTED_VALUE"""),12750.0)</f>
        <v>12750</v>
      </c>
      <c r="C38" s="1">
        <f>IFERROR(__xludf.DUMMYFUNCTION("""COMPUTED_VALUE"""),13300.0)</f>
        <v>13300</v>
      </c>
      <c r="D38" s="1">
        <f>IFERROR(__xludf.DUMMYFUNCTION("""COMPUTED_VALUE"""),12500.0)</f>
        <v>12500</v>
      </c>
      <c r="E38" s="1">
        <f>IFERROR(__xludf.DUMMYFUNCTION("""COMPUTED_VALUE"""),13300.0)</f>
        <v>13300</v>
      </c>
      <c r="F38" s="1">
        <f>IFERROR(__xludf.DUMMYFUNCTION("""COMPUTED_VALUE"""),129271.0)</f>
        <v>129271</v>
      </c>
    </row>
    <row r="39">
      <c r="A39" s="2">
        <f>IFERROR(__xludf.DUMMYFUNCTION("""COMPUTED_VALUE"""),44937.64583333333)</f>
        <v>44937.64583</v>
      </c>
      <c r="B39" s="1">
        <f>IFERROR(__xludf.DUMMYFUNCTION("""COMPUTED_VALUE"""),13850.0)</f>
        <v>13850</v>
      </c>
      <c r="C39" s="1">
        <f>IFERROR(__xludf.DUMMYFUNCTION("""COMPUTED_VALUE"""),14450.0)</f>
        <v>14450</v>
      </c>
      <c r="D39" s="1">
        <f>IFERROR(__xludf.DUMMYFUNCTION("""COMPUTED_VALUE"""),13550.0)</f>
        <v>13550</v>
      </c>
      <c r="E39" s="1">
        <f>IFERROR(__xludf.DUMMYFUNCTION("""COMPUTED_VALUE"""),14100.0)</f>
        <v>14100</v>
      </c>
      <c r="F39" s="1">
        <f>IFERROR(__xludf.DUMMYFUNCTION("""COMPUTED_VALUE"""),666836.0)</f>
        <v>666836</v>
      </c>
    </row>
    <row r="40">
      <c r="A40" s="2">
        <f>IFERROR(__xludf.DUMMYFUNCTION("""COMPUTED_VALUE"""),44938.64583333333)</f>
        <v>44938.64583</v>
      </c>
      <c r="B40" s="1">
        <f>IFERROR(__xludf.DUMMYFUNCTION("""COMPUTED_VALUE"""),13950.0)</f>
        <v>13950</v>
      </c>
      <c r="C40" s="1">
        <f>IFERROR(__xludf.DUMMYFUNCTION("""COMPUTED_VALUE"""),14350.0)</f>
        <v>14350</v>
      </c>
      <c r="D40" s="1">
        <f>IFERROR(__xludf.DUMMYFUNCTION("""COMPUTED_VALUE"""),13650.0)</f>
        <v>13650</v>
      </c>
      <c r="E40" s="1">
        <f>IFERROR(__xludf.DUMMYFUNCTION("""COMPUTED_VALUE"""),13700.0)</f>
        <v>13700</v>
      </c>
      <c r="F40" s="1">
        <f>IFERROR(__xludf.DUMMYFUNCTION("""COMPUTED_VALUE"""),200532.0)</f>
        <v>200532</v>
      </c>
    </row>
    <row r="41">
      <c r="A41" s="2">
        <f>IFERROR(__xludf.DUMMYFUNCTION("""COMPUTED_VALUE"""),44939.64583333333)</f>
        <v>44939.64583</v>
      </c>
      <c r="B41" s="1">
        <f>IFERROR(__xludf.DUMMYFUNCTION("""COMPUTED_VALUE"""),13800.0)</f>
        <v>13800</v>
      </c>
      <c r="C41" s="1">
        <f>IFERROR(__xludf.DUMMYFUNCTION("""COMPUTED_VALUE"""),15150.0)</f>
        <v>15150</v>
      </c>
      <c r="D41" s="1">
        <f>IFERROR(__xludf.DUMMYFUNCTION("""COMPUTED_VALUE"""),13500.0)</f>
        <v>13500</v>
      </c>
      <c r="E41" s="1">
        <f>IFERROR(__xludf.DUMMYFUNCTION("""COMPUTED_VALUE"""),14300.0)</f>
        <v>14300</v>
      </c>
      <c r="F41" s="1">
        <f>IFERROR(__xludf.DUMMYFUNCTION("""COMPUTED_VALUE"""),542684.0)</f>
        <v>542684</v>
      </c>
    </row>
    <row r="42">
      <c r="A42" s="2">
        <f>IFERROR(__xludf.DUMMYFUNCTION("""COMPUTED_VALUE"""),44942.64583333333)</f>
        <v>44942.64583</v>
      </c>
      <c r="B42" s="1">
        <f>IFERROR(__xludf.DUMMYFUNCTION("""COMPUTED_VALUE"""),14350.0)</f>
        <v>14350</v>
      </c>
      <c r="C42" s="1">
        <f>IFERROR(__xludf.DUMMYFUNCTION("""COMPUTED_VALUE"""),15850.0)</f>
        <v>15850</v>
      </c>
      <c r="D42" s="1">
        <f>IFERROR(__xludf.DUMMYFUNCTION("""COMPUTED_VALUE"""),14150.0)</f>
        <v>14150</v>
      </c>
      <c r="E42" s="1">
        <f>IFERROR(__xludf.DUMMYFUNCTION("""COMPUTED_VALUE"""),14750.0)</f>
        <v>14750</v>
      </c>
      <c r="F42" s="1">
        <f>IFERROR(__xludf.DUMMYFUNCTION("""COMPUTED_VALUE"""),919165.0)</f>
        <v>919165</v>
      </c>
    </row>
    <row r="43">
      <c r="A43" s="2">
        <f>IFERROR(__xludf.DUMMYFUNCTION("""COMPUTED_VALUE"""),44943.64583333333)</f>
        <v>44943.64583</v>
      </c>
      <c r="B43" s="1">
        <f>IFERROR(__xludf.DUMMYFUNCTION("""COMPUTED_VALUE"""),14750.0)</f>
        <v>14750</v>
      </c>
      <c r="C43" s="1">
        <f>IFERROR(__xludf.DUMMYFUNCTION("""COMPUTED_VALUE"""),15450.0)</f>
        <v>15450</v>
      </c>
      <c r="D43" s="1">
        <f>IFERROR(__xludf.DUMMYFUNCTION("""COMPUTED_VALUE"""),14350.0)</f>
        <v>14350</v>
      </c>
      <c r="E43" s="1">
        <f>IFERROR(__xludf.DUMMYFUNCTION("""COMPUTED_VALUE"""),14950.0)</f>
        <v>14950</v>
      </c>
      <c r="F43" s="1">
        <f>IFERROR(__xludf.DUMMYFUNCTION("""COMPUTED_VALUE"""),325930.0)</f>
        <v>325930</v>
      </c>
    </row>
    <row r="44">
      <c r="A44" s="2">
        <f>IFERROR(__xludf.DUMMYFUNCTION("""COMPUTED_VALUE"""),44944.64583333333)</f>
        <v>44944.64583</v>
      </c>
      <c r="B44" s="1">
        <f>IFERROR(__xludf.DUMMYFUNCTION("""COMPUTED_VALUE"""),14950.0)</f>
        <v>14950</v>
      </c>
      <c r="C44" s="1">
        <f>IFERROR(__xludf.DUMMYFUNCTION("""COMPUTED_VALUE"""),14950.0)</f>
        <v>14950</v>
      </c>
      <c r="D44" s="1">
        <f>IFERROR(__xludf.DUMMYFUNCTION("""COMPUTED_VALUE"""),14150.0)</f>
        <v>14150</v>
      </c>
      <c r="E44" s="1">
        <f>IFERROR(__xludf.DUMMYFUNCTION("""COMPUTED_VALUE"""),14600.0)</f>
        <v>14600</v>
      </c>
      <c r="F44" s="1">
        <f>IFERROR(__xludf.DUMMYFUNCTION("""COMPUTED_VALUE"""),240193.0)</f>
        <v>240193</v>
      </c>
    </row>
    <row r="45">
      <c r="A45" s="2">
        <f>IFERROR(__xludf.DUMMYFUNCTION("""COMPUTED_VALUE"""),44945.64583333333)</f>
        <v>44945.64583</v>
      </c>
      <c r="B45" s="1">
        <f>IFERROR(__xludf.DUMMYFUNCTION("""COMPUTED_VALUE"""),14300.0)</f>
        <v>14300</v>
      </c>
      <c r="C45" s="1">
        <f>IFERROR(__xludf.DUMMYFUNCTION("""COMPUTED_VALUE"""),14650.0)</f>
        <v>14650</v>
      </c>
      <c r="D45" s="1">
        <f>IFERROR(__xludf.DUMMYFUNCTION("""COMPUTED_VALUE"""),14050.0)</f>
        <v>14050</v>
      </c>
      <c r="E45" s="1">
        <f>IFERROR(__xludf.DUMMYFUNCTION("""COMPUTED_VALUE"""),14500.0)</f>
        <v>14500</v>
      </c>
      <c r="F45" s="1">
        <f>IFERROR(__xludf.DUMMYFUNCTION("""COMPUTED_VALUE"""),139659.0)</f>
        <v>139659</v>
      </c>
    </row>
    <row r="46">
      <c r="A46" s="2">
        <f>IFERROR(__xludf.DUMMYFUNCTION("""COMPUTED_VALUE"""),44946.64583333333)</f>
        <v>44946.64583</v>
      </c>
      <c r="B46" s="1">
        <f>IFERROR(__xludf.DUMMYFUNCTION("""COMPUTED_VALUE"""),14350.0)</f>
        <v>14350</v>
      </c>
      <c r="C46" s="1">
        <f>IFERROR(__xludf.DUMMYFUNCTION("""COMPUTED_VALUE"""),14800.0)</f>
        <v>14800</v>
      </c>
      <c r="D46" s="1">
        <f>IFERROR(__xludf.DUMMYFUNCTION("""COMPUTED_VALUE"""),13900.0)</f>
        <v>13900</v>
      </c>
      <c r="E46" s="1">
        <f>IFERROR(__xludf.DUMMYFUNCTION("""COMPUTED_VALUE"""),14400.0)</f>
        <v>14400</v>
      </c>
      <c r="F46" s="1">
        <f>IFERROR(__xludf.DUMMYFUNCTION("""COMPUTED_VALUE"""),171203.0)</f>
        <v>171203</v>
      </c>
    </row>
    <row r="47">
      <c r="A47" s="2">
        <f>IFERROR(__xludf.DUMMYFUNCTION("""COMPUTED_VALUE"""),44951.64583333333)</f>
        <v>44951.64583</v>
      </c>
      <c r="B47" s="1">
        <f>IFERROR(__xludf.DUMMYFUNCTION("""COMPUTED_VALUE"""),14520.0)</f>
        <v>14520</v>
      </c>
      <c r="C47" s="1">
        <f>IFERROR(__xludf.DUMMYFUNCTION("""COMPUTED_VALUE"""),15260.0)</f>
        <v>15260</v>
      </c>
      <c r="D47" s="1">
        <f>IFERROR(__xludf.DUMMYFUNCTION("""COMPUTED_VALUE"""),14200.0)</f>
        <v>14200</v>
      </c>
      <c r="E47" s="1">
        <f>IFERROR(__xludf.DUMMYFUNCTION("""COMPUTED_VALUE"""),15150.0)</f>
        <v>15150</v>
      </c>
      <c r="F47" s="1">
        <f>IFERROR(__xludf.DUMMYFUNCTION("""COMPUTED_VALUE"""),179124.0)</f>
        <v>179124</v>
      </c>
    </row>
    <row r="48">
      <c r="A48" s="2">
        <f>IFERROR(__xludf.DUMMYFUNCTION("""COMPUTED_VALUE"""),44952.64583333333)</f>
        <v>44952.64583</v>
      </c>
      <c r="B48" s="1">
        <f>IFERROR(__xludf.DUMMYFUNCTION("""COMPUTED_VALUE"""),15150.0)</f>
        <v>15150</v>
      </c>
      <c r="C48" s="1">
        <f>IFERROR(__xludf.DUMMYFUNCTION("""COMPUTED_VALUE"""),15330.0)</f>
        <v>15330</v>
      </c>
      <c r="D48" s="1">
        <f>IFERROR(__xludf.DUMMYFUNCTION("""COMPUTED_VALUE"""),14780.0)</f>
        <v>14780</v>
      </c>
      <c r="E48" s="1">
        <f>IFERROR(__xludf.DUMMYFUNCTION("""COMPUTED_VALUE"""),14910.0)</f>
        <v>14910</v>
      </c>
      <c r="F48" s="1">
        <f>IFERROR(__xludf.DUMMYFUNCTION("""COMPUTED_VALUE"""),161193.0)</f>
        <v>161193</v>
      </c>
    </row>
    <row r="49">
      <c r="A49" s="2">
        <f>IFERROR(__xludf.DUMMYFUNCTION("""COMPUTED_VALUE"""),44953.64583333333)</f>
        <v>44953.64583</v>
      </c>
      <c r="B49" s="1">
        <f>IFERROR(__xludf.DUMMYFUNCTION("""COMPUTED_VALUE"""),14900.0)</f>
        <v>14900</v>
      </c>
      <c r="C49" s="1">
        <f>IFERROR(__xludf.DUMMYFUNCTION("""COMPUTED_VALUE"""),14900.0)</f>
        <v>14900</v>
      </c>
      <c r="D49" s="1">
        <f>IFERROR(__xludf.DUMMYFUNCTION("""COMPUTED_VALUE"""),13960.0)</f>
        <v>13960</v>
      </c>
      <c r="E49" s="1">
        <f>IFERROR(__xludf.DUMMYFUNCTION("""COMPUTED_VALUE"""),14250.0)</f>
        <v>14250</v>
      </c>
      <c r="F49" s="1">
        <f>IFERROR(__xludf.DUMMYFUNCTION("""COMPUTED_VALUE"""),172553.0)</f>
        <v>172553</v>
      </c>
    </row>
    <row r="50">
      <c r="A50" s="2">
        <f>IFERROR(__xludf.DUMMYFUNCTION("""COMPUTED_VALUE"""),44956.64583333333)</f>
        <v>44956.64583</v>
      </c>
      <c r="B50" s="1">
        <f>IFERROR(__xludf.DUMMYFUNCTION("""COMPUTED_VALUE"""),14250.0)</f>
        <v>14250</v>
      </c>
      <c r="C50" s="1">
        <f>IFERROR(__xludf.DUMMYFUNCTION("""COMPUTED_VALUE"""),14250.0)</f>
        <v>14250</v>
      </c>
      <c r="D50" s="1">
        <f>IFERROR(__xludf.DUMMYFUNCTION("""COMPUTED_VALUE"""),13540.0)</f>
        <v>13540</v>
      </c>
      <c r="E50" s="1">
        <f>IFERROR(__xludf.DUMMYFUNCTION("""COMPUTED_VALUE"""),13900.0)</f>
        <v>13900</v>
      </c>
      <c r="F50" s="1">
        <f>IFERROR(__xludf.DUMMYFUNCTION("""COMPUTED_VALUE"""),157680.0)</f>
        <v>157680</v>
      </c>
    </row>
    <row r="51">
      <c r="A51" s="2">
        <f>IFERROR(__xludf.DUMMYFUNCTION("""COMPUTED_VALUE"""),44957.64583333333)</f>
        <v>44957.64583</v>
      </c>
      <c r="B51" s="1">
        <f>IFERROR(__xludf.DUMMYFUNCTION("""COMPUTED_VALUE"""),13720.0)</f>
        <v>13720</v>
      </c>
      <c r="C51" s="1">
        <f>IFERROR(__xludf.DUMMYFUNCTION("""COMPUTED_VALUE"""),13890.0)</f>
        <v>13890</v>
      </c>
      <c r="D51" s="1">
        <f>IFERROR(__xludf.DUMMYFUNCTION("""COMPUTED_VALUE"""),13450.0)</f>
        <v>13450</v>
      </c>
      <c r="E51" s="1">
        <f>IFERROR(__xludf.DUMMYFUNCTION("""COMPUTED_VALUE"""),13600.0)</f>
        <v>13600</v>
      </c>
      <c r="F51" s="1">
        <f>IFERROR(__xludf.DUMMYFUNCTION("""COMPUTED_VALUE"""),83459.0)</f>
        <v>83459</v>
      </c>
    </row>
    <row r="52">
      <c r="A52" s="2">
        <f>IFERROR(__xludf.DUMMYFUNCTION("""COMPUTED_VALUE"""),44958.64583333333)</f>
        <v>44958.64583</v>
      </c>
      <c r="B52" s="1">
        <f>IFERROR(__xludf.DUMMYFUNCTION("""COMPUTED_VALUE"""),13800.0)</f>
        <v>13800</v>
      </c>
      <c r="C52" s="1">
        <f>IFERROR(__xludf.DUMMYFUNCTION("""COMPUTED_VALUE"""),14880.0)</f>
        <v>14880</v>
      </c>
      <c r="D52" s="1">
        <f>IFERROR(__xludf.DUMMYFUNCTION("""COMPUTED_VALUE"""),13800.0)</f>
        <v>13800</v>
      </c>
      <c r="E52" s="1">
        <f>IFERROR(__xludf.DUMMYFUNCTION("""COMPUTED_VALUE"""),14540.0)</f>
        <v>14540</v>
      </c>
      <c r="F52" s="1">
        <f>IFERROR(__xludf.DUMMYFUNCTION("""COMPUTED_VALUE"""),333669.0)</f>
        <v>333669</v>
      </c>
    </row>
    <row r="53">
      <c r="A53" s="2">
        <f>IFERROR(__xludf.DUMMYFUNCTION("""COMPUTED_VALUE"""),44959.64583333333)</f>
        <v>44959.64583</v>
      </c>
      <c r="B53" s="1">
        <f>IFERROR(__xludf.DUMMYFUNCTION("""COMPUTED_VALUE"""),14600.0)</f>
        <v>14600</v>
      </c>
      <c r="C53" s="1">
        <f>IFERROR(__xludf.DUMMYFUNCTION("""COMPUTED_VALUE"""),14770.0)</f>
        <v>14770</v>
      </c>
      <c r="D53" s="1">
        <f>IFERROR(__xludf.DUMMYFUNCTION("""COMPUTED_VALUE"""),14160.0)</f>
        <v>14160</v>
      </c>
      <c r="E53" s="1">
        <f>IFERROR(__xludf.DUMMYFUNCTION("""COMPUTED_VALUE"""),14170.0)</f>
        <v>14170</v>
      </c>
      <c r="F53" s="1">
        <f>IFERROR(__xludf.DUMMYFUNCTION("""COMPUTED_VALUE"""),122644.0)</f>
        <v>122644</v>
      </c>
    </row>
    <row r="54">
      <c r="A54" s="2">
        <f>IFERROR(__xludf.DUMMYFUNCTION("""COMPUTED_VALUE"""),44960.64583333333)</f>
        <v>44960.64583</v>
      </c>
      <c r="B54" s="1">
        <f>IFERROR(__xludf.DUMMYFUNCTION("""COMPUTED_VALUE"""),14210.0)</f>
        <v>14210</v>
      </c>
      <c r="C54" s="1">
        <f>IFERROR(__xludf.DUMMYFUNCTION("""COMPUTED_VALUE"""),14850.0)</f>
        <v>14850</v>
      </c>
      <c r="D54" s="1">
        <f>IFERROR(__xludf.DUMMYFUNCTION("""COMPUTED_VALUE"""),13930.0)</f>
        <v>13930</v>
      </c>
      <c r="E54" s="1">
        <f>IFERROR(__xludf.DUMMYFUNCTION("""COMPUTED_VALUE"""),13980.0)</f>
        <v>13980</v>
      </c>
      <c r="F54" s="1">
        <f>IFERROR(__xludf.DUMMYFUNCTION("""COMPUTED_VALUE"""),132145.0)</f>
        <v>132145</v>
      </c>
    </row>
    <row r="55">
      <c r="A55" s="2">
        <f>IFERROR(__xludf.DUMMYFUNCTION("""COMPUTED_VALUE"""),44963.64583333333)</f>
        <v>44963.64583</v>
      </c>
      <c r="B55" s="1">
        <f>IFERROR(__xludf.DUMMYFUNCTION("""COMPUTED_VALUE"""),13900.0)</f>
        <v>13900</v>
      </c>
      <c r="C55" s="1">
        <f>IFERROR(__xludf.DUMMYFUNCTION("""COMPUTED_VALUE"""),14110.0)</f>
        <v>14110</v>
      </c>
      <c r="D55" s="1">
        <f>IFERROR(__xludf.DUMMYFUNCTION("""COMPUTED_VALUE"""),13690.0)</f>
        <v>13690</v>
      </c>
      <c r="E55" s="1">
        <f>IFERROR(__xludf.DUMMYFUNCTION("""COMPUTED_VALUE"""),13980.0)</f>
        <v>13980</v>
      </c>
      <c r="F55" s="1">
        <f>IFERROR(__xludf.DUMMYFUNCTION("""COMPUTED_VALUE"""),53903.0)</f>
        <v>53903</v>
      </c>
    </row>
    <row r="56">
      <c r="A56" s="2">
        <f>IFERROR(__xludf.DUMMYFUNCTION("""COMPUTED_VALUE"""),44964.64583333333)</f>
        <v>44964.64583</v>
      </c>
      <c r="B56" s="1">
        <f>IFERROR(__xludf.DUMMYFUNCTION("""COMPUTED_VALUE"""),14180.0)</f>
        <v>14180</v>
      </c>
      <c r="C56" s="1">
        <f>IFERROR(__xludf.DUMMYFUNCTION("""COMPUTED_VALUE"""),14330.0)</f>
        <v>14330</v>
      </c>
      <c r="D56" s="1">
        <f>IFERROR(__xludf.DUMMYFUNCTION("""COMPUTED_VALUE"""),13810.0)</f>
        <v>13810</v>
      </c>
      <c r="E56" s="1">
        <f>IFERROR(__xludf.DUMMYFUNCTION("""COMPUTED_VALUE"""),14000.0)</f>
        <v>14000</v>
      </c>
      <c r="F56" s="1">
        <f>IFERROR(__xludf.DUMMYFUNCTION("""COMPUTED_VALUE"""),61906.0)</f>
        <v>61906</v>
      </c>
    </row>
    <row r="57">
      <c r="A57" s="2">
        <f>IFERROR(__xludf.DUMMYFUNCTION("""COMPUTED_VALUE"""),44965.64583333333)</f>
        <v>44965.64583</v>
      </c>
      <c r="B57" s="1">
        <f>IFERROR(__xludf.DUMMYFUNCTION("""COMPUTED_VALUE"""),14340.0)</f>
        <v>14340</v>
      </c>
      <c r="C57" s="1">
        <f>IFERROR(__xludf.DUMMYFUNCTION("""COMPUTED_VALUE"""),15030.0)</f>
        <v>15030</v>
      </c>
      <c r="D57" s="1">
        <f>IFERROR(__xludf.DUMMYFUNCTION("""COMPUTED_VALUE"""),14100.0)</f>
        <v>14100</v>
      </c>
      <c r="E57" s="1">
        <f>IFERROR(__xludf.DUMMYFUNCTION("""COMPUTED_VALUE"""),14800.0)</f>
        <v>14800</v>
      </c>
      <c r="F57" s="1">
        <f>IFERROR(__xludf.DUMMYFUNCTION("""COMPUTED_VALUE"""),305507.0)</f>
        <v>305507</v>
      </c>
    </row>
    <row r="58">
      <c r="A58" s="2">
        <f>IFERROR(__xludf.DUMMYFUNCTION("""COMPUTED_VALUE"""),44966.64583333333)</f>
        <v>44966.64583</v>
      </c>
      <c r="B58" s="1">
        <f>IFERROR(__xludf.DUMMYFUNCTION("""COMPUTED_VALUE"""),14820.0)</f>
        <v>14820</v>
      </c>
      <c r="C58" s="1">
        <f>IFERROR(__xludf.DUMMYFUNCTION("""COMPUTED_VALUE"""),16140.0)</f>
        <v>16140</v>
      </c>
      <c r="D58" s="1">
        <f>IFERROR(__xludf.DUMMYFUNCTION("""COMPUTED_VALUE"""),14720.0)</f>
        <v>14720</v>
      </c>
      <c r="E58" s="1">
        <f>IFERROR(__xludf.DUMMYFUNCTION("""COMPUTED_VALUE"""),15320.0)</f>
        <v>15320</v>
      </c>
      <c r="F58" s="1">
        <f>IFERROR(__xludf.DUMMYFUNCTION("""COMPUTED_VALUE"""),442360.0)</f>
        <v>442360</v>
      </c>
    </row>
    <row r="59">
      <c r="A59" s="2">
        <f>IFERROR(__xludf.DUMMYFUNCTION("""COMPUTED_VALUE"""),44967.64583333333)</f>
        <v>44967.64583</v>
      </c>
      <c r="B59" s="1">
        <f>IFERROR(__xludf.DUMMYFUNCTION("""COMPUTED_VALUE"""),15250.0)</f>
        <v>15250</v>
      </c>
      <c r="C59" s="1">
        <f>IFERROR(__xludf.DUMMYFUNCTION("""COMPUTED_VALUE"""),15700.0)</f>
        <v>15700</v>
      </c>
      <c r="D59" s="1">
        <f>IFERROR(__xludf.DUMMYFUNCTION("""COMPUTED_VALUE"""),14790.0)</f>
        <v>14790</v>
      </c>
      <c r="E59" s="1">
        <f>IFERROR(__xludf.DUMMYFUNCTION("""COMPUTED_VALUE"""),15070.0)</f>
        <v>15070</v>
      </c>
      <c r="F59" s="1">
        <f>IFERROR(__xludf.DUMMYFUNCTION("""COMPUTED_VALUE"""),196477.0)</f>
        <v>196477</v>
      </c>
    </row>
    <row r="60">
      <c r="A60" s="2">
        <f>IFERROR(__xludf.DUMMYFUNCTION("""COMPUTED_VALUE"""),44970.64583333333)</f>
        <v>44970.64583</v>
      </c>
      <c r="B60" s="1">
        <f>IFERROR(__xludf.DUMMYFUNCTION("""COMPUTED_VALUE"""),15070.0)</f>
        <v>15070</v>
      </c>
      <c r="C60" s="1">
        <f>IFERROR(__xludf.DUMMYFUNCTION("""COMPUTED_VALUE"""),16550.0)</f>
        <v>16550</v>
      </c>
      <c r="D60" s="1">
        <f>IFERROR(__xludf.DUMMYFUNCTION("""COMPUTED_VALUE"""),14850.0)</f>
        <v>14850</v>
      </c>
      <c r="E60" s="1">
        <f>IFERROR(__xludf.DUMMYFUNCTION("""COMPUTED_VALUE"""),16000.0)</f>
        <v>16000</v>
      </c>
      <c r="F60" s="1">
        <f>IFERROR(__xludf.DUMMYFUNCTION("""COMPUTED_VALUE"""),357100.0)</f>
        <v>357100</v>
      </c>
    </row>
    <row r="61">
      <c r="A61" s="2">
        <f>IFERROR(__xludf.DUMMYFUNCTION("""COMPUTED_VALUE"""),44971.64583333333)</f>
        <v>44971.64583</v>
      </c>
      <c r="B61" s="1">
        <f>IFERROR(__xludf.DUMMYFUNCTION("""COMPUTED_VALUE"""),16000.0)</f>
        <v>16000</v>
      </c>
      <c r="C61" s="1">
        <f>IFERROR(__xludf.DUMMYFUNCTION("""COMPUTED_VALUE"""),16470.0)</f>
        <v>16470</v>
      </c>
      <c r="D61" s="1">
        <f>IFERROR(__xludf.DUMMYFUNCTION("""COMPUTED_VALUE"""),15680.0)</f>
        <v>15680</v>
      </c>
      <c r="E61" s="1">
        <f>IFERROR(__xludf.DUMMYFUNCTION("""COMPUTED_VALUE"""),16300.0)</f>
        <v>16300</v>
      </c>
      <c r="F61" s="1">
        <f>IFERROR(__xludf.DUMMYFUNCTION("""COMPUTED_VALUE"""),214589.0)</f>
        <v>214589</v>
      </c>
    </row>
    <row r="62">
      <c r="A62" s="2">
        <f>IFERROR(__xludf.DUMMYFUNCTION("""COMPUTED_VALUE"""),44972.64583333333)</f>
        <v>44972.64583</v>
      </c>
      <c r="B62" s="1">
        <f>IFERROR(__xludf.DUMMYFUNCTION("""COMPUTED_VALUE"""),16150.0)</f>
        <v>16150</v>
      </c>
      <c r="C62" s="1">
        <f>IFERROR(__xludf.DUMMYFUNCTION("""COMPUTED_VALUE"""),16550.0)</f>
        <v>16550</v>
      </c>
      <c r="D62" s="1">
        <f>IFERROR(__xludf.DUMMYFUNCTION("""COMPUTED_VALUE"""),15300.0)</f>
        <v>15300</v>
      </c>
      <c r="E62" s="1">
        <f>IFERROR(__xludf.DUMMYFUNCTION("""COMPUTED_VALUE"""),15800.0)</f>
        <v>15800</v>
      </c>
      <c r="F62" s="1">
        <f>IFERROR(__xludf.DUMMYFUNCTION("""COMPUTED_VALUE"""),186222.0)</f>
        <v>186222</v>
      </c>
    </row>
    <row r="63">
      <c r="A63" s="2">
        <f>IFERROR(__xludf.DUMMYFUNCTION("""COMPUTED_VALUE"""),44973.64583333333)</f>
        <v>44973.64583</v>
      </c>
      <c r="B63" s="1">
        <f>IFERROR(__xludf.DUMMYFUNCTION("""COMPUTED_VALUE"""),15800.0)</f>
        <v>15800</v>
      </c>
      <c r="C63" s="1">
        <f>IFERROR(__xludf.DUMMYFUNCTION("""COMPUTED_VALUE"""),15880.0)</f>
        <v>15880</v>
      </c>
      <c r="D63" s="1">
        <f>IFERROR(__xludf.DUMMYFUNCTION("""COMPUTED_VALUE"""),15360.0)</f>
        <v>15360</v>
      </c>
      <c r="E63" s="1">
        <f>IFERROR(__xludf.DUMMYFUNCTION("""COMPUTED_VALUE"""),15600.0)</f>
        <v>15600</v>
      </c>
      <c r="F63" s="1">
        <f>IFERROR(__xludf.DUMMYFUNCTION("""COMPUTED_VALUE"""),106975.0)</f>
        <v>106975</v>
      </c>
    </row>
    <row r="64">
      <c r="A64" s="2">
        <f>IFERROR(__xludf.DUMMYFUNCTION("""COMPUTED_VALUE"""),44974.64583333333)</f>
        <v>44974.64583</v>
      </c>
      <c r="B64" s="1">
        <f>IFERROR(__xludf.DUMMYFUNCTION("""COMPUTED_VALUE"""),15310.0)</f>
        <v>15310</v>
      </c>
      <c r="C64" s="1">
        <f>IFERROR(__xludf.DUMMYFUNCTION("""COMPUTED_VALUE"""),15950.0)</f>
        <v>15950</v>
      </c>
      <c r="D64" s="1">
        <f>IFERROR(__xludf.DUMMYFUNCTION("""COMPUTED_VALUE"""),15130.0)</f>
        <v>15130</v>
      </c>
      <c r="E64" s="1">
        <f>IFERROR(__xludf.DUMMYFUNCTION("""COMPUTED_VALUE"""),15510.0)</f>
        <v>15510</v>
      </c>
      <c r="F64" s="1">
        <f>IFERROR(__xludf.DUMMYFUNCTION("""COMPUTED_VALUE"""),76005.0)</f>
        <v>76005</v>
      </c>
    </row>
    <row r="65">
      <c r="A65" s="2">
        <f>IFERROR(__xludf.DUMMYFUNCTION("""COMPUTED_VALUE"""),44977.64583333333)</f>
        <v>44977.64583</v>
      </c>
      <c r="B65" s="1">
        <f>IFERROR(__xludf.DUMMYFUNCTION("""COMPUTED_VALUE"""),15250.0)</f>
        <v>15250</v>
      </c>
      <c r="C65" s="1">
        <f>IFERROR(__xludf.DUMMYFUNCTION("""COMPUTED_VALUE"""),15900.0)</f>
        <v>15900</v>
      </c>
      <c r="D65" s="1">
        <f>IFERROR(__xludf.DUMMYFUNCTION("""COMPUTED_VALUE"""),15000.0)</f>
        <v>15000</v>
      </c>
      <c r="E65" s="1">
        <f>IFERROR(__xludf.DUMMYFUNCTION("""COMPUTED_VALUE"""),15290.0)</f>
        <v>15290</v>
      </c>
      <c r="F65" s="1">
        <f>IFERROR(__xludf.DUMMYFUNCTION("""COMPUTED_VALUE"""),237535.0)</f>
        <v>237535</v>
      </c>
    </row>
    <row r="66">
      <c r="A66" s="2">
        <f>IFERROR(__xludf.DUMMYFUNCTION("""COMPUTED_VALUE"""),44978.64583333333)</f>
        <v>44978.64583</v>
      </c>
      <c r="B66" s="1">
        <f>IFERROR(__xludf.DUMMYFUNCTION("""COMPUTED_VALUE"""),15110.0)</f>
        <v>15110</v>
      </c>
      <c r="C66" s="1">
        <f>IFERROR(__xludf.DUMMYFUNCTION("""COMPUTED_VALUE"""),15420.0)</f>
        <v>15420</v>
      </c>
      <c r="D66" s="1">
        <f>IFERROR(__xludf.DUMMYFUNCTION("""COMPUTED_VALUE"""),14910.0)</f>
        <v>14910</v>
      </c>
      <c r="E66" s="1">
        <f>IFERROR(__xludf.DUMMYFUNCTION("""COMPUTED_VALUE"""),15400.0)</f>
        <v>15400</v>
      </c>
      <c r="F66" s="1">
        <f>IFERROR(__xludf.DUMMYFUNCTION("""COMPUTED_VALUE"""),152119.0)</f>
        <v>152119</v>
      </c>
    </row>
    <row r="67">
      <c r="A67" s="2">
        <f>IFERROR(__xludf.DUMMYFUNCTION("""COMPUTED_VALUE"""),44979.64583333333)</f>
        <v>44979.64583</v>
      </c>
      <c r="B67" s="1">
        <f>IFERROR(__xludf.DUMMYFUNCTION("""COMPUTED_VALUE"""),15030.0)</f>
        <v>15030</v>
      </c>
      <c r="C67" s="1">
        <f>IFERROR(__xludf.DUMMYFUNCTION("""COMPUTED_VALUE"""),16310.0)</f>
        <v>16310</v>
      </c>
      <c r="D67" s="1">
        <f>IFERROR(__xludf.DUMMYFUNCTION("""COMPUTED_VALUE"""),15010.0)</f>
        <v>15010</v>
      </c>
      <c r="E67" s="1">
        <f>IFERROR(__xludf.DUMMYFUNCTION("""COMPUTED_VALUE"""),15720.0)</f>
        <v>15720</v>
      </c>
      <c r="F67" s="1">
        <f>IFERROR(__xludf.DUMMYFUNCTION("""COMPUTED_VALUE"""),260638.0)</f>
        <v>260638</v>
      </c>
    </row>
    <row r="68">
      <c r="A68" s="2">
        <f>IFERROR(__xludf.DUMMYFUNCTION("""COMPUTED_VALUE"""),44980.64583333333)</f>
        <v>44980.64583</v>
      </c>
      <c r="B68" s="1">
        <f>IFERROR(__xludf.DUMMYFUNCTION("""COMPUTED_VALUE"""),15720.0)</f>
        <v>15720</v>
      </c>
      <c r="C68" s="1">
        <f>IFERROR(__xludf.DUMMYFUNCTION("""COMPUTED_VALUE"""),16500.0)</f>
        <v>16500</v>
      </c>
      <c r="D68" s="1">
        <f>IFERROR(__xludf.DUMMYFUNCTION("""COMPUTED_VALUE"""),15460.0)</f>
        <v>15460</v>
      </c>
      <c r="E68" s="1">
        <f>IFERROR(__xludf.DUMMYFUNCTION("""COMPUTED_VALUE"""),15770.0)</f>
        <v>15770</v>
      </c>
      <c r="F68" s="1">
        <f>IFERROR(__xludf.DUMMYFUNCTION("""COMPUTED_VALUE"""),176790.0)</f>
        <v>176790</v>
      </c>
    </row>
    <row r="69">
      <c r="A69" s="2">
        <f>IFERROR(__xludf.DUMMYFUNCTION("""COMPUTED_VALUE"""),44981.64583333333)</f>
        <v>44981.64583</v>
      </c>
      <c r="B69" s="1">
        <f>IFERROR(__xludf.DUMMYFUNCTION("""COMPUTED_VALUE"""),15920.0)</f>
        <v>15920</v>
      </c>
      <c r="C69" s="1">
        <f>IFERROR(__xludf.DUMMYFUNCTION("""COMPUTED_VALUE"""),16250.0)</f>
        <v>16250</v>
      </c>
      <c r="D69" s="1">
        <f>IFERROR(__xludf.DUMMYFUNCTION("""COMPUTED_VALUE"""),15430.0)</f>
        <v>15430</v>
      </c>
      <c r="E69" s="1">
        <f>IFERROR(__xludf.DUMMYFUNCTION("""COMPUTED_VALUE"""),15500.0)</f>
        <v>15500</v>
      </c>
      <c r="F69" s="1">
        <f>IFERROR(__xludf.DUMMYFUNCTION("""COMPUTED_VALUE"""),100526.0)</f>
        <v>100526</v>
      </c>
    </row>
    <row r="70">
      <c r="A70" s="2">
        <f>IFERROR(__xludf.DUMMYFUNCTION("""COMPUTED_VALUE"""),44984.64583333333)</f>
        <v>44984.64583</v>
      </c>
      <c r="B70" s="1">
        <f>IFERROR(__xludf.DUMMYFUNCTION("""COMPUTED_VALUE"""),15320.0)</f>
        <v>15320</v>
      </c>
      <c r="C70" s="1">
        <f>IFERROR(__xludf.DUMMYFUNCTION("""COMPUTED_VALUE"""),15990.0)</f>
        <v>15990</v>
      </c>
      <c r="D70" s="1">
        <f>IFERROR(__xludf.DUMMYFUNCTION("""COMPUTED_VALUE"""),15170.0)</f>
        <v>15170</v>
      </c>
      <c r="E70" s="1">
        <f>IFERROR(__xludf.DUMMYFUNCTION("""COMPUTED_VALUE"""),15860.0)</f>
        <v>15860</v>
      </c>
      <c r="F70" s="1">
        <f>IFERROR(__xludf.DUMMYFUNCTION("""COMPUTED_VALUE"""),95522.0)</f>
        <v>95522</v>
      </c>
    </row>
    <row r="71">
      <c r="A71" s="2">
        <f>IFERROR(__xludf.DUMMYFUNCTION("""COMPUTED_VALUE"""),44985.64583333333)</f>
        <v>44985.64583</v>
      </c>
      <c r="B71" s="1">
        <f>IFERROR(__xludf.DUMMYFUNCTION("""COMPUTED_VALUE"""),15970.0)</f>
        <v>15970</v>
      </c>
      <c r="C71" s="1">
        <f>IFERROR(__xludf.DUMMYFUNCTION("""COMPUTED_VALUE"""),16590.0)</f>
        <v>16590</v>
      </c>
      <c r="D71" s="1">
        <f>IFERROR(__xludf.DUMMYFUNCTION("""COMPUTED_VALUE"""),15740.0)</f>
        <v>15740</v>
      </c>
      <c r="E71" s="1">
        <f>IFERROR(__xludf.DUMMYFUNCTION("""COMPUTED_VALUE"""),16190.0)</f>
        <v>16190</v>
      </c>
      <c r="F71" s="1">
        <f>IFERROR(__xludf.DUMMYFUNCTION("""COMPUTED_VALUE"""),203342.0)</f>
        <v>203342</v>
      </c>
    </row>
    <row r="72">
      <c r="A72" s="2">
        <f>IFERROR(__xludf.DUMMYFUNCTION("""COMPUTED_VALUE"""),44987.64583333333)</f>
        <v>44987.64583</v>
      </c>
      <c r="B72" s="1">
        <f>IFERROR(__xludf.DUMMYFUNCTION("""COMPUTED_VALUE"""),16180.0)</f>
        <v>16180</v>
      </c>
      <c r="C72" s="1">
        <f>IFERROR(__xludf.DUMMYFUNCTION("""COMPUTED_VALUE"""),16180.0)</f>
        <v>16180</v>
      </c>
      <c r="D72" s="1">
        <f>IFERROR(__xludf.DUMMYFUNCTION("""COMPUTED_VALUE"""),15590.0)</f>
        <v>15590</v>
      </c>
      <c r="E72" s="1">
        <f>IFERROR(__xludf.DUMMYFUNCTION("""COMPUTED_VALUE"""),15750.0)</f>
        <v>15750</v>
      </c>
      <c r="F72" s="1">
        <f>IFERROR(__xludf.DUMMYFUNCTION("""COMPUTED_VALUE"""),128157.0)</f>
        <v>128157</v>
      </c>
    </row>
    <row r="73">
      <c r="A73" s="2">
        <f>IFERROR(__xludf.DUMMYFUNCTION("""COMPUTED_VALUE"""),44988.64583333333)</f>
        <v>44988.64583</v>
      </c>
      <c r="B73" s="1">
        <f>IFERROR(__xludf.DUMMYFUNCTION("""COMPUTED_VALUE"""),15900.0)</f>
        <v>15900</v>
      </c>
      <c r="C73" s="1">
        <f>IFERROR(__xludf.DUMMYFUNCTION("""COMPUTED_VALUE"""),16320.0)</f>
        <v>16320</v>
      </c>
      <c r="D73" s="1">
        <f>IFERROR(__xludf.DUMMYFUNCTION("""COMPUTED_VALUE"""),15610.0)</f>
        <v>15610</v>
      </c>
      <c r="E73" s="1">
        <f>IFERROR(__xludf.DUMMYFUNCTION("""COMPUTED_VALUE"""),16000.0)</f>
        <v>16000</v>
      </c>
      <c r="F73" s="1">
        <f>IFERROR(__xludf.DUMMYFUNCTION("""COMPUTED_VALUE"""),153374.0)</f>
        <v>153374</v>
      </c>
    </row>
    <row r="74">
      <c r="A74" s="2">
        <f>IFERROR(__xludf.DUMMYFUNCTION("""COMPUTED_VALUE"""),44991.64583333333)</f>
        <v>44991.64583</v>
      </c>
      <c r="B74" s="1">
        <f>IFERROR(__xludf.DUMMYFUNCTION("""COMPUTED_VALUE"""),16230.0)</f>
        <v>16230</v>
      </c>
      <c r="C74" s="1">
        <f>IFERROR(__xludf.DUMMYFUNCTION("""COMPUTED_VALUE"""),16380.0)</f>
        <v>16380</v>
      </c>
      <c r="D74" s="1">
        <f>IFERROR(__xludf.DUMMYFUNCTION("""COMPUTED_VALUE"""),15750.0)</f>
        <v>15750</v>
      </c>
      <c r="E74" s="1">
        <f>IFERROR(__xludf.DUMMYFUNCTION("""COMPUTED_VALUE"""),16000.0)</f>
        <v>16000</v>
      </c>
      <c r="F74" s="1">
        <f>IFERROR(__xludf.DUMMYFUNCTION("""COMPUTED_VALUE"""),149566.0)</f>
        <v>149566</v>
      </c>
    </row>
    <row r="75">
      <c r="A75" s="2">
        <f>IFERROR(__xludf.DUMMYFUNCTION("""COMPUTED_VALUE"""),44992.64583333333)</f>
        <v>44992.64583</v>
      </c>
      <c r="B75" s="1">
        <f>IFERROR(__xludf.DUMMYFUNCTION("""COMPUTED_VALUE"""),16000.0)</f>
        <v>16000</v>
      </c>
      <c r="C75" s="1">
        <f>IFERROR(__xludf.DUMMYFUNCTION("""COMPUTED_VALUE"""),17600.0)</f>
        <v>17600</v>
      </c>
      <c r="D75" s="1">
        <f>IFERROR(__xludf.DUMMYFUNCTION("""COMPUTED_VALUE"""),15800.0)</f>
        <v>15800</v>
      </c>
      <c r="E75" s="1">
        <f>IFERROR(__xludf.DUMMYFUNCTION("""COMPUTED_VALUE"""),16370.0)</f>
        <v>16370</v>
      </c>
      <c r="F75" s="1">
        <f>IFERROR(__xludf.DUMMYFUNCTION("""COMPUTED_VALUE"""),660075.0)</f>
        <v>660075</v>
      </c>
    </row>
    <row r="76">
      <c r="A76" s="2">
        <f>IFERROR(__xludf.DUMMYFUNCTION("""COMPUTED_VALUE"""),44993.64583333333)</f>
        <v>44993.64583</v>
      </c>
      <c r="B76" s="1">
        <f>IFERROR(__xludf.DUMMYFUNCTION("""COMPUTED_VALUE"""),16300.0)</f>
        <v>16300</v>
      </c>
      <c r="C76" s="1">
        <f>IFERROR(__xludf.DUMMYFUNCTION("""COMPUTED_VALUE"""),17350.0)</f>
        <v>17350</v>
      </c>
      <c r="D76" s="1">
        <f>IFERROR(__xludf.DUMMYFUNCTION("""COMPUTED_VALUE"""),16200.0)</f>
        <v>16200</v>
      </c>
      <c r="E76" s="1">
        <f>IFERROR(__xludf.DUMMYFUNCTION("""COMPUTED_VALUE"""),17010.0)</f>
        <v>17010</v>
      </c>
      <c r="F76" s="1">
        <f>IFERROR(__xludf.DUMMYFUNCTION("""COMPUTED_VALUE"""),318175.0)</f>
        <v>318175</v>
      </c>
    </row>
    <row r="77">
      <c r="A77" s="2">
        <f>IFERROR(__xludf.DUMMYFUNCTION("""COMPUTED_VALUE"""),44994.64583333333)</f>
        <v>44994.64583</v>
      </c>
      <c r="B77" s="1">
        <f>IFERROR(__xludf.DUMMYFUNCTION("""COMPUTED_VALUE"""),17020.0)</f>
        <v>17020</v>
      </c>
      <c r="C77" s="1">
        <f>IFERROR(__xludf.DUMMYFUNCTION("""COMPUTED_VALUE"""),17420.0)</f>
        <v>17420</v>
      </c>
      <c r="D77" s="1">
        <f>IFERROR(__xludf.DUMMYFUNCTION("""COMPUTED_VALUE"""),16660.0)</f>
        <v>16660</v>
      </c>
      <c r="E77" s="1">
        <f>IFERROR(__xludf.DUMMYFUNCTION("""COMPUTED_VALUE"""),16950.0)</f>
        <v>16950</v>
      </c>
      <c r="F77" s="1">
        <f>IFERROR(__xludf.DUMMYFUNCTION("""COMPUTED_VALUE"""),198128.0)</f>
        <v>198128</v>
      </c>
    </row>
    <row r="78">
      <c r="A78" s="2">
        <f>IFERROR(__xludf.DUMMYFUNCTION("""COMPUTED_VALUE"""),44995.64583333333)</f>
        <v>44995.64583</v>
      </c>
      <c r="B78" s="1">
        <f>IFERROR(__xludf.DUMMYFUNCTION("""COMPUTED_VALUE"""),16700.0)</f>
        <v>16700</v>
      </c>
      <c r="C78" s="1">
        <f>IFERROR(__xludf.DUMMYFUNCTION("""COMPUTED_VALUE"""),16900.0)</f>
        <v>16900</v>
      </c>
      <c r="D78" s="1">
        <f>IFERROR(__xludf.DUMMYFUNCTION("""COMPUTED_VALUE"""),15960.0)</f>
        <v>15960</v>
      </c>
      <c r="E78" s="1">
        <f>IFERROR(__xludf.DUMMYFUNCTION("""COMPUTED_VALUE"""),16200.0)</f>
        <v>16200</v>
      </c>
      <c r="F78" s="1">
        <f>IFERROR(__xludf.DUMMYFUNCTION("""COMPUTED_VALUE"""),286147.0)</f>
        <v>286147</v>
      </c>
    </row>
    <row r="79">
      <c r="A79" s="2">
        <f>IFERROR(__xludf.DUMMYFUNCTION("""COMPUTED_VALUE"""),44998.64583333333)</f>
        <v>44998.64583</v>
      </c>
      <c r="B79" s="1">
        <f>IFERROR(__xludf.DUMMYFUNCTION("""COMPUTED_VALUE"""),16350.0)</f>
        <v>16350</v>
      </c>
      <c r="C79" s="1">
        <f>IFERROR(__xludf.DUMMYFUNCTION("""COMPUTED_VALUE"""),17200.0)</f>
        <v>17200</v>
      </c>
      <c r="D79" s="1">
        <f>IFERROR(__xludf.DUMMYFUNCTION("""COMPUTED_VALUE"""),14870.0)</f>
        <v>14870</v>
      </c>
      <c r="E79" s="1">
        <f>IFERROR(__xludf.DUMMYFUNCTION("""COMPUTED_VALUE"""),15050.0)</f>
        <v>15050</v>
      </c>
      <c r="F79" s="1">
        <f>IFERROR(__xludf.DUMMYFUNCTION("""COMPUTED_VALUE"""),7878942.0)</f>
        <v>7878942</v>
      </c>
    </row>
    <row r="80">
      <c r="A80" s="2">
        <f>IFERROR(__xludf.DUMMYFUNCTION("""COMPUTED_VALUE"""),44999.64583333333)</f>
        <v>44999.64583</v>
      </c>
      <c r="B80" s="1">
        <f>IFERROR(__xludf.DUMMYFUNCTION("""COMPUTED_VALUE"""),15050.0)</f>
        <v>15050</v>
      </c>
      <c r="C80" s="1">
        <f>IFERROR(__xludf.DUMMYFUNCTION("""COMPUTED_VALUE"""),15370.0)</f>
        <v>15370</v>
      </c>
      <c r="D80" s="1">
        <f>IFERROR(__xludf.DUMMYFUNCTION("""COMPUTED_VALUE"""),13400.0)</f>
        <v>13400</v>
      </c>
      <c r="E80" s="1">
        <f>IFERROR(__xludf.DUMMYFUNCTION("""COMPUTED_VALUE"""),13900.0)</f>
        <v>13900</v>
      </c>
      <c r="F80" s="1">
        <f>IFERROR(__xludf.DUMMYFUNCTION("""COMPUTED_VALUE"""),752676.0)</f>
        <v>752676</v>
      </c>
    </row>
    <row r="81">
      <c r="A81" s="2">
        <f>IFERROR(__xludf.DUMMYFUNCTION("""COMPUTED_VALUE"""),45000.64583333333)</f>
        <v>45000.64583</v>
      </c>
      <c r="B81" s="1">
        <f>IFERROR(__xludf.DUMMYFUNCTION("""COMPUTED_VALUE"""),14500.0)</f>
        <v>14500</v>
      </c>
      <c r="C81" s="1">
        <f>IFERROR(__xludf.DUMMYFUNCTION("""COMPUTED_VALUE"""),15150.0)</f>
        <v>15150</v>
      </c>
      <c r="D81" s="1">
        <f>IFERROR(__xludf.DUMMYFUNCTION("""COMPUTED_VALUE"""),14420.0)</f>
        <v>14420</v>
      </c>
      <c r="E81" s="1">
        <f>IFERROR(__xludf.DUMMYFUNCTION("""COMPUTED_VALUE"""),14720.0)</f>
        <v>14720</v>
      </c>
      <c r="F81" s="1">
        <f>IFERROR(__xludf.DUMMYFUNCTION("""COMPUTED_VALUE"""),227205.0)</f>
        <v>227205</v>
      </c>
    </row>
    <row r="82">
      <c r="A82" s="2">
        <f>IFERROR(__xludf.DUMMYFUNCTION("""COMPUTED_VALUE"""),45001.64583333333)</f>
        <v>45001.64583</v>
      </c>
      <c r="B82" s="1">
        <f>IFERROR(__xludf.DUMMYFUNCTION("""COMPUTED_VALUE"""),14970.0)</f>
        <v>14970</v>
      </c>
      <c r="C82" s="1">
        <f>IFERROR(__xludf.DUMMYFUNCTION("""COMPUTED_VALUE"""),14970.0)</f>
        <v>14970</v>
      </c>
      <c r="D82" s="1">
        <f>IFERROR(__xludf.DUMMYFUNCTION("""COMPUTED_VALUE"""),14130.0)</f>
        <v>14130</v>
      </c>
      <c r="E82" s="1">
        <f>IFERROR(__xludf.DUMMYFUNCTION("""COMPUTED_VALUE"""),14560.0)</f>
        <v>14560</v>
      </c>
      <c r="F82" s="1">
        <f>IFERROR(__xludf.DUMMYFUNCTION("""COMPUTED_VALUE"""),129545.0)</f>
        <v>129545</v>
      </c>
    </row>
    <row r="83">
      <c r="A83" s="2">
        <f>IFERROR(__xludf.DUMMYFUNCTION("""COMPUTED_VALUE"""),45002.64583333333)</f>
        <v>45002.64583</v>
      </c>
      <c r="B83" s="1">
        <f>IFERROR(__xludf.DUMMYFUNCTION("""COMPUTED_VALUE"""),14800.0)</f>
        <v>14800</v>
      </c>
      <c r="C83" s="1">
        <f>IFERROR(__xludf.DUMMYFUNCTION("""COMPUTED_VALUE"""),15500.0)</f>
        <v>15500</v>
      </c>
      <c r="D83" s="1">
        <f>IFERROR(__xludf.DUMMYFUNCTION("""COMPUTED_VALUE"""),14470.0)</f>
        <v>14470</v>
      </c>
      <c r="E83" s="1">
        <f>IFERROR(__xludf.DUMMYFUNCTION("""COMPUTED_VALUE"""),15390.0)</f>
        <v>15390</v>
      </c>
      <c r="F83" s="1">
        <f>IFERROR(__xludf.DUMMYFUNCTION("""COMPUTED_VALUE"""),153645.0)</f>
        <v>153645</v>
      </c>
    </row>
    <row r="84">
      <c r="A84" s="2">
        <f>IFERROR(__xludf.DUMMYFUNCTION("""COMPUTED_VALUE"""),45005.64583333333)</f>
        <v>45005.64583</v>
      </c>
      <c r="B84" s="1">
        <f>IFERROR(__xludf.DUMMYFUNCTION("""COMPUTED_VALUE"""),15490.0)</f>
        <v>15490</v>
      </c>
      <c r="C84" s="1">
        <f>IFERROR(__xludf.DUMMYFUNCTION("""COMPUTED_VALUE"""),16020.0)</f>
        <v>16020</v>
      </c>
      <c r="D84" s="1">
        <f>IFERROR(__xludf.DUMMYFUNCTION("""COMPUTED_VALUE"""),15000.0)</f>
        <v>15000</v>
      </c>
      <c r="E84" s="1">
        <f>IFERROR(__xludf.DUMMYFUNCTION("""COMPUTED_VALUE"""),15750.0)</f>
        <v>15750</v>
      </c>
      <c r="F84" s="1">
        <f>IFERROR(__xludf.DUMMYFUNCTION("""COMPUTED_VALUE"""),218916.0)</f>
        <v>218916</v>
      </c>
    </row>
    <row r="85">
      <c r="A85" s="2">
        <f>IFERROR(__xludf.DUMMYFUNCTION("""COMPUTED_VALUE"""),45006.64583333333)</f>
        <v>45006.64583</v>
      </c>
      <c r="B85" s="1">
        <f>IFERROR(__xludf.DUMMYFUNCTION("""COMPUTED_VALUE"""),16010.0)</f>
        <v>16010</v>
      </c>
      <c r="C85" s="1">
        <f>IFERROR(__xludf.DUMMYFUNCTION("""COMPUTED_VALUE"""),16700.0)</f>
        <v>16700</v>
      </c>
      <c r="D85" s="1">
        <f>IFERROR(__xludf.DUMMYFUNCTION("""COMPUTED_VALUE"""),15890.0)</f>
        <v>15890</v>
      </c>
      <c r="E85" s="1">
        <f>IFERROR(__xludf.DUMMYFUNCTION("""COMPUTED_VALUE"""),16650.0)</f>
        <v>16650</v>
      </c>
      <c r="F85" s="1">
        <f>IFERROR(__xludf.DUMMYFUNCTION("""COMPUTED_VALUE"""),269129.0)</f>
        <v>269129</v>
      </c>
    </row>
    <row r="86">
      <c r="A86" s="2">
        <f>IFERROR(__xludf.DUMMYFUNCTION("""COMPUTED_VALUE"""),45007.64583333333)</f>
        <v>45007.64583</v>
      </c>
      <c r="B86" s="1">
        <f>IFERROR(__xludf.DUMMYFUNCTION("""COMPUTED_VALUE"""),16830.0)</f>
        <v>16830</v>
      </c>
      <c r="C86" s="1">
        <f>IFERROR(__xludf.DUMMYFUNCTION("""COMPUTED_VALUE"""),17220.0)</f>
        <v>17220</v>
      </c>
      <c r="D86" s="1">
        <f>IFERROR(__xludf.DUMMYFUNCTION("""COMPUTED_VALUE"""),16390.0)</f>
        <v>16390</v>
      </c>
      <c r="E86" s="1">
        <f>IFERROR(__xludf.DUMMYFUNCTION("""COMPUTED_VALUE"""),16690.0)</f>
        <v>16690</v>
      </c>
      <c r="F86" s="1">
        <f>IFERROR(__xludf.DUMMYFUNCTION("""COMPUTED_VALUE"""),196004.0)</f>
        <v>196004</v>
      </c>
    </row>
    <row r="87">
      <c r="A87" s="2">
        <f>IFERROR(__xludf.DUMMYFUNCTION("""COMPUTED_VALUE"""),45008.64583333333)</f>
        <v>45008.64583</v>
      </c>
      <c r="B87" s="1">
        <f>IFERROR(__xludf.DUMMYFUNCTION("""COMPUTED_VALUE"""),16870.0)</f>
        <v>16870</v>
      </c>
      <c r="C87" s="1">
        <f>IFERROR(__xludf.DUMMYFUNCTION("""COMPUTED_VALUE"""),19480.0)</f>
        <v>19480</v>
      </c>
      <c r="D87" s="1">
        <f>IFERROR(__xludf.DUMMYFUNCTION("""COMPUTED_VALUE"""),16640.0)</f>
        <v>16640</v>
      </c>
      <c r="E87" s="1">
        <f>IFERROR(__xludf.DUMMYFUNCTION("""COMPUTED_VALUE"""),18340.0)</f>
        <v>18340</v>
      </c>
      <c r="F87" s="1">
        <f>IFERROR(__xludf.DUMMYFUNCTION("""COMPUTED_VALUE"""),916872.0)</f>
        <v>916872</v>
      </c>
    </row>
    <row r="88">
      <c r="A88" s="2">
        <f>IFERROR(__xludf.DUMMYFUNCTION("""COMPUTED_VALUE"""),45009.64583333333)</f>
        <v>45009.64583</v>
      </c>
      <c r="B88" s="1">
        <f>IFERROR(__xludf.DUMMYFUNCTION("""COMPUTED_VALUE"""),18400.0)</f>
        <v>18400</v>
      </c>
      <c r="C88" s="1">
        <f>IFERROR(__xludf.DUMMYFUNCTION("""COMPUTED_VALUE"""),18420.0)</f>
        <v>18420</v>
      </c>
      <c r="D88" s="1">
        <f>IFERROR(__xludf.DUMMYFUNCTION("""COMPUTED_VALUE"""),17580.0)</f>
        <v>17580</v>
      </c>
      <c r="E88" s="1">
        <f>IFERROR(__xludf.DUMMYFUNCTION("""COMPUTED_VALUE"""),18380.0)</f>
        <v>18380</v>
      </c>
      <c r="F88" s="1">
        <f>IFERROR(__xludf.DUMMYFUNCTION("""COMPUTED_VALUE"""),268538.0)</f>
        <v>268538</v>
      </c>
    </row>
    <row r="89">
      <c r="A89" s="2">
        <f>IFERROR(__xludf.DUMMYFUNCTION("""COMPUTED_VALUE"""),45012.64583333333)</f>
        <v>45012.64583</v>
      </c>
      <c r="B89" s="1">
        <f>IFERROR(__xludf.DUMMYFUNCTION("""COMPUTED_VALUE"""),19400.0)</f>
        <v>19400</v>
      </c>
      <c r="C89" s="1">
        <f>IFERROR(__xludf.DUMMYFUNCTION("""COMPUTED_VALUE"""),21750.0)</f>
        <v>21750</v>
      </c>
      <c r="D89" s="1">
        <f>IFERROR(__xludf.DUMMYFUNCTION("""COMPUTED_VALUE"""),18550.0)</f>
        <v>18550</v>
      </c>
      <c r="E89" s="1">
        <f>IFERROR(__xludf.DUMMYFUNCTION("""COMPUTED_VALUE"""),21600.0)</f>
        <v>21600</v>
      </c>
      <c r="F89" s="1">
        <f>IFERROR(__xludf.DUMMYFUNCTION("""COMPUTED_VALUE"""),1784117.0)</f>
        <v>1784117</v>
      </c>
    </row>
    <row r="90">
      <c r="A90" s="2">
        <f>IFERROR(__xludf.DUMMYFUNCTION("""COMPUTED_VALUE"""),45013.64583333333)</f>
        <v>45013.64583</v>
      </c>
      <c r="B90" s="1">
        <f>IFERROR(__xludf.DUMMYFUNCTION("""COMPUTED_VALUE"""),21600.0)</f>
        <v>21600</v>
      </c>
      <c r="C90" s="1">
        <f>IFERROR(__xludf.DUMMYFUNCTION("""COMPUTED_VALUE"""),23700.0)</f>
        <v>23700</v>
      </c>
      <c r="D90" s="1">
        <f>IFERROR(__xludf.DUMMYFUNCTION("""COMPUTED_VALUE"""),21300.0)</f>
        <v>21300</v>
      </c>
      <c r="E90" s="1">
        <f>IFERROR(__xludf.DUMMYFUNCTION("""COMPUTED_VALUE"""),22900.0)</f>
        <v>22900</v>
      </c>
      <c r="F90" s="1">
        <f>IFERROR(__xludf.DUMMYFUNCTION("""COMPUTED_VALUE"""),1169543.0)</f>
        <v>1169543</v>
      </c>
    </row>
    <row r="91">
      <c r="A91" s="2">
        <f>IFERROR(__xludf.DUMMYFUNCTION("""COMPUTED_VALUE"""),45014.64583333333)</f>
        <v>45014.64583</v>
      </c>
      <c r="B91" s="1">
        <f>IFERROR(__xludf.DUMMYFUNCTION("""COMPUTED_VALUE"""),23000.0)</f>
        <v>23000</v>
      </c>
      <c r="C91" s="1">
        <f>IFERROR(__xludf.DUMMYFUNCTION("""COMPUTED_VALUE"""),23400.0)</f>
        <v>23400</v>
      </c>
      <c r="D91" s="1">
        <f>IFERROR(__xludf.DUMMYFUNCTION("""COMPUTED_VALUE"""),21700.0)</f>
        <v>21700</v>
      </c>
      <c r="E91" s="1">
        <f>IFERROR(__xludf.DUMMYFUNCTION("""COMPUTED_VALUE"""),21900.0)</f>
        <v>21900</v>
      </c>
      <c r="F91" s="1">
        <f>IFERROR(__xludf.DUMMYFUNCTION("""COMPUTED_VALUE"""),480688.0)</f>
        <v>480688</v>
      </c>
    </row>
    <row r="92">
      <c r="A92" s="2">
        <f>IFERROR(__xludf.DUMMYFUNCTION("""COMPUTED_VALUE"""),45015.64583333333)</f>
        <v>45015.64583</v>
      </c>
      <c r="B92" s="1">
        <f>IFERROR(__xludf.DUMMYFUNCTION("""COMPUTED_VALUE"""),22000.0)</f>
        <v>22000</v>
      </c>
      <c r="C92" s="1">
        <f>IFERROR(__xludf.DUMMYFUNCTION("""COMPUTED_VALUE"""),22900.0)</f>
        <v>22900</v>
      </c>
      <c r="D92" s="1">
        <f>IFERROR(__xludf.DUMMYFUNCTION("""COMPUTED_VALUE"""),21500.0)</f>
        <v>21500</v>
      </c>
      <c r="E92" s="1">
        <f>IFERROR(__xludf.DUMMYFUNCTION("""COMPUTED_VALUE"""),22400.0)</f>
        <v>22400</v>
      </c>
      <c r="F92" s="1">
        <f>IFERROR(__xludf.DUMMYFUNCTION("""COMPUTED_VALUE"""),339951.0)</f>
        <v>339951</v>
      </c>
    </row>
    <row r="93">
      <c r="A93" s="2">
        <f>IFERROR(__xludf.DUMMYFUNCTION("""COMPUTED_VALUE"""),45016.64583333333)</f>
        <v>45016.64583</v>
      </c>
      <c r="B93" s="1">
        <f>IFERROR(__xludf.DUMMYFUNCTION("""COMPUTED_VALUE"""),21950.0)</f>
        <v>21950</v>
      </c>
      <c r="C93" s="1">
        <f>IFERROR(__xludf.DUMMYFUNCTION("""COMPUTED_VALUE"""),22150.0)</f>
        <v>22150</v>
      </c>
      <c r="D93" s="1">
        <f>IFERROR(__xludf.DUMMYFUNCTION("""COMPUTED_VALUE"""),20700.0)</f>
        <v>20700</v>
      </c>
      <c r="E93" s="1">
        <f>IFERROR(__xludf.DUMMYFUNCTION("""COMPUTED_VALUE"""),21150.0)</f>
        <v>21150</v>
      </c>
      <c r="F93" s="1">
        <f>IFERROR(__xludf.DUMMYFUNCTION("""COMPUTED_VALUE"""),461183.0)</f>
        <v>461183</v>
      </c>
    </row>
    <row r="94">
      <c r="A94" s="2">
        <f>IFERROR(__xludf.DUMMYFUNCTION("""COMPUTED_VALUE"""),45019.64583333333)</f>
        <v>45019.64583</v>
      </c>
      <c r="B94" s="1">
        <f>IFERROR(__xludf.DUMMYFUNCTION("""COMPUTED_VALUE"""),21250.0)</f>
        <v>21250</v>
      </c>
      <c r="C94" s="1">
        <f>IFERROR(__xludf.DUMMYFUNCTION("""COMPUTED_VALUE"""),22600.0)</f>
        <v>22600</v>
      </c>
      <c r="D94" s="1">
        <f>IFERROR(__xludf.DUMMYFUNCTION("""COMPUTED_VALUE"""),20700.0)</f>
        <v>20700</v>
      </c>
      <c r="E94" s="1">
        <f>IFERROR(__xludf.DUMMYFUNCTION("""COMPUTED_VALUE"""),22400.0)</f>
        <v>22400</v>
      </c>
      <c r="F94" s="1">
        <f>IFERROR(__xludf.DUMMYFUNCTION("""COMPUTED_VALUE"""),292667.0)</f>
        <v>292667</v>
      </c>
    </row>
    <row r="95">
      <c r="A95" s="2">
        <f>IFERROR(__xludf.DUMMYFUNCTION("""COMPUTED_VALUE"""),45020.64583333333)</f>
        <v>45020.64583</v>
      </c>
      <c r="B95" s="1">
        <f>IFERROR(__xludf.DUMMYFUNCTION("""COMPUTED_VALUE"""),22100.0)</f>
        <v>22100</v>
      </c>
      <c r="C95" s="1">
        <f>IFERROR(__xludf.DUMMYFUNCTION("""COMPUTED_VALUE"""),24400.0)</f>
        <v>24400</v>
      </c>
      <c r="D95" s="1">
        <f>IFERROR(__xludf.DUMMYFUNCTION("""COMPUTED_VALUE"""),21800.0)</f>
        <v>21800</v>
      </c>
      <c r="E95" s="1">
        <f>IFERROR(__xludf.DUMMYFUNCTION("""COMPUTED_VALUE"""),22650.0)</f>
        <v>22650</v>
      </c>
      <c r="F95" s="1">
        <f>IFERROR(__xludf.DUMMYFUNCTION("""COMPUTED_VALUE"""),411324.0)</f>
        <v>411324</v>
      </c>
    </row>
    <row r="96">
      <c r="A96" s="2">
        <f>IFERROR(__xludf.DUMMYFUNCTION("""COMPUTED_VALUE"""),45021.64583333333)</f>
        <v>45021.64583</v>
      </c>
      <c r="B96" s="1">
        <f>IFERROR(__xludf.DUMMYFUNCTION("""COMPUTED_VALUE"""),23050.0)</f>
        <v>23050</v>
      </c>
      <c r="C96" s="1">
        <f>IFERROR(__xludf.DUMMYFUNCTION("""COMPUTED_VALUE"""),23050.0)</f>
        <v>23050</v>
      </c>
      <c r="D96" s="1">
        <f>IFERROR(__xludf.DUMMYFUNCTION("""COMPUTED_VALUE"""),21800.0)</f>
        <v>21800</v>
      </c>
      <c r="E96" s="1">
        <f>IFERROR(__xludf.DUMMYFUNCTION("""COMPUTED_VALUE"""),22400.0)</f>
        <v>22400</v>
      </c>
      <c r="F96" s="1">
        <f>IFERROR(__xludf.DUMMYFUNCTION("""COMPUTED_VALUE"""),312458.0)</f>
        <v>312458</v>
      </c>
    </row>
    <row r="97">
      <c r="A97" s="2">
        <f>IFERROR(__xludf.DUMMYFUNCTION("""COMPUTED_VALUE"""),45022.64583333333)</f>
        <v>45022.64583</v>
      </c>
      <c r="B97" s="1">
        <f>IFERROR(__xludf.DUMMYFUNCTION("""COMPUTED_VALUE"""),22100.0)</f>
        <v>22100</v>
      </c>
      <c r="C97" s="1">
        <f>IFERROR(__xludf.DUMMYFUNCTION("""COMPUTED_VALUE"""),22850.0)</f>
        <v>22850</v>
      </c>
      <c r="D97" s="1">
        <f>IFERROR(__xludf.DUMMYFUNCTION("""COMPUTED_VALUE"""),21500.0)</f>
        <v>21500</v>
      </c>
      <c r="E97" s="1">
        <f>IFERROR(__xludf.DUMMYFUNCTION("""COMPUTED_VALUE"""),22550.0)</f>
        <v>22550</v>
      </c>
      <c r="F97" s="1">
        <f>IFERROR(__xludf.DUMMYFUNCTION("""COMPUTED_VALUE"""),183854.0)</f>
        <v>183854</v>
      </c>
    </row>
    <row r="98">
      <c r="A98" s="2">
        <f>IFERROR(__xludf.DUMMYFUNCTION("""COMPUTED_VALUE"""),45023.64583333333)</f>
        <v>45023.64583</v>
      </c>
      <c r="B98" s="1">
        <f>IFERROR(__xludf.DUMMYFUNCTION("""COMPUTED_VALUE"""),23000.0)</f>
        <v>23000</v>
      </c>
      <c r="C98" s="1">
        <f>IFERROR(__xludf.DUMMYFUNCTION("""COMPUTED_VALUE"""),25400.0)</f>
        <v>25400</v>
      </c>
      <c r="D98" s="1">
        <f>IFERROR(__xludf.DUMMYFUNCTION("""COMPUTED_VALUE"""),22500.0)</f>
        <v>22500</v>
      </c>
      <c r="E98" s="1">
        <f>IFERROR(__xludf.DUMMYFUNCTION("""COMPUTED_VALUE"""),24850.0)</f>
        <v>24850</v>
      </c>
      <c r="F98" s="1">
        <f>IFERROR(__xludf.DUMMYFUNCTION("""COMPUTED_VALUE"""),699304.0)</f>
        <v>699304</v>
      </c>
    </row>
    <row r="99">
      <c r="A99" s="2">
        <f>IFERROR(__xludf.DUMMYFUNCTION("""COMPUTED_VALUE"""),45026.64583333333)</f>
        <v>45026.64583</v>
      </c>
      <c r="B99" s="1">
        <f>IFERROR(__xludf.DUMMYFUNCTION("""COMPUTED_VALUE"""),25400.0)</f>
        <v>25400</v>
      </c>
      <c r="C99" s="1">
        <f>IFERROR(__xludf.DUMMYFUNCTION("""COMPUTED_VALUE"""),26350.0)</f>
        <v>26350</v>
      </c>
      <c r="D99" s="1">
        <f>IFERROR(__xludf.DUMMYFUNCTION("""COMPUTED_VALUE"""),24500.0)</f>
        <v>24500</v>
      </c>
      <c r="E99" s="1">
        <f>IFERROR(__xludf.DUMMYFUNCTION("""COMPUTED_VALUE"""),25800.0)</f>
        <v>25800</v>
      </c>
      <c r="F99" s="1">
        <f>IFERROR(__xludf.DUMMYFUNCTION("""COMPUTED_VALUE"""),498337.0)</f>
        <v>498337</v>
      </c>
    </row>
    <row r="100">
      <c r="A100" s="2">
        <f>IFERROR(__xludf.DUMMYFUNCTION("""COMPUTED_VALUE"""),45027.64583333333)</f>
        <v>45027.64583</v>
      </c>
      <c r="B100" s="1">
        <f>IFERROR(__xludf.DUMMYFUNCTION("""COMPUTED_VALUE"""),25550.0)</f>
        <v>25550</v>
      </c>
      <c r="C100" s="1">
        <f>IFERROR(__xludf.DUMMYFUNCTION("""COMPUTED_VALUE"""),27550.0)</f>
        <v>27550</v>
      </c>
      <c r="D100" s="1">
        <f>IFERROR(__xludf.DUMMYFUNCTION("""COMPUTED_VALUE"""),25050.0)</f>
        <v>25050</v>
      </c>
      <c r="E100" s="1">
        <f>IFERROR(__xludf.DUMMYFUNCTION("""COMPUTED_VALUE"""),26900.0)</f>
        <v>26900</v>
      </c>
      <c r="F100" s="1">
        <f>IFERROR(__xludf.DUMMYFUNCTION("""COMPUTED_VALUE"""),482653.0)</f>
        <v>482653</v>
      </c>
    </row>
    <row r="101">
      <c r="A101" s="2">
        <f>IFERROR(__xludf.DUMMYFUNCTION("""COMPUTED_VALUE"""),45028.64583333333)</f>
        <v>45028.64583</v>
      </c>
      <c r="B101" s="1">
        <f>IFERROR(__xludf.DUMMYFUNCTION("""COMPUTED_VALUE"""),26750.0)</f>
        <v>26750</v>
      </c>
      <c r="C101" s="1">
        <f>IFERROR(__xludf.DUMMYFUNCTION("""COMPUTED_VALUE"""),28750.0)</f>
        <v>28750</v>
      </c>
      <c r="D101" s="1">
        <f>IFERROR(__xludf.DUMMYFUNCTION("""COMPUTED_VALUE"""),26300.0)</f>
        <v>26300</v>
      </c>
      <c r="E101" s="1">
        <f>IFERROR(__xludf.DUMMYFUNCTION("""COMPUTED_VALUE"""),28450.0)</f>
        <v>28450</v>
      </c>
      <c r="F101" s="1">
        <f>IFERROR(__xludf.DUMMYFUNCTION("""COMPUTED_VALUE"""),376893.0)</f>
        <v>376893</v>
      </c>
    </row>
    <row r="102">
      <c r="A102" s="2">
        <f>IFERROR(__xludf.DUMMYFUNCTION("""COMPUTED_VALUE"""),45029.64583333333)</f>
        <v>45029.64583</v>
      </c>
      <c r="B102" s="1">
        <f>IFERROR(__xludf.DUMMYFUNCTION("""COMPUTED_VALUE"""),28550.0)</f>
        <v>28550</v>
      </c>
      <c r="C102" s="1">
        <f>IFERROR(__xludf.DUMMYFUNCTION("""COMPUTED_VALUE"""),28950.0)</f>
        <v>28950</v>
      </c>
      <c r="D102" s="1">
        <f>IFERROR(__xludf.DUMMYFUNCTION("""COMPUTED_VALUE"""),25050.0)</f>
        <v>25050</v>
      </c>
      <c r="E102" s="1">
        <f>IFERROR(__xludf.DUMMYFUNCTION("""COMPUTED_VALUE"""),25550.0)</f>
        <v>25550</v>
      </c>
      <c r="F102" s="1">
        <f>IFERROR(__xludf.DUMMYFUNCTION("""COMPUTED_VALUE"""),516144.0)</f>
        <v>516144</v>
      </c>
    </row>
    <row r="103">
      <c r="A103" s="2">
        <f>IFERROR(__xludf.DUMMYFUNCTION("""COMPUTED_VALUE"""),45030.64583333333)</f>
        <v>45030.64583</v>
      </c>
      <c r="B103" s="1">
        <f>IFERROR(__xludf.DUMMYFUNCTION("""COMPUTED_VALUE"""),26000.0)</f>
        <v>26000</v>
      </c>
      <c r="C103" s="1">
        <f>IFERROR(__xludf.DUMMYFUNCTION("""COMPUTED_VALUE"""),27400.0)</f>
        <v>27400</v>
      </c>
      <c r="D103" s="1">
        <f>IFERROR(__xludf.DUMMYFUNCTION("""COMPUTED_VALUE"""),24800.0)</f>
        <v>24800</v>
      </c>
      <c r="E103" s="1">
        <f>IFERROR(__xludf.DUMMYFUNCTION("""COMPUTED_VALUE"""),26500.0)</f>
        <v>26500</v>
      </c>
      <c r="F103" s="1">
        <f>IFERROR(__xludf.DUMMYFUNCTION("""COMPUTED_VALUE"""),344554.0)</f>
        <v>344554</v>
      </c>
    </row>
    <row r="104">
      <c r="A104" s="2">
        <f>IFERROR(__xludf.DUMMYFUNCTION("""COMPUTED_VALUE"""),45033.64583333333)</f>
        <v>45033.64583</v>
      </c>
      <c r="B104" s="1">
        <f>IFERROR(__xludf.DUMMYFUNCTION("""COMPUTED_VALUE"""),26250.0)</f>
        <v>26250</v>
      </c>
      <c r="C104" s="1">
        <f>IFERROR(__xludf.DUMMYFUNCTION("""COMPUTED_VALUE"""),26500.0)</f>
        <v>26500</v>
      </c>
      <c r="D104" s="1">
        <f>IFERROR(__xludf.DUMMYFUNCTION("""COMPUTED_VALUE"""),24950.0)</f>
        <v>24950</v>
      </c>
      <c r="E104" s="1">
        <f>IFERROR(__xludf.DUMMYFUNCTION("""COMPUTED_VALUE"""),25750.0)</f>
        <v>25750</v>
      </c>
      <c r="F104" s="1">
        <f>IFERROR(__xludf.DUMMYFUNCTION("""COMPUTED_VALUE"""),225488.0)</f>
        <v>225488</v>
      </c>
    </row>
    <row r="105">
      <c r="A105" s="2">
        <f>IFERROR(__xludf.DUMMYFUNCTION("""COMPUTED_VALUE"""),45034.64583333333)</f>
        <v>45034.64583</v>
      </c>
      <c r="B105" s="1">
        <f>IFERROR(__xludf.DUMMYFUNCTION("""COMPUTED_VALUE"""),25950.0)</f>
        <v>25950</v>
      </c>
      <c r="C105" s="1">
        <f>IFERROR(__xludf.DUMMYFUNCTION("""COMPUTED_VALUE"""),26550.0)</f>
        <v>26550</v>
      </c>
      <c r="D105" s="1">
        <f>IFERROR(__xludf.DUMMYFUNCTION("""COMPUTED_VALUE"""),24650.0)</f>
        <v>24650</v>
      </c>
      <c r="E105" s="1">
        <f>IFERROR(__xludf.DUMMYFUNCTION("""COMPUTED_VALUE"""),24950.0)</f>
        <v>24950</v>
      </c>
      <c r="F105" s="1">
        <f>IFERROR(__xludf.DUMMYFUNCTION("""COMPUTED_VALUE"""),271088.0)</f>
        <v>271088</v>
      </c>
    </row>
    <row r="106">
      <c r="A106" s="2">
        <f>IFERROR(__xludf.DUMMYFUNCTION("""COMPUTED_VALUE"""),45035.64583333333)</f>
        <v>45035.64583</v>
      </c>
      <c r="B106" s="1">
        <f>IFERROR(__xludf.DUMMYFUNCTION("""COMPUTED_VALUE"""),24700.0)</f>
        <v>24700</v>
      </c>
      <c r="C106" s="1">
        <f>IFERROR(__xludf.DUMMYFUNCTION("""COMPUTED_VALUE"""),25200.0)</f>
        <v>25200</v>
      </c>
      <c r="D106" s="1">
        <f>IFERROR(__xludf.DUMMYFUNCTION("""COMPUTED_VALUE"""),24100.0)</f>
        <v>24100</v>
      </c>
      <c r="E106" s="1">
        <f>IFERROR(__xludf.DUMMYFUNCTION("""COMPUTED_VALUE"""),24650.0)</f>
        <v>24650</v>
      </c>
      <c r="F106" s="1">
        <f>IFERROR(__xludf.DUMMYFUNCTION("""COMPUTED_VALUE"""),199878.0)</f>
        <v>199878</v>
      </c>
    </row>
    <row r="107">
      <c r="A107" s="2">
        <f>IFERROR(__xludf.DUMMYFUNCTION("""COMPUTED_VALUE"""),45036.64583333333)</f>
        <v>45036.64583</v>
      </c>
      <c r="B107" s="1">
        <f>IFERROR(__xludf.DUMMYFUNCTION("""COMPUTED_VALUE"""),24300.0)</f>
        <v>24300</v>
      </c>
      <c r="C107" s="1">
        <f>IFERROR(__xludf.DUMMYFUNCTION("""COMPUTED_VALUE"""),24950.0)</f>
        <v>24950</v>
      </c>
      <c r="D107" s="1">
        <f>IFERROR(__xludf.DUMMYFUNCTION("""COMPUTED_VALUE"""),23350.0)</f>
        <v>23350</v>
      </c>
      <c r="E107" s="1">
        <f>IFERROR(__xludf.DUMMYFUNCTION("""COMPUTED_VALUE"""),24150.0)</f>
        <v>24150</v>
      </c>
      <c r="F107" s="1">
        <f>IFERROR(__xludf.DUMMYFUNCTION("""COMPUTED_VALUE"""),188849.0)</f>
        <v>188849</v>
      </c>
    </row>
    <row r="108">
      <c r="A108" s="2">
        <f>IFERROR(__xludf.DUMMYFUNCTION("""COMPUTED_VALUE"""),45037.64583333333)</f>
        <v>45037.64583</v>
      </c>
      <c r="B108" s="1">
        <f>IFERROR(__xludf.DUMMYFUNCTION("""COMPUTED_VALUE"""),24150.0)</f>
        <v>24150</v>
      </c>
      <c r="C108" s="1">
        <f>IFERROR(__xludf.DUMMYFUNCTION("""COMPUTED_VALUE"""),26200.0)</f>
        <v>26200</v>
      </c>
      <c r="D108" s="1">
        <f>IFERROR(__xludf.DUMMYFUNCTION("""COMPUTED_VALUE"""),23100.0)</f>
        <v>23100</v>
      </c>
      <c r="E108" s="1">
        <f>IFERROR(__xludf.DUMMYFUNCTION("""COMPUTED_VALUE"""),25750.0)</f>
        <v>25750</v>
      </c>
      <c r="F108" s="1">
        <f>IFERROR(__xludf.DUMMYFUNCTION("""COMPUTED_VALUE"""),301464.0)</f>
        <v>301464</v>
      </c>
    </row>
    <row r="109">
      <c r="A109" s="2">
        <f>IFERROR(__xludf.DUMMYFUNCTION("""COMPUTED_VALUE"""),45040.64583333333)</f>
        <v>45040.64583</v>
      </c>
      <c r="B109" s="1">
        <f>IFERROR(__xludf.DUMMYFUNCTION("""COMPUTED_VALUE"""),25750.0)</f>
        <v>25750</v>
      </c>
      <c r="C109" s="1">
        <f>IFERROR(__xludf.DUMMYFUNCTION("""COMPUTED_VALUE"""),26300.0)</f>
        <v>26300</v>
      </c>
      <c r="D109" s="1">
        <f>IFERROR(__xludf.DUMMYFUNCTION("""COMPUTED_VALUE"""),24150.0)</f>
        <v>24150</v>
      </c>
      <c r="E109" s="1">
        <f>IFERROR(__xludf.DUMMYFUNCTION("""COMPUTED_VALUE"""),24550.0)</f>
        <v>24550</v>
      </c>
      <c r="F109" s="1">
        <f>IFERROR(__xludf.DUMMYFUNCTION("""COMPUTED_VALUE"""),208043.0)</f>
        <v>208043</v>
      </c>
    </row>
    <row r="110">
      <c r="A110" s="2">
        <f>IFERROR(__xludf.DUMMYFUNCTION("""COMPUTED_VALUE"""),45041.64583333333)</f>
        <v>45041.64583</v>
      </c>
      <c r="B110" s="1">
        <f>IFERROR(__xludf.DUMMYFUNCTION("""COMPUTED_VALUE"""),24450.0)</f>
        <v>24450</v>
      </c>
      <c r="C110" s="1">
        <f>IFERROR(__xludf.DUMMYFUNCTION("""COMPUTED_VALUE"""),24450.0)</f>
        <v>24450</v>
      </c>
      <c r="D110" s="1">
        <f>IFERROR(__xludf.DUMMYFUNCTION("""COMPUTED_VALUE"""),22900.0)</f>
        <v>22900</v>
      </c>
      <c r="E110" s="1">
        <f>IFERROR(__xludf.DUMMYFUNCTION("""COMPUTED_VALUE"""),23000.0)</f>
        <v>23000</v>
      </c>
      <c r="F110" s="1">
        <f>IFERROR(__xludf.DUMMYFUNCTION("""COMPUTED_VALUE"""),260774.0)</f>
        <v>260774</v>
      </c>
    </row>
    <row r="111">
      <c r="A111" s="2">
        <f>IFERROR(__xludf.DUMMYFUNCTION("""COMPUTED_VALUE"""),45042.64583333333)</f>
        <v>45042.64583</v>
      </c>
      <c r="B111" s="1">
        <f>IFERROR(__xludf.DUMMYFUNCTION("""COMPUTED_VALUE"""),22550.0)</f>
        <v>22550</v>
      </c>
      <c r="C111" s="1">
        <f>IFERROR(__xludf.DUMMYFUNCTION("""COMPUTED_VALUE"""),23850.0)</f>
        <v>23850</v>
      </c>
      <c r="D111" s="1">
        <f>IFERROR(__xludf.DUMMYFUNCTION("""COMPUTED_VALUE"""),22100.0)</f>
        <v>22100</v>
      </c>
      <c r="E111" s="1">
        <f>IFERROR(__xludf.DUMMYFUNCTION("""COMPUTED_VALUE"""),23400.0)</f>
        <v>23400</v>
      </c>
      <c r="F111" s="1">
        <f>IFERROR(__xludf.DUMMYFUNCTION("""COMPUTED_VALUE"""),173730.0)</f>
        <v>173730</v>
      </c>
    </row>
    <row r="112">
      <c r="A112" s="2">
        <f>IFERROR(__xludf.DUMMYFUNCTION("""COMPUTED_VALUE"""),45043.64583333333)</f>
        <v>45043.64583</v>
      </c>
      <c r="B112" s="1">
        <f>IFERROR(__xludf.DUMMYFUNCTION("""COMPUTED_VALUE"""),23400.0)</f>
        <v>23400</v>
      </c>
      <c r="C112" s="1">
        <f>IFERROR(__xludf.DUMMYFUNCTION("""COMPUTED_VALUE"""),24300.0)</f>
        <v>24300</v>
      </c>
      <c r="D112" s="1">
        <f>IFERROR(__xludf.DUMMYFUNCTION("""COMPUTED_VALUE"""),23100.0)</f>
        <v>23100</v>
      </c>
      <c r="E112" s="1">
        <f>IFERROR(__xludf.DUMMYFUNCTION("""COMPUTED_VALUE"""),23950.0)</f>
        <v>23950</v>
      </c>
      <c r="F112" s="1">
        <f>IFERROR(__xludf.DUMMYFUNCTION("""COMPUTED_VALUE"""),88708.0)</f>
        <v>88708</v>
      </c>
    </row>
    <row r="113">
      <c r="A113" s="2">
        <f>IFERROR(__xludf.DUMMYFUNCTION("""COMPUTED_VALUE"""),45044.64583333333)</f>
        <v>45044.64583</v>
      </c>
      <c r="B113" s="1">
        <f>IFERROR(__xludf.DUMMYFUNCTION("""COMPUTED_VALUE"""),24300.0)</f>
        <v>24300</v>
      </c>
      <c r="C113" s="1">
        <f>IFERROR(__xludf.DUMMYFUNCTION("""COMPUTED_VALUE"""),24300.0)</f>
        <v>24300</v>
      </c>
      <c r="D113" s="1">
        <f>IFERROR(__xludf.DUMMYFUNCTION("""COMPUTED_VALUE"""),22950.0)</f>
        <v>22950</v>
      </c>
      <c r="E113" s="1">
        <f>IFERROR(__xludf.DUMMYFUNCTION("""COMPUTED_VALUE"""),23450.0)</f>
        <v>23450</v>
      </c>
      <c r="F113" s="1">
        <f>IFERROR(__xludf.DUMMYFUNCTION("""COMPUTED_VALUE"""),152782.0)</f>
        <v>152782</v>
      </c>
    </row>
    <row r="114">
      <c r="A114" s="2">
        <f>IFERROR(__xludf.DUMMYFUNCTION("""COMPUTED_VALUE"""),45048.64583333333)</f>
        <v>45048.64583</v>
      </c>
      <c r="B114" s="1">
        <f>IFERROR(__xludf.DUMMYFUNCTION("""COMPUTED_VALUE"""),23450.0)</f>
        <v>23450</v>
      </c>
      <c r="C114" s="1">
        <f>IFERROR(__xludf.DUMMYFUNCTION("""COMPUTED_VALUE"""),24450.0)</f>
        <v>24450</v>
      </c>
      <c r="D114" s="1">
        <f>IFERROR(__xludf.DUMMYFUNCTION("""COMPUTED_VALUE"""),22700.0)</f>
        <v>22700</v>
      </c>
      <c r="E114" s="1">
        <f>IFERROR(__xludf.DUMMYFUNCTION("""COMPUTED_VALUE"""),24400.0)</f>
        <v>24400</v>
      </c>
      <c r="F114" s="1">
        <f>IFERROR(__xludf.DUMMYFUNCTION("""COMPUTED_VALUE"""),103825.0)</f>
        <v>103825</v>
      </c>
    </row>
    <row r="115">
      <c r="A115" s="2">
        <f>IFERROR(__xludf.DUMMYFUNCTION("""COMPUTED_VALUE"""),45049.64583333333)</f>
        <v>45049.64583</v>
      </c>
      <c r="B115" s="1">
        <f>IFERROR(__xludf.DUMMYFUNCTION("""COMPUTED_VALUE"""),24100.0)</f>
        <v>24100</v>
      </c>
      <c r="C115" s="1">
        <f>IFERROR(__xludf.DUMMYFUNCTION("""COMPUTED_VALUE"""),25100.0)</f>
        <v>25100</v>
      </c>
      <c r="D115" s="1">
        <f>IFERROR(__xludf.DUMMYFUNCTION("""COMPUTED_VALUE"""),23900.0)</f>
        <v>23900</v>
      </c>
      <c r="E115" s="1">
        <f>IFERROR(__xludf.DUMMYFUNCTION("""COMPUTED_VALUE"""),24800.0)</f>
        <v>24800</v>
      </c>
      <c r="F115" s="1">
        <f>IFERROR(__xludf.DUMMYFUNCTION("""COMPUTED_VALUE"""),135602.0)</f>
        <v>135602</v>
      </c>
    </row>
    <row r="116">
      <c r="A116" s="2">
        <f>IFERROR(__xludf.DUMMYFUNCTION("""COMPUTED_VALUE"""),45050.64583333333)</f>
        <v>45050.64583</v>
      </c>
      <c r="B116" s="1">
        <f>IFERROR(__xludf.DUMMYFUNCTION("""COMPUTED_VALUE"""),24800.0)</f>
        <v>24800</v>
      </c>
      <c r="C116" s="1">
        <f>IFERROR(__xludf.DUMMYFUNCTION("""COMPUTED_VALUE"""),25950.0)</f>
        <v>25950</v>
      </c>
      <c r="D116" s="1">
        <f>IFERROR(__xludf.DUMMYFUNCTION("""COMPUTED_VALUE"""),23700.0)</f>
        <v>23700</v>
      </c>
      <c r="E116" s="1">
        <f>IFERROR(__xludf.DUMMYFUNCTION("""COMPUTED_VALUE"""),23700.0)</f>
        <v>23700</v>
      </c>
      <c r="F116" s="1">
        <f>IFERROR(__xludf.DUMMYFUNCTION("""COMPUTED_VALUE"""),201412.0)</f>
        <v>201412</v>
      </c>
    </row>
    <row r="117">
      <c r="A117" s="2">
        <f>IFERROR(__xludf.DUMMYFUNCTION("""COMPUTED_VALUE"""),45054.64583333333)</f>
        <v>45054.64583</v>
      </c>
      <c r="B117" s="1">
        <f>IFERROR(__xludf.DUMMYFUNCTION("""COMPUTED_VALUE"""),24100.0)</f>
        <v>24100</v>
      </c>
      <c r="C117" s="1">
        <f>IFERROR(__xludf.DUMMYFUNCTION("""COMPUTED_VALUE"""),25600.0)</f>
        <v>25600</v>
      </c>
      <c r="D117" s="1">
        <f>IFERROR(__xludf.DUMMYFUNCTION("""COMPUTED_VALUE"""),24000.0)</f>
        <v>24000</v>
      </c>
      <c r="E117" s="1">
        <f>IFERROR(__xludf.DUMMYFUNCTION("""COMPUTED_VALUE"""),24750.0)</f>
        <v>24750</v>
      </c>
      <c r="F117" s="1">
        <f>IFERROR(__xludf.DUMMYFUNCTION("""COMPUTED_VALUE"""),168823.0)</f>
        <v>168823</v>
      </c>
    </row>
    <row r="118">
      <c r="A118" s="2">
        <f>IFERROR(__xludf.DUMMYFUNCTION("""COMPUTED_VALUE"""),45055.64583333333)</f>
        <v>45055.64583</v>
      </c>
      <c r="B118" s="1">
        <f>IFERROR(__xludf.DUMMYFUNCTION("""COMPUTED_VALUE"""),24800.0)</f>
        <v>24800</v>
      </c>
      <c r="C118" s="1">
        <f>IFERROR(__xludf.DUMMYFUNCTION("""COMPUTED_VALUE"""),24900.0)</f>
        <v>24900</v>
      </c>
      <c r="D118" s="1">
        <f>IFERROR(__xludf.DUMMYFUNCTION("""COMPUTED_VALUE"""),23150.0)</f>
        <v>23150</v>
      </c>
      <c r="E118" s="1">
        <f>IFERROR(__xludf.DUMMYFUNCTION("""COMPUTED_VALUE"""),23400.0)</f>
        <v>23400</v>
      </c>
      <c r="F118" s="1">
        <f>IFERROR(__xludf.DUMMYFUNCTION("""COMPUTED_VALUE"""),140132.0)</f>
        <v>140132</v>
      </c>
    </row>
    <row r="119">
      <c r="A119" s="2">
        <f>IFERROR(__xludf.DUMMYFUNCTION("""COMPUTED_VALUE"""),45056.64583333333)</f>
        <v>45056.64583</v>
      </c>
      <c r="B119" s="1">
        <f>IFERROR(__xludf.DUMMYFUNCTION("""COMPUTED_VALUE"""),23200.0)</f>
        <v>23200</v>
      </c>
      <c r="C119" s="1">
        <f>IFERROR(__xludf.DUMMYFUNCTION("""COMPUTED_VALUE"""),23800.0)</f>
        <v>23800</v>
      </c>
      <c r="D119" s="1">
        <f>IFERROR(__xludf.DUMMYFUNCTION("""COMPUTED_VALUE"""),22900.0)</f>
        <v>22900</v>
      </c>
      <c r="E119" s="1">
        <f>IFERROR(__xludf.DUMMYFUNCTION("""COMPUTED_VALUE"""),23450.0)</f>
        <v>23450</v>
      </c>
      <c r="F119" s="1">
        <f>IFERROR(__xludf.DUMMYFUNCTION("""COMPUTED_VALUE"""),113813.0)</f>
        <v>113813</v>
      </c>
    </row>
    <row r="120">
      <c r="A120" s="2">
        <f>IFERROR(__xludf.DUMMYFUNCTION("""COMPUTED_VALUE"""),45057.64583333333)</f>
        <v>45057.64583</v>
      </c>
      <c r="B120" s="1">
        <f>IFERROR(__xludf.DUMMYFUNCTION("""COMPUTED_VALUE"""),24050.0)</f>
        <v>24050</v>
      </c>
      <c r="C120" s="1">
        <f>IFERROR(__xludf.DUMMYFUNCTION("""COMPUTED_VALUE"""),24950.0)</f>
        <v>24950</v>
      </c>
      <c r="D120" s="1">
        <f>IFERROR(__xludf.DUMMYFUNCTION("""COMPUTED_VALUE"""),23700.0)</f>
        <v>23700</v>
      </c>
      <c r="E120" s="1">
        <f>IFERROR(__xludf.DUMMYFUNCTION("""COMPUTED_VALUE"""),24350.0)</f>
        <v>24350</v>
      </c>
      <c r="F120" s="1">
        <f>IFERROR(__xludf.DUMMYFUNCTION("""COMPUTED_VALUE"""),113580.0)</f>
        <v>113580</v>
      </c>
    </row>
    <row r="121">
      <c r="A121" s="2">
        <f>IFERROR(__xludf.DUMMYFUNCTION("""COMPUTED_VALUE"""),45058.64583333333)</f>
        <v>45058.64583</v>
      </c>
      <c r="B121" s="1">
        <f>IFERROR(__xludf.DUMMYFUNCTION("""COMPUTED_VALUE"""),24750.0)</f>
        <v>24750</v>
      </c>
      <c r="C121" s="1">
        <f>IFERROR(__xludf.DUMMYFUNCTION("""COMPUTED_VALUE"""),25650.0)</f>
        <v>25650</v>
      </c>
      <c r="D121" s="1">
        <f>IFERROR(__xludf.DUMMYFUNCTION("""COMPUTED_VALUE"""),24150.0)</f>
        <v>24150</v>
      </c>
      <c r="E121" s="1">
        <f>IFERROR(__xludf.DUMMYFUNCTION("""COMPUTED_VALUE"""),25200.0)</f>
        <v>25200</v>
      </c>
      <c r="F121" s="1">
        <f>IFERROR(__xludf.DUMMYFUNCTION("""COMPUTED_VALUE"""),232542.0)</f>
        <v>232542</v>
      </c>
    </row>
    <row r="122">
      <c r="A122" s="2">
        <f>IFERROR(__xludf.DUMMYFUNCTION("""COMPUTED_VALUE"""),45061.64583333333)</f>
        <v>45061.64583</v>
      </c>
      <c r="B122" s="1">
        <f>IFERROR(__xludf.DUMMYFUNCTION("""COMPUTED_VALUE"""),25750.0)</f>
        <v>25750</v>
      </c>
      <c r="C122" s="1">
        <f>IFERROR(__xludf.DUMMYFUNCTION("""COMPUTED_VALUE"""),25750.0)</f>
        <v>25750</v>
      </c>
      <c r="D122" s="1">
        <f>IFERROR(__xludf.DUMMYFUNCTION("""COMPUTED_VALUE"""),19700.0)</f>
        <v>19700</v>
      </c>
      <c r="E122" s="1">
        <f>IFERROR(__xludf.DUMMYFUNCTION("""COMPUTED_VALUE"""),21700.0)</f>
        <v>21700</v>
      </c>
      <c r="F122" s="1">
        <f>IFERROR(__xludf.DUMMYFUNCTION("""COMPUTED_VALUE"""),855271.0)</f>
        <v>855271</v>
      </c>
    </row>
    <row r="123">
      <c r="A123" s="2">
        <f>IFERROR(__xludf.DUMMYFUNCTION("""COMPUTED_VALUE"""),45062.64583333333)</f>
        <v>45062.64583</v>
      </c>
      <c r="B123" s="1">
        <f>IFERROR(__xludf.DUMMYFUNCTION("""COMPUTED_VALUE"""),21800.0)</f>
        <v>21800</v>
      </c>
      <c r="C123" s="1">
        <f>IFERROR(__xludf.DUMMYFUNCTION("""COMPUTED_VALUE"""),23150.0)</f>
        <v>23150</v>
      </c>
      <c r="D123" s="1">
        <f>IFERROR(__xludf.DUMMYFUNCTION("""COMPUTED_VALUE"""),21100.0)</f>
        <v>21100</v>
      </c>
      <c r="E123" s="1">
        <f>IFERROR(__xludf.DUMMYFUNCTION("""COMPUTED_VALUE"""),22000.0)</f>
        <v>22000</v>
      </c>
      <c r="F123" s="1">
        <f>IFERROR(__xludf.DUMMYFUNCTION("""COMPUTED_VALUE"""),271978.0)</f>
        <v>271978</v>
      </c>
    </row>
    <row r="124">
      <c r="A124" s="2">
        <f>IFERROR(__xludf.DUMMYFUNCTION("""COMPUTED_VALUE"""),45063.64583333333)</f>
        <v>45063.64583</v>
      </c>
      <c r="B124" s="1">
        <f>IFERROR(__xludf.DUMMYFUNCTION("""COMPUTED_VALUE"""),21900.0)</f>
        <v>21900</v>
      </c>
      <c r="C124" s="1">
        <f>IFERROR(__xludf.DUMMYFUNCTION("""COMPUTED_VALUE"""),23350.0)</f>
        <v>23350</v>
      </c>
      <c r="D124" s="1">
        <f>IFERROR(__xludf.DUMMYFUNCTION("""COMPUTED_VALUE"""),21400.0)</f>
        <v>21400</v>
      </c>
      <c r="E124" s="1">
        <f>IFERROR(__xludf.DUMMYFUNCTION("""COMPUTED_VALUE"""),22750.0)</f>
        <v>22750</v>
      </c>
      <c r="F124" s="1">
        <f>IFERROR(__xludf.DUMMYFUNCTION("""COMPUTED_VALUE"""),147972.0)</f>
        <v>147972</v>
      </c>
    </row>
    <row r="125">
      <c r="A125" s="2">
        <f>IFERROR(__xludf.DUMMYFUNCTION("""COMPUTED_VALUE"""),45064.64583333333)</f>
        <v>45064.64583</v>
      </c>
      <c r="B125" s="1">
        <f>IFERROR(__xludf.DUMMYFUNCTION("""COMPUTED_VALUE"""),22750.0)</f>
        <v>22750</v>
      </c>
      <c r="C125" s="1">
        <f>IFERROR(__xludf.DUMMYFUNCTION("""COMPUTED_VALUE"""),23700.0)</f>
        <v>23700</v>
      </c>
      <c r="D125" s="1">
        <f>IFERROR(__xludf.DUMMYFUNCTION("""COMPUTED_VALUE"""),22550.0)</f>
        <v>22550</v>
      </c>
      <c r="E125" s="1">
        <f>IFERROR(__xludf.DUMMYFUNCTION("""COMPUTED_VALUE"""),23350.0)</f>
        <v>23350</v>
      </c>
      <c r="F125" s="1">
        <f>IFERROR(__xludf.DUMMYFUNCTION("""COMPUTED_VALUE"""),142358.0)</f>
        <v>142358</v>
      </c>
    </row>
    <row r="126">
      <c r="A126" s="2">
        <f>IFERROR(__xludf.DUMMYFUNCTION("""COMPUTED_VALUE"""),45065.64583333333)</f>
        <v>45065.64583</v>
      </c>
      <c r="B126" s="1">
        <f>IFERROR(__xludf.DUMMYFUNCTION("""COMPUTED_VALUE"""),23800.0)</f>
        <v>23800</v>
      </c>
      <c r="C126" s="1">
        <f>IFERROR(__xludf.DUMMYFUNCTION("""COMPUTED_VALUE"""),23800.0)</f>
        <v>23800</v>
      </c>
      <c r="D126" s="1">
        <f>IFERROR(__xludf.DUMMYFUNCTION("""COMPUTED_VALUE"""),21850.0)</f>
        <v>21850</v>
      </c>
      <c r="E126" s="1">
        <f>IFERROR(__xludf.DUMMYFUNCTION("""COMPUTED_VALUE"""),23300.0)</f>
        <v>23300</v>
      </c>
      <c r="F126" s="1">
        <f>IFERROR(__xludf.DUMMYFUNCTION("""COMPUTED_VALUE"""),163343.0)</f>
        <v>163343</v>
      </c>
    </row>
    <row r="127">
      <c r="A127" s="2">
        <f>IFERROR(__xludf.DUMMYFUNCTION("""COMPUTED_VALUE"""),45068.64583333333)</f>
        <v>45068.64583</v>
      </c>
      <c r="B127" s="1">
        <f>IFERROR(__xludf.DUMMYFUNCTION("""COMPUTED_VALUE"""),23050.0)</f>
        <v>23050</v>
      </c>
      <c r="C127" s="1">
        <f>IFERROR(__xludf.DUMMYFUNCTION("""COMPUTED_VALUE"""),23650.0)</f>
        <v>23650</v>
      </c>
      <c r="D127" s="1">
        <f>IFERROR(__xludf.DUMMYFUNCTION("""COMPUTED_VALUE"""),22250.0)</f>
        <v>22250</v>
      </c>
      <c r="E127" s="1">
        <f>IFERROR(__xludf.DUMMYFUNCTION("""COMPUTED_VALUE"""),23650.0)</f>
        <v>23650</v>
      </c>
      <c r="F127" s="1">
        <f>IFERROR(__xludf.DUMMYFUNCTION("""COMPUTED_VALUE"""),204074.0)</f>
        <v>204074</v>
      </c>
    </row>
    <row r="128">
      <c r="A128" s="2">
        <f>IFERROR(__xludf.DUMMYFUNCTION("""COMPUTED_VALUE"""),45069.64583333333)</f>
        <v>45069.64583</v>
      </c>
      <c r="B128" s="1">
        <f>IFERROR(__xludf.DUMMYFUNCTION("""COMPUTED_VALUE"""),23500.0)</f>
        <v>23500</v>
      </c>
      <c r="C128" s="1">
        <f>IFERROR(__xludf.DUMMYFUNCTION("""COMPUTED_VALUE"""),24050.0)</f>
        <v>24050</v>
      </c>
      <c r="D128" s="1">
        <f>IFERROR(__xludf.DUMMYFUNCTION("""COMPUTED_VALUE"""),23250.0)</f>
        <v>23250</v>
      </c>
      <c r="E128" s="1">
        <f>IFERROR(__xludf.DUMMYFUNCTION("""COMPUTED_VALUE"""),23650.0)</f>
        <v>23650</v>
      </c>
      <c r="F128" s="1">
        <f>IFERROR(__xludf.DUMMYFUNCTION("""COMPUTED_VALUE"""),90779.0)</f>
        <v>90779</v>
      </c>
    </row>
    <row r="129">
      <c r="A129" s="2">
        <f>IFERROR(__xludf.DUMMYFUNCTION("""COMPUTED_VALUE"""),45070.64583333333)</f>
        <v>45070.64583</v>
      </c>
      <c r="B129" s="1">
        <f>IFERROR(__xludf.DUMMYFUNCTION("""COMPUTED_VALUE"""),23200.0)</f>
        <v>23200</v>
      </c>
      <c r="C129" s="1">
        <f>IFERROR(__xludf.DUMMYFUNCTION("""COMPUTED_VALUE"""),23900.0)</f>
        <v>23900</v>
      </c>
      <c r="D129" s="1">
        <f>IFERROR(__xludf.DUMMYFUNCTION("""COMPUTED_VALUE"""),22900.0)</f>
        <v>22900</v>
      </c>
      <c r="E129" s="1">
        <f>IFERROR(__xludf.DUMMYFUNCTION("""COMPUTED_VALUE"""),23550.0)</f>
        <v>23550</v>
      </c>
      <c r="F129" s="1">
        <f>IFERROR(__xludf.DUMMYFUNCTION("""COMPUTED_VALUE"""),80225.0)</f>
        <v>80225</v>
      </c>
    </row>
    <row r="130">
      <c r="A130" s="2">
        <f>IFERROR(__xludf.DUMMYFUNCTION("""COMPUTED_VALUE"""),45071.64583333333)</f>
        <v>45071.64583</v>
      </c>
      <c r="B130" s="1">
        <f>IFERROR(__xludf.DUMMYFUNCTION("""COMPUTED_VALUE"""),23600.0)</f>
        <v>23600</v>
      </c>
      <c r="C130" s="1">
        <f>IFERROR(__xludf.DUMMYFUNCTION("""COMPUTED_VALUE"""),25400.0)</f>
        <v>25400</v>
      </c>
      <c r="D130" s="1">
        <f>IFERROR(__xludf.DUMMYFUNCTION("""COMPUTED_VALUE"""),23450.0)</f>
        <v>23450</v>
      </c>
      <c r="E130" s="1">
        <f>IFERROR(__xludf.DUMMYFUNCTION("""COMPUTED_VALUE"""),25000.0)</f>
        <v>25000</v>
      </c>
      <c r="F130" s="1">
        <f>IFERROR(__xludf.DUMMYFUNCTION("""COMPUTED_VALUE"""),358888.0)</f>
        <v>358888</v>
      </c>
    </row>
    <row r="131">
      <c r="A131" s="2">
        <f>IFERROR(__xludf.DUMMYFUNCTION("""COMPUTED_VALUE"""),45072.64583333333)</f>
        <v>45072.64583</v>
      </c>
      <c r="B131" s="1">
        <f>IFERROR(__xludf.DUMMYFUNCTION("""COMPUTED_VALUE"""),25400.0)</f>
        <v>25400</v>
      </c>
      <c r="C131" s="1">
        <f>IFERROR(__xludf.DUMMYFUNCTION("""COMPUTED_VALUE"""),25800.0)</f>
        <v>25800</v>
      </c>
      <c r="D131" s="1">
        <f>IFERROR(__xludf.DUMMYFUNCTION("""COMPUTED_VALUE"""),24300.0)</f>
        <v>24300</v>
      </c>
      <c r="E131" s="1">
        <f>IFERROR(__xludf.DUMMYFUNCTION("""COMPUTED_VALUE"""),24950.0)</f>
        <v>24950</v>
      </c>
      <c r="F131" s="1">
        <f>IFERROR(__xludf.DUMMYFUNCTION("""COMPUTED_VALUE"""),207755.0)</f>
        <v>207755</v>
      </c>
    </row>
    <row r="132">
      <c r="A132" s="2">
        <f>IFERROR(__xludf.DUMMYFUNCTION("""COMPUTED_VALUE"""),45076.64583333333)</f>
        <v>45076.64583</v>
      </c>
      <c r="B132" s="1">
        <f>IFERROR(__xludf.DUMMYFUNCTION("""COMPUTED_VALUE"""),24700.0)</f>
        <v>24700</v>
      </c>
      <c r="C132" s="1">
        <f>IFERROR(__xludf.DUMMYFUNCTION("""COMPUTED_VALUE"""),25000.0)</f>
        <v>25000</v>
      </c>
      <c r="D132" s="1">
        <f>IFERROR(__xludf.DUMMYFUNCTION("""COMPUTED_VALUE"""),23950.0)</f>
        <v>23950</v>
      </c>
      <c r="E132" s="1">
        <f>IFERROR(__xludf.DUMMYFUNCTION("""COMPUTED_VALUE"""),24800.0)</f>
        <v>24800</v>
      </c>
      <c r="F132" s="1">
        <f>IFERROR(__xludf.DUMMYFUNCTION("""COMPUTED_VALUE"""),123263.0)</f>
        <v>123263</v>
      </c>
    </row>
    <row r="133">
      <c r="A133" s="2">
        <f>IFERROR(__xludf.DUMMYFUNCTION("""COMPUTED_VALUE"""),45077.64583333333)</f>
        <v>45077.64583</v>
      </c>
      <c r="B133" s="1">
        <f>IFERROR(__xludf.DUMMYFUNCTION("""COMPUTED_VALUE"""),25000.0)</f>
        <v>25000</v>
      </c>
      <c r="C133" s="1">
        <f>IFERROR(__xludf.DUMMYFUNCTION("""COMPUTED_VALUE"""),25700.0)</f>
        <v>25700</v>
      </c>
      <c r="D133" s="1">
        <f>IFERROR(__xludf.DUMMYFUNCTION("""COMPUTED_VALUE"""),24650.0)</f>
        <v>24650</v>
      </c>
      <c r="E133" s="1">
        <f>IFERROR(__xludf.DUMMYFUNCTION("""COMPUTED_VALUE"""),25050.0)</f>
        <v>25050</v>
      </c>
      <c r="F133" s="1">
        <f>IFERROR(__xludf.DUMMYFUNCTION("""COMPUTED_VALUE"""),166949.0)</f>
        <v>166949</v>
      </c>
    </row>
    <row r="134">
      <c r="A134" s="2">
        <f>IFERROR(__xludf.DUMMYFUNCTION("""COMPUTED_VALUE"""),45078.64583333333)</f>
        <v>45078.64583</v>
      </c>
      <c r="B134" s="1">
        <f>IFERROR(__xludf.DUMMYFUNCTION("""COMPUTED_VALUE"""),24850.0)</f>
        <v>24850</v>
      </c>
      <c r="C134" s="1">
        <f>IFERROR(__xludf.DUMMYFUNCTION("""COMPUTED_VALUE"""),25600.0)</f>
        <v>25600</v>
      </c>
      <c r="D134" s="1">
        <f>IFERROR(__xludf.DUMMYFUNCTION("""COMPUTED_VALUE"""),24600.0)</f>
        <v>24600</v>
      </c>
      <c r="E134" s="1">
        <f>IFERROR(__xludf.DUMMYFUNCTION("""COMPUTED_VALUE"""),25550.0)</f>
        <v>25550</v>
      </c>
      <c r="F134" s="1">
        <f>IFERROR(__xludf.DUMMYFUNCTION("""COMPUTED_VALUE"""),78630.0)</f>
        <v>78630</v>
      </c>
    </row>
    <row r="135">
      <c r="A135" s="2">
        <f>IFERROR(__xludf.DUMMYFUNCTION("""COMPUTED_VALUE"""),45079.64583333333)</f>
        <v>45079.64583</v>
      </c>
      <c r="B135" s="1">
        <f>IFERROR(__xludf.DUMMYFUNCTION("""COMPUTED_VALUE"""),25750.0)</f>
        <v>25750</v>
      </c>
      <c r="C135" s="1">
        <f>IFERROR(__xludf.DUMMYFUNCTION("""COMPUTED_VALUE"""),27450.0)</f>
        <v>27450</v>
      </c>
      <c r="D135" s="1">
        <f>IFERROR(__xludf.DUMMYFUNCTION("""COMPUTED_VALUE"""),25400.0)</f>
        <v>25400</v>
      </c>
      <c r="E135" s="1">
        <f>IFERROR(__xludf.DUMMYFUNCTION("""COMPUTED_VALUE"""),27450.0)</f>
        <v>27450</v>
      </c>
      <c r="F135" s="1">
        <f>IFERROR(__xludf.DUMMYFUNCTION("""COMPUTED_VALUE"""),368530.0)</f>
        <v>368530</v>
      </c>
    </row>
    <row r="136">
      <c r="A136" s="2">
        <f>IFERROR(__xludf.DUMMYFUNCTION("""COMPUTED_VALUE"""),45082.64583333333)</f>
        <v>45082.64583</v>
      </c>
      <c r="B136" s="1">
        <f>IFERROR(__xludf.DUMMYFUNCTION("""COMPUTED_VALUE"""),27250.0)</f>
        <v>27250</v>
      </c>
      <c r="C136" s="1">
        <f>IFERROR(__xludf.DUMMYFUNCTION("""COMPUTED_VALUE"""),27450.0)</f>
        <v>27450</v>
      </c>
      <c r="D136" s="1">
        <f>IFERROR(__xludf.DUMMYFUNCTION("""COMPUTED_VALUE"""),26150.0)</f>
        <v>26150</v>
      </c>
      <c r="E136" s="1">
        <f>IFERROR(__xludf.DUMMYFUNCTION("""COMPUTED_VALUE"""),26750.0)</f>
        <v>26750</v>
      </c>
      <c r="F136" s="1">
        <f>IFERROR(__xludf.DUMMYFUNCTION("""COMPUTED_VALUE"""),138894.0)</f>
        <v>138894</v>
      </c>
    </row>
    <row r="137">
      <c r="A137" s="2">
        <f>IFERROR(__xludf.DUMMYFUNCTION("""COMPUTED_VALUE"""),45084.64583333333)</f>
        <v>45084.64583</v>
      </c>
      <c r="B137" s="1">
        <f>IFERROR(__xludf.DUMMYFUNCTION("""COMPUTED_VALUE"""),26500.0)</f>
        <v>26500</v>
      </c>
      <c r="C137" s="1">
        <f>IFERROR(__xludf.DUMMYFUNCTION("""COMPUTED_VALUE"""),27500.0)</f>
        <v>27500</v>
      </c>
      <c r="D137" s="1">
        <f>IFERROR(__xludf.DUMMYFUNCTION("""COMPUTED_VALUE"""),26000.0)</f>
        <v>26000</v>
      </c>
      <c r="E137" s="1">
        <f>IFERROR(__xludf.DUMMYFUNCTION("""COMPUTED_VALUE"""),26900.0)</f>
        <v>26900</v>
      </c>
      <c r="F137" s="1">
        <f>IFERROR(__xludf.DUMMYFUNCTION("""COMPUTED_VALUE"""),112178.0)</f>
        <v>112178</v>
      </c>
    </row>
    <row r="138">
      <c r="A138" s="2">
        <f>IFERROR(__xludf.DUMMYFUNCTION("""COMPUTED_VALUE"""),45085.64583333333)</f>
        <v>45085.64583</v>
      </c>
      <c r="B138" s="1">
        <f>IFERROR(__xludf.DUMMYFUNCTION("""COMPUTED_VALUE"""),26700.0)</f>
        <v>26700</v>
      </c>
      <c r="C138" s="1">
        <f>IFERROR(__xludf.DUMMYFUNCTION("""COMPUTED_VALUE"""),26750.0)</f>
        <v>26750</v>
      </c>
      <c r="D138" s="1">
        <f>IFERROR(__xludf.DUMMYFUNCTION("""COMPUTED_VALUE"""),25750.0)</f>
        <v>25750</v>
      </c>
      <c r="E138" s="1">
        <f>IFERROR(__xludf.DUMMYFUNCTION("""COMPUTED_VALUE"""),26050.0)</f>
        <v>26050</v>
      </c>
      <c r="F138" s="1">
        <f>IFERROR(__xludf.DUMMYFUNCTION("""COMPUTED_VALUE"""),137754.0)</f>
        <v>137754</v>
      </c>
    </row>
    <row r="139">
      <c r="A139" s="2">
        <f>IFERROR(__xludf.DUMMYFUNCTION("""COMPUTED_VALUE"""),45086.64583333333)</f>
        <v>45086.64583</v>
      </c>
      <c r="B139" s="1">
        <f>IFERROR(__xludf.DUMMYFUNCTION("""COMPUTED_VALUE"""),26100.0)</f>
        <v>26100</v>
      </c>
      <c r="C139" s="1">
        <f>IFERROR(__xludf.DUMMYFUNCTION("""COMPUTED_VALUE"""),27500.0)</f>
        <v>27500</v>
      </c>
      <c r="D139" s="1">
        <f>IFERROR(__xludf.DUMMYFUNCTION("""COMPUTED_VALUE"""),25500.0)</f>
        <v>25500</v>
      </c>
      <c r="E139" s="1">
        <f>IFERROR(__xludf.DUMMYFUNCTION("""COMPUTED_VALUE"""),27050.0)</f>
        <v>27050</v>
      </c>
      <c r="F139" s="1">
        <f>IFERROR(__xludf.DUMMYFUNCTION("""COMPUTED_VALUE"""),209727.0)</f>
        <v>209727</v>
      </c>
    </row>
    <row r="140">
      <c r="A140" s="2">
        <f>IFERROR(__xludf.DUMMYFUNCTION("""COMPUTED_VALUE"""),45089.64583333333)</f>
        <v>45089.64583</v>
      </c>
      <c r="B140" s="1">
        <f>IFERROR(__xludf.DUMMYFUNCTION("""COMPUTED_VALUE"""),27050.0)</f>
        <v>27050</v>
      </c>
      <c r="C140" s="1">
        <f>IFERROR(__xludf.DUMMYFUNCTION("""COMPUTED_VALUE"""),27100.0)</f>
        <v>27100</v>
      </c>
      <c r="D140" s="1">
        <f>IFERROR(__xludf.DUMMYFUNCTION("""COMPUTED_VALUE"""),26000.0)</f>
        <v>26000</v>
      </c>
      <c r="E140" s="1">
        <f>IFERROR(__xludf.DUMMYFUNCTION("""COMPUTED_VALUE"""),26800.0)</f>
        <v>26800</v>
      </c>
      <c r="F140" s="1">
        <f>IFERROR(__xludf.DUMMYFUNCTION("""COMPUTED_VALUE"""),118238.0)</f>
        <v>118238</v>
      </c>
    </row>
    <row r="141">
      <c r="A141" s="2">
        <f>IFERROR(__xludf.DUMMYFUNCTION("""COMPUTED_VALUE"""),45090.64583333333)</f>
        <v>45090.64583</v>
      </c>
      <c r="B141" s="1">
        <f>IFERROR(__xludf.DUMMYFUNCTION("""COMPUTED_VALUE"""),26800.0)</f>
        <v>26800</v>
      </c>
      <c r="C141" s="1">
        <f>IFERROR(__xludf.DUMMYFUNCTION("""COMPUTED_VALUE"""),27650.0)</f>
        <v>27650</v>
      </c>
      <c r="D141" s="1">
        <f>IFERROR(__xludf.DUMMYFUNCTION("""COMPUTED_VALUE"""),26350.0)</f>
        <v>26350</v>
      </c>
      <c r="E141" s="1">
        <f>IFERROR(__xludf.DUMMYFUNCTION("""COMPUTED_VALUE"""),26750.0)</f>
        <v>26750</v>
      </c>
      <c r="F141" s="1">
        <f>IFERROR(__xludf.DUMMYFUNCTION("""COMPUTED_VALUE"""),111870.0)</f>
        <v>111870</v>
      </c>
    </row>
    <row r="142">
      <c r="A142" s="2">
        <f>IFERROR(__xludf.DUMMYFUNCTION("""COMPUTED_VALUE"""),45091.64583333333)</f>
        <v>45091.64583</v>
      </c>
      <c r="B142" s="1">
        <f>IFERROR(__xludf.DUMMYFUNCTION("""COMPUTED_VALUE"""),26850.0)</f>
        <v>26850</v>
      </c>
      <c r="C142" s="1">
        <f>IFERROR(__xludf.DUMMYFUNCTION("""COMPUTED_VALUE"""),27150.0)</f>
        <v>27150</v>
      </c>
      <c r="D142" s="1">
        <f>IFERROR(__xludf.DUMMYFUNCTION("""COMPUTED_VALUE"""),24700.0)</f>
        <v>24700</v>
      </c>
      <c r="E142" s="1">
        <f>IFERROR(__xludf.DUMMYFUNCTION("""COMPUTED_VALUE"""),25000.0)</f>
        <v>25000</v>
      </c>
      <c r="F142" s="1">
        <f>IFERROR(__xludf.DUMMYFUNCTION("""COMPUTED_VALUE"""),187781.0)</f>
        <v>187781</v>
      </c>
    </row>
    <row r="143">
      <c r="A143" s="2">
        <f>IFERROR(__xludf.DUMMYFUNCTION("""COMPUTED_VALUE"""),45092.64583333333)</f>
        <v>45092.64583</v>
      </c>
      <c r="B143" s="1">
        <f>IFERROR(__xludf.DUMMYFUNCTION("""COMPUTED_VALUE"""),24900.0)</f>
        <v>24900</v>
      </c>
      <c r="C143" s="1">
        <f>IFERROR(__xludf.DUMMYFUNCTION("""COMPUTED_VALUE"""),25650.0)</f>
        <v>25650</v>
      </c>
      <c r="D143" s="1">
        <f>IFERROR(__xludf.DUMMYFUNCTION("""COMPUTED_VALUE"""),24350.0)</f>
        <v>24350</v>
      </c>
      <c r="E143" s="1">
        <f>IFERROR(__xludf.DUMMYFUNCTION("""COMPUTED_VALUE"""),25150.0)</f>
        <v>25150</v>
      </c>
      <c r="F143" s="1">
        <f>IFERROR(__xludf.DUMMYFUNCTION("""COMPUTED_VALUE"""),207313.0)</f>
        <v>207313</v>
      </c>
    </row>
    <row r="144">
      <c r="A144" s="2">
        <f>IFERROR(__xludf.DUMMYFUNCTION("""COMPUTED_VALUE"""),45093.64583333333)</f>
        <v>45093.64583</v>
      </c>
      <c r="B144" s="1">
        <f>IFERROR(__xludf.DUMMYFUNCTION("""COMPUTED_VALUE"""),25150.0)</f>
        <v>25150</v>
      </c>
      <c r="C144" s="1">
        <f>IFERROR(__xludf.DUMMYFUNCTION("""COMPUTED_VALUE"""),25650.0)</f>
        <v>25650</v>
      </c>
      <c r="D144" s="1">
        <f>IFERROR(__xludf.DUMMYFUNCTION("""COMPUTED_VALUE"""),24700.0)</f>
        <v>24700</v>
      </c>
      <c r="E144" s="1">
        <f>IFERROR(__xludf.DUMMYFUNCTION("""COMPUTED_VALUE"""),25150.0)</f>
        <v>25150</v>
      </c>
      <c r="F144" s="1">
        <f>IFERROR(__xludf.DUMMYFUNCTION("""COMPUTED_VALUE"""),94330.0)</f>
        <v>94330</v>
      </c>
    </row>
    <row r="145">
      <c r="A145" s="2">
        <f>IFERROR(__xludf.DUMMYFUNCTION("""COMPUTED_VALUE"""),45096.64583333333)</f>
        <v>45096.64583</v>
      </c>
      <c r="B145" s="1">
        <f>IFERROR(__xludf.DUMMYFUNCTION("""COMPUTED_VALUE"""),25050.0)</f>
        <v>25050</v>
      </c>
      <c r="C145" s="1">
        <f>IFERROR(__xludf.DUMMYFUNCTION("""COMPUTED_VALUE"""),25050.0)</f>
        <v>25050</v>
      </c>
      <c r="D145" s="1">
        <f>IFERROR(__xludf.DUMMYFUNCTION("""COMPUTED_VALUE"""),23600.0)</f>
        <v>23600</v>
      </c>
      <c r="E145" s="1">
        <f>IFERROR(__xludf.DUMMYFUNCTION("""COMPUTED_VALUE"""),23950.0)</f>
        <v>23950</v>
      </c>
      <c r="F145" s="1">
        <f>IFERROR(__xludf.DUMMYFUNCTION("""COMPUTED_VALUE"""),155546.0)</f>
        <v>155546</v>
      </c>
    </row>
    <row r="146">
      <c r="A146" s="2">
        <f>IFERROR(__xludf.DUMMYFUNCTION("""COMPUTED_VALUE"""),45097.64583333333)</f>
        <v>45097.64583</v>
      </c>
      <c r="B146" s="1">
        <f>IFERROR(__xludf.DUMMYFUNCTION("""COMPUTED_VALUE"""),23750.0)</f>
        <v>23750</v>
      </c>
      <c r="C146" s="1">
        <f>IFERROR(__xludf.DUMMYFUNCTION("""COMPUTED_VALUE"""),24400.0)</f>
        <v>24400</v>
      </c>
      <c r="D146" s="1">
        <f>IFERROR(__xludf.DUMMYFUNCTION("""COMPUTED_VALUE"""),23350.0)</f>
        <v>23350</v>
      </c>
      <c r="E146" s="1">
        <f>IFERROR(__xludf.DUMMYFUNCTION("""COMPUTED_VALUE"""),24250.0)</f>
        <v>24250</v>
      </c>
      <c r="F146" s="1">
        <f>IFERROR(__xludf.DUMMYFUNCTION("""COMPUTED_VALUE"""),106456.0)</f>
        <v>106456</v>
      </c>
    </row>
    <row r="147">
      <c r="A147" s="2">
        <f>IFERROR(__xludf.DUMMYFUNCTION("""COMPUTED_VALUE"""),45098.64583333333)</f>
        <v>45098.64583</v>
      </c>
      <c r="B147" s="1">
        <f>IFERROR(__xludf.DUMMYFUNCTION("""COMPUTED_VALUE"""),24100.0)</f>
        <v>24100</v>
      </c>
      <c r="C147" s="1">
        <f>IFERROR(__xludf.DUMMYFUNCTION("""COMPUTED_VALUE"""),25600.0)</f>
        <v>25600</v>
      </c>
      <c r="D147" s="1">
        <f>IFERROR(__xludf.DUMMYFUNCTION("""COMPUTED_VALUE"""),23550.0)</f>
        <v>23550</v>
      </c>
      <c r="E147" s="1">
        <f>IFERROR(__xludf.DUMMYFUNCTION("""COMPUTED_VALUE"""),23800.0)</f>
        <v>23800</v>
      </c>
      <c r="F147" s="1">
        <f>IFERROR(__xludf.DUMMYFUNCTION("""COMPUTED_VALUE"""),224123.0)</f>
        <v>224123</v>
      </c>
    </row>
    <row r="148">
      <c r="A148" s="2">
        <f>IFERROR(__xludf.DUMMYFUNCTION("""COMPUTED_VALUE"""),45099.64583333333)</f>
        <v>45099.64583</v>
      </c>
      <c r="B148" s="1">
        <f>IFERROR(__xludf.DUMMYFUNCTION("""COMPUTED_VALUE"""),23800.0)</f>
        <v>23800</v>
      </c>
      <c r="C148" s="1">
        <f>IFERROR(__xludf.DUMMYFUNCTION("""COMPUTED_VALUE"""),24300.0)</f>
        <v>24300</v>
      </c>
      <c r="D148" s="1">
        <f>IFERROR(__xludf.DUMMYFUNCTION("""COMPUTED_VALUE"""),23100.0)</f>
        <v>23100</v>
      </c>
      <c r="E148" s="1">
        <f>IFERROR(__xludf.DUMMYFUNCTION("""COMPUTED_VALUE"""),23400.0)</f>
        <v>23400</v>
      </c>
      <c r="F148" s="1">
        <f>IFERROR(__xludf.DUMMYFUNCTION("""COMPUTED_VALUE"""),118708.0)</f>
        <v>118708</v>
      </c>
    </row>
    <row r="149">
      <c r="A149" s="2">
        <f>IFERROR(__xludf.DUMMYFUNCTION("""COMPUTED_VALUE"""),45100.64583333333)</f>
        <v>45100.64583</v>
      </c>
      <c r="B149" s="1">
        <f>IFERROR(__xludf.DUMMYFUNCTION("""COMPUTED_VALUE"""),23300.0)</f>
        <v>23300</v>
      </c>
      <c r="C149" s="1">
        <f>IFERROR(__xludf.DUMMYFUNCTION("""COMPUTED_VALUE"""),24050.0)</f>
        <v>24050</v>
      </c>
      <c r="D149" s="1">
        <f>IFERROR(__xludf.DUMMYFUNCTION("""COMPUTED_VALUE"""),23250.0)</f>
        <v>23250</v>
      </c>
      <c r="E149" s="1">
        <f>IFERROR(__xludf.DUMMYFUNCTION("""COMPUTED_VALUE"""),23550.0)</f>
        <v>23550</v>
      </c>
      <c r="F149" s="1">
        <f>IFERROR(__xludf.DUMMYFUNCTION("""COMPUTED_VALUE"""),62204.0)</f>
        <v>62204</v>
      </c>
    </row>
    <row r="150">
      <c r="A150" s="2">
        <f>IFERROR(__xludf.DUMMYFUNCTION("""COMPUTED_VALUE"""),45103.64583333333)</f>
        <v>45103.64583</v>
      </c>
      <c r="B150" s="1">
        <f>IFERROR(__xludf.DUMMYFUNCTION("""COMPUTED_VALUE"""),23050.0)</f>
        <v>23050</v>
      </c>
      <c r="C150" s="1">
        <f>IFERROR(__xludf.DUMMYFUNCTION("""COMPUTED_VALUE"""),23400.0)</f>
        <v>23400</v>
      </c>
      <c r="D150" s="1">
        <f>IFERROR(__xludf.DUMMYFUNCTION("""COMPUTED_VALUE"""),22300.0)</f>
        <v>22300</v>
      </c>
      <c r="E150" s="1">
        <f>IFERROR(__xludf.DUMMYFUNCTION("""COMPUTED_VALUE"""),22300.0)</f>
        <v>22300</v>
      </c>
      <c r="F150" s="1">
        <f>IFERROR(__xludf.DUMMYFUNCTION("""COMPUTED_VALUE"""),170296.0)</f>
        <v>170296</v>
      </c>
    </row>
    <row r="151">
      <c r="A151" s="2">
        <f>IFERROR(__xludf.DUMMYFUNCTION("""COMPUTED_VALUE"""),45104.64583333333)</f>
        <v>45104.64583</v>
      </c>
      <c r="B151" s="1">
        <f>IFERROR(__xludf.DUMMYFUNCTION("""COMPUTED_VALUE"""),22150.0)</f>
        <v>22150</v>
      </c>
      <c r="C151" s="1">
        <f>IFERROR(__xludf.DUMMYFUNCTION("""COMPUTED_VALUE"""),23150.0)</f>
        <v>23150</v>
      </c>
      <c r="D151" s="1">
        <f>IFERROR(__xludf.DUMMYFUNCTION("""COMPUTED_VALUE"""),21700.0)</f>
        <v>21700</v>
      </c>
      <c r="E151" s="1">
        <f>IFERROR(__xludf.DUMMYFUNCTION("""COMPUTED_VALUE"""),22750.0)</f>
        <v>22750</v>
      </c>
      <c r="F151" s="1">
        <f>IFERROR(__xludf.DUMMYFUNCTION("""COMPUTED_VALUE"""),146263.0)</f>
        <v>146263</v>
      </c>
    </row>
    <row r="152">
      <c r="A152" s="2">
        <f>IFERROR(__xludf.DUMMYFUNCTION("""COMPUTED_VALUE"""),45105.64583333333)</f>
        <v>45105.64583</v>
      </c>
      <c r="B152" s="1">
        <f>IFERROR(__xludf.DUMMYFUNCTION("""COMPUTED_VALUE"""),22750.0)</f>
        <v>22750</v>
      </c>
      <c r="C152" s="1">
        <f>IFERROR(__xludf.DUMMYFUNCTION("""COMPUTED_VALUE"""),23650.0)</f>
        <v>23650</v>
      </c>
      <c r="D152" s="1">
        <f>IFERROR(__xludf.DUMMYFUNCTION("""COMPUTED_VALUE"""),22300.0)</f>
        <v>22300</v>
      </c>
      <c r="E152" s="1">
        <f>IFERROR(__xludf.DUMMYFUNCTION("""COMPUTED_VALUE"""),23250.0)</f>
        <v>23250</v>
      </c>
      <c r="F152" s="1">
        <f>IFERROR(__xludf.DUMMYFUNCTION("""COMPUTED_VALUE"""),121430.0)</f>
        <v>121430</v>
      </c>
    </row>
    <row r="153">
      <c r="A153" s="2">
        <f>IFERROR(__xludf.DUMMYFUNCTION("""COMPUTED_VALUE"""),45106.64583333333)</f>
        <v>45106.64583</v>
      </c>
      <c r="B153" s="1">
        <f>IFERROR(__xludf.DUMMYFUNCTION("""COMPUTED_VALUE"""),23350.0)</f>
        <v>23350</v>
      </c>
      <c r="C153" s="1">
        <f>IFERROR(__xludf.DUMMYFUNCTION("""COMPUTED_VALUE"""),25000.0)</f>
        <v>25000</v>
      </c>
      <c r="D153" s="1">
        <f>IFERROR(__xludf.DUMMYFUNCTION("""COMPUTED_VALUE"""),23150.0)</f>
        <v>23150</v>
      </c>
      <c r="E153" s="1">
        <f>IFERROR(__xludf.DUMMYFUNCTION("""COMPUTED_VALUE"""),23850.0)</f>
        <v>23850</v>
      </c>
      <c r="F153" s="1">
        <f>IFERROR(__xludf.DUMMYFUNCTION("""COMPUTED_VALUE"""),240361.0)</f>
        <v>240361</v>
      </c>
    </row>
    <row r="154">
      <c r="A154" s="2">
        <f>IFERROR(__xludf.DUMMYFUNCTION("""COMPUTED_VALUE"""),45107.64583333333)</f>
        <v>45107.64583</v>
      </c>
      <c r="B154" s="1">
        <f>IFERROR(__xludf.DUMMYFUNCTION("""COMPUTED_VALUE"""),24000.0)</f>
        <v>24000</v>
      </c>
      <c r="C154" s="1">
        <f>IFERROR(__xludf.DUMMYFUNCTION("""COMPUTED_VALUE"""),24300.0)</f>
        <v>24300</v>
      </c>
      <c r="D154" s="1">
        <f>IFERROR(__xludf.DUMMYFUNCTION("""COMPUTED_VALUE"""),22600.0)</f>
        <v>22600</v>
      </c>
      <c r="E154" s="1">
        <f>IFERROR(__xludf.DUMMYFUNCTION("""COMPUTED_VALUE"""),23100.0)</f>
        <v>23100</v>
      </c>
      <c r="F154" s="1">
        <f>IFERROR(__xludf.DUMMYFUNCTION("""COMPUTED_VALUE"""),122569.0)</f>
        <v>122569</v>
      </c>
    </row>
    <row r="155">
      <c r="A155" s="2">
        <f>IFERROR(__xludf.DUMMYFUNCTION("""COMPUTED_VALUE"""),45110.64583333333)</f>
        <v>45110.64583</v>
      </c>
      <c r="B155" s="1">
        <f>IFERROR(__xludf.DUMMYFUNCTION("""COMPUTED_VALUE"""),22850.0)</f>
        <v>22850</v>
      </c>
      <c r="C155" s="1">
        <f>IFERROR(__xludf.DUMMYFUNCTION("""COMPUTED_VALUE"""),23100.0)</f>
        <v>23100</v>
      </c>
      <c r="D155" s="1">
        <f>IFERROR(__xludf.DUMMYFUNCTION("""COMPUTED_VALUE"""),22200.0)</f>
        <v>22200</v>
      </c>
      <c r="E155" s="1">
        <f>IFERROR(__xludf.DUMMYFUNCTION("""COMPUTED_VALUE"""),22550.0)</f>
        <v>22550</v>
      </c>
      <c r="F155" s="1">
        <f>IFERROR(__xludf.DUMMYFUNCTION("""COMPUTED_VALUE"""),137909.0)</f>
        <v>137909</v>
      </c>
    </row>
    <row r="156">
      <c r="A156" s="2">
        <f>IFERROR(__xludf.DUMMYFUNCTION("""COMPUTED_VALUE"""),45111.64583333333)</f>
        <v>45111.64583</v>
      </c>
      <c r="B156" s="1">
        <f>IFERROR(__xludf.DUMMYFUNCTION("""COMPUTED_VALUE"""),22650.0)</f>
        <v>22650</v>
      </c>
      <c r="C156" s="1">
        <f>IFERROR(__xludf.DUMMYFUNCTION("""COMPUTED_VALUE"""),22700.0)</f>
        <v>22700</v>
      </c>
      <c r="D156" s="1">
        <f>IFERROR(__xludf.DUMMYFUNCTION("""COMPUTED_VALUE"""),21750.0)</f>
        <v>21750</v>
      </c>
      <c r="E156" s="1">
        <f>IFERROR(__xludf.DUMMYFUNCTION("""COMPUTED_VALUE"""),22650.0)</f>
        <v>22650</v>
      </c>
      <c r="F156" s="1">
        <f>IFERROR(__xludf.DUMMYFUNCTION("""COMPUTED_VALUE"""),147735.0)</f>
        <v>147735</v>
      </c>
    </row>
    <row r="157">
      <c r="A157" s="2">
        <f>IFERROR(__xludf.DUMMYFUNCTION("""COMPUTED_VALUE"""),45112.64583333333)</f>
        <v>45112.64583</v>
      </c>
      <c r="B157" s="1">
        <f>IFERROR(__xludf.DUMMYFUNCTION("""COMPUTED_VALUE"""),23900.0)</f>
        <v>23900</v>
      </c>
      <c r="C157" s="1">
        <f>IFERROR(__xludf.DUMMYFUNCTION("""COMPUTED_VALUE"""),23900.0)</f>
        <v>23900</v>
      </c>
      <c r="D157" s="1">
        <f>IFERROR(__xludf.DUMMYFUNCTION("""COMPUTED_VALUE"""),21550.0)</f>
        <v>21550</v>
      </c>
      <c r="E157" s="1">
        <f>IFERROR(__xludf.DUMMYFUNCTION("""COMPUTED_VALUE"""),21700.0)</f>
        <v>21700</v>
      </c>
      <c r="F157" s="1">
        <f>IFERROR(__xludf.DUMMYFUNCTION("""COMPUTED_VALUE"""),357959.0)</f>
        <v>357959</v>
      </c>
    </row>
    <row r="158">
      <c r="A158" s="2">
        <f>IFERROR(__xludf.DUMMYFUNCTION("""COMPUTED_VALUE"""),45113.64583333333)</f>
        <v>45113.64583</v>
      </c>
      <c r="B158" s="1">
        <f>IFERROR(__xludf.DUMMYFUNCTION("""COMPUTED_VALUE"""),21550.0)</f>
        <v>21550</v>
      </c>
      <c r="C158" s="1">
        <f>IFERROR(__xludf.DUMMYFUNCTION("""COMPUTED_VALUE"""),21800.0)</f>
        <v>21800</v>
      </c>
      <c r="D158" s="1">
        <f>IFERROR(__xludf.DUMMYFUNCTION("""COMPUTED_VALUE"""),20950.0)</f>
        <v>20950</v>
      </c>
      <c r="E158" s="1">
        <f>IFERROR(__xludf.DUMMYFUNCTION("""COMPUTED_VALUE"""),21250.0)</f>
        <v>21250</v>
      </c>
      <c r="F158" s="1">
        <f>IFERROR(__xludf.DUMMYFUNCTION("""COMPUTED_VALUE"""),100661.0)</f>
        <v>100661</v>
      </c>
    </row>
    <row r="159">
      <c r="A159" s="2">
        <f>IFERROR(__xludf.DUMMYFUNCTION("""COMPUTED_VALUE"""),45114.64583333333)</f>
        <v>45114.64583</v>
      </c>
      <c r="B159" s="1">
        <f>IFERROR(__xludf.DUMMYFUNCTION("""COMPUTED_VALUE"""),21000.0)</f>
        <v>21000</v>
      </c>
      <c r="C159" s="1">
        <f>IFERROR(__xludf.DUMMYFUNCTION("""COMPUTED_VALUE"""),21600.0)</f>
        <v>21600</v>
      </c>
      <c r="D159" s="1">
        <f>IFERROR(__xludf.DUMMYFUNCTION("""COMPUTED_VALUE"""),20400.0)</f>
        <v>20400</v>
      </c>
      <c r="E159" s="1">
        <f>IFERROR(__xludf.DUMMYFUNCTION("""COMPUTED_VALUE"""),21250.0)</f>
        <v>21250</v>
      </c>
      <c r="F159" s="1">
        <f>IFERROR(__xludf.DUMMYFUNCTION("""COMPUTED_VALUE"""),151329.0)</f>
        <v>151329</v>
      </c>
    </row>
    <row r="160">
      <c r="A160" s="2">
        <f>IFERROR(__xludf.DUMMYFUNCTION("""COMPUTED_VALUE"""),45117.64583333333)</f>
        <v>45117.64583</v>
      </c>
      <c r="B160" s="1">
        <f>IFERROR(__xludf.DUMMYFUNCTION("""COMPUTED_VALUE"""),21450.0)</f>
        <v>21450</v>
      </c>
      <c r="C160" s="1">
        <f>IFERROR(__xludf.DUMMYFUNCTION("""COMPUTED_VALUE"""),21450.0)</f>
        <v>21450</v>
      </c>
      <c r="D160" s="1">
        <f>IFERROR(__xludf.DUMMYFUNCTION("""COMPUTED_VALUE"""),19710.0)</f>
        <v>19710</v>
      </c>
      <c r="E160" s="1">
        <f>IFERROR(__xludf.DUMMYFUNCTION("""COMPUTED_VALUE"""),19990.0)</f>
        <v>19990</v>
      </c>
      <c r="F160" s="1">
        <f>IFERROR(__xludf.DUMMYFUNCTION("""COMPUTED_VALUE"""),179970.0)</f>
        <v>179970</v>
      </c>
    </row>
    <row r="161">
      <c r="A161" s="2">
        <f>IFERROR(__xludf.DUMMYFUNCTION("""COMPUTED_VALUE"""),45118.64583333333)</f>
        <v>45118.64583</v>
      </c>
      <c r="B161" s="1">
        <f>IFERROR(__xludf.DUMMYFUNCTION("""COMPUTED_VALUE"""),20000.0)</f>
        <v>20000</v>
      </c>
      <c r="C161" s="1">
        <f>IFERROR(__xludf.DUMMYFUNCTION("""COMPUTED_VALUE"""),20600.0)</f>
        <v>20600</v>
      </c>
      <c r="D161" s="1">
        <f>IFERROR(__xludf.DUMMYFUNCTION("""COMPUTED_VALUE"""),19830.0)</f>
        <v>19830</v>
      </c>
      <c r="E161" s="1">
        <f>IFERROR(__xludf.DUMMYFUNCTION("""COMPUTED_VALUE"""),20550.0)</f>
        <v>20550</v>
      </c>
      <c r="F161" s="1">
        <f>IFERROR(__xludf.DUMMYFUNCTION("""COMPUTED_VALUE"""),110583.0)</f>
        <v>110583</v>
      </c>
    </row>
    <row r="162">
      <c r="A162" s="2">
        <f>IFERROR(__xludf.DUMMYFUNCTION("""COMPUTED_VALUE"""),45119.64583333333)</f>
        <v>45119.64583</v>
      </c>
      <c r="B162" s="1">
        <f>IFERROR(__xludf.DUMMYFUNCTION("""COMPUTED_VALUE"""),20550.0)</f>
        <v>20550</v>
      </c>
      <c r="C162" s="1">
        <f>IFERROR(__xludf.DUMMYFUNCTION("""COMPUTED_VALUE"""),21550.0)</f>
        <v>21550</v>
      </c>
      <c r="D162" s="1">
        <f>IFERROR(__xludf.DUMMYFUNCTION("""COMPUTED_VALUE"""),20400.0)</f>
        <v>20400</v>
      </c>
      <c r="E162" s="1">
        <f>IFERROR(__xludf.DUMMYFUNCTION("""COMPUTED_VALUE"""),21100.0)</f>
        <v>21100</v>
      </c>
      <c r="F162" s="1">
        <f>IFERROR(__xludf.DUMMYFUNCTION("""COMPUTED_VALUE"""),96226.0)</f>
        <v>96226</v>
      </c>
    </row>
    <row r="163">
      <c r="A163" s="2">
        <f>IFERROR(__xludf.DUMMYFUNCTION("""COMPUTED_VALUE"""),45120.64583333333)</f>
        <v>45120.64583</v>
      </c>
      <c r="B163" s="1">
        <f>IFERROR(__xludf.DUMMYFUNCTION("""COMPUTED_VALUE"""),21250.0)</f>
        <v>21250</v>
      </c>
      <c r="C163" s="1">
        <f>IFERROR(__xludf.DUMMYFUNCTION("""COMPUTED_VALUE"""),21700.0)</f>
        <v>21700</v>
      </c>
      <c r="D163" s="1">
        <f>IFERROR(__xludf.DUMMYFUNCTION("""COMPUTED_VALUE"""),21100.0)</f>
        <v>21100</v>
      </c>
      <c r="E163" s="1">
        <f>IFERROR(__xludf.DUMMYFUNCTION("""COMPUTED_VALUE"""),21400.0)</f>
        <v>21400</v>
      </c>
      <c r="F163" s="1">
        <f>IFERROR(__xludf.DUMMYFUNCTION("""COMPUTED_VALUE"""),53514.0)</f>
        <v>53514</v>
      </c>
    </row>
    <row r="164">
      <c r="A164" s="2">
        <f>IFERROR(__xludf.DUMMYFUNCTION("""COMPUTED_VALUE"""),45121.64583333333)</f>
        <v>45121.64583</v>
      </c>
      <c r="B164" s="1">
        <f>IFERROR(__xludf.DUMMYFUNCTION("""COMPUTED_VALUE"""),21200.0)</f>
        <v>21200</v>
      </c>
      <c r="C164" s="1">
        <f>IFERROR(__xludf.DUMMYFUNCTION("""COMPUTED_VALUE"""),21600.0)</f>
        <v>21600</v>
      </c>
      <c r="D164" s="1">
        <f>IFERROR(__xludf.DUMMYFUNCTION("""COMPUTED_VALUE"""),20650.0)</f>
        <v>20650</v>
      </c>
      <c r="E164" s="1">
        <f>IFERROR(__xludf.DUMMYFUNCTION("""COMPUTED_VALUE"""),21100.0)</f>
        <v>21100</v>
      </c>
      <c r="F164" s="1">
        <f>IFERROR(__xludf.DUMMYFUNCTION("""COMPUTED_VALUE"""),76312.0)</f>
        <v>76312</v>
      </c>
    </row>
    <row r="165">
      <c r="A165" s="2">
        <f>IFERROR(__xludf.DUMMYFUNCTION("""COMPUTED_VALUE"""),45124.64583333333)</f>
        <v>45124.64583</v>
      </c>
      <c r="B165" s="1">
        <f>IFERROR(__xludf.DUMMYFUNCTION("""COMPUTED_VALUE"""),21600.0)</f>
        <v>21600</v>
      </c>
      <c r="C165" s="1">
        <f>IFERROR(__xludf.DUMMYFUNCTION("""COMPUTED_VALUE"""),22150.0)</f>
        <v>22150</v>
      </c>
      <c r="D165" s="1">
        <f>IFERROR(__xludf.DUMMYFUNCTION("""COMPUTED_VALUE"""),20850.0)</f>
        <v>20850</v>
      </c>
      <c r="E165" s="1">
        <f>IFERROR(__xludf.DUMMYFUNCTION("""COMPUTED_VALUE"""),21150.0)</f>
        <v>21150</v>
      </c>
      <c r="F165" s="1">
        <f>IFERROR(__xludf.DUMMYFUNCTION("""COMPUTED_VALUE"""),127948.0)</f>
        <v>127948</v>
      </c>
    </row>
    <row r="166">
      <c r="A166" s="2">
        <f>IFERROR(__xludf.DUMMYFUNCTION("""COMPUTED_VALUE"""),45125.64583333333)</f>
        <v>45125.64583</v>
      </c>
      <c r="B166" s="1">
        <f>IFERROR(__xludf.DUMMYFUNCTION("""COMPUTED_VALUE"""),21200.0)</f>
        <v>21200</v>
      </c>
      <c r="C166" s="1">
        <f>IFERROR(__xludf.DUMMYFUNCTION("""COMPUTED_VALUE"""),21500.0)</f>
        <v>21500</v>
      </c>
      <c r="D166" s="1">
        <f>IFERROR(__xludf.DUMMYFUNCTION("""COMPUTED_VALUE"""),20200.0)</f>
        <v>20200</v>
      </c>
      <c r="E166" s="1">
        <f>IFERROR(__xludf.DUMMYFUNCTION("""COMPUTED_VALUE"""),21500.0)</f>
        <v>21500</v>
      </c>
      <c r="F166" s="1">
        <f>IFERROR(__xludf.DUMMYFUNCTION("""COMPUTED_VALUE"""),144480.0)</f>
        <v>144480</v>
      </c>
    </row>
    <row r="167">
      <c r="A167" s="2">
        <f>IFERROR(__xludf.DUMMYFUNCTION("""COMPUTED_VALUE"""),45126.64583333333)</f>
        <v>45126.64583</v>
      </c>
      <c r="B167" s="1">
        <f>IFERROR(__xludf.DUMMYFUNCTION("""COMPUTED_VALUE"""),21600.0)</f>
        <v>21600</v>
      </c>
      <c r="C167" s="1">
        <f>IFERROR(__xludf.DUMMYFUNCTION("""COMPUTED_VALUE"""),22250.0)</f>
        <v>22250</v>
      </c>
      <c r="D167" s="1">
        <f>IFERROR(__xludf.DUMMYFUNCTION("""COMPUTED_VALUE"""),20850.0)</f>
        <v>20850</v>
      </c>
      <c r="E167" s="1">
        <f>IFERROR(__xludf.DUMMYFUNCTION("""COMPUTED_VALUE"""),21850.0)</f>
        <v>21850</v>
      </c>
      <c r="F167" s="1">
        <f>IFERROR(__xludf.DUMMYFUNCTION("""COMPUTED_VALUE"""),93573.0)</f>
        <v>93573</v>
      </c>
    </row>
    <row r="168">
      <c r="A168" s="2">
        <f>IFERROR(__xludf.DUMMYFUNCTION("""COMPUTED_VALUE"""),45127.64583333333)</f>
        <v>45127.64583</v>
      </c>
      <c r="B168" s="1">
        <f>IFERROR(__xludf.DUMMYFUNCTION("""COMPUTED_VALUE"""),21900.0)</f>
        <v>21900</v>
      </c>
      <c r="C168" s="1">
        <f>IFERROR(__xludf.DUMMYFUNCTION("""COMPUTED_VALUE"""),22100.0)</f>
        <v>22100</v>
      </c>
      <c r="D168" s="1">
        <f>IFERROR(__xludf.DUMMYFUNCTION("""COMPUTED_VALUE"""),21200.0)</f>
        <v>21200</v>
      </c>
      <c r="E168" s="1">
        <f>IFERROR(__xludf.DUMMYFUNCTION("""COMPUTED_VALUE"""),21900.0)</f>
        <v>21900</v>
      </c>
      <c r="F168" s="1">
        <f>IFERROR(__xludf.DUMMYFUNCTION("""COMPUTED_VALUE"""),76627.0)</f>
        <v>76627</v>
      </c>
    </row>
    <row r="169">
      <c r="A169" s="2">
        <f>IFERROR(__xludf.DUMMYFUNCTION("""COMPUTED_VALUE"""),45128.64583333333)</f>
        <v>45128.64583</v>
      </c>
      <c r="B169" s="1">
        <f>IFERROR(__xludf.DUMMYFUNCTION("""COMPUTED_VALUE"""),21900.0)</f>
        <v>21900</v>
      </c>
      <c r="C169" s="1">
        <f>IFERROR(__xludf.DUMMYFUNCTION("""COMPUTED_VALUE"""),22800.0)</f>
        <v>22800</v>
      </c>
      <c r="D169" s="1">
        <f>IFERROR(__xludf.DUMMYFUNCTION("""COMPUTED_VALUE"""),21700.0)</f>
        <v>21700</v>
      </c>
      <c r="E169" s="1">
        <f>IFERROR(__xludf.DUMMYFUNCTION("""COMPUTED_VALUE"""),22600.0)</f>
        <v>22600</v>
      </c>
      <c r="F169" s="1">
        <f>IFERROR(__xludf.DUMMYFUNCTION("""COMPUTED_VALUE"""),91523.0)</f>
        <v>91523</v>
      </c>
    </row>
    <row r="170">
      <c r="A170" s="2">
        <f>IFERROR(__xludf.DUMMYFUNCTION("""COMPUTED_VALUE"""),45131.64583333333)</f>
        <v>45131.64583</v>
      </c>
      <c r="B170" s="1">
        <f>IFERROR(__xludf.DUMMYFUNCTION("""COMPUTED_VALUE"""),22400.0)</f>
        <v>22400</v>
      </c>
      <c r="C170" s="1">
        <f>IFERROR(__xludf.DUMMYFUNCTION("""COMPUTED_VALUE"""),22800.0)</f>
        <v>22800</v>
      </c>
      <c r="D170" s="1">
        <f>IFERROR(__xludf.DUMMYFUNCTION("""COMPUTED_VALUE"""),21000.0)</f>
        <v>21000</v>
      </c>
      <c r="E170" s="1">
        <f>IFERROR(__xludf.DUMMYFUNCTION("""COMPUTED_VALUE"""),22200.0)</f>
        <v>22200</v>
      </c>
      <c r="F170" s="1">
        <f>IFERROR(__xludf.DUMMYFUNCTION("""COMPUTED_VALUE"""),98712.0)</f>
        <v>98712</v>
      </c>
    </row>
    <row r="171">
      <c r="A171" s="2">
        <f>IFERROR(__xludf.DUMMYFUNCTION("""COMPUTED_VALUE"""),45132.64583333333)</f>
        <v>45132.64583</v>
      </c>
      <c r="B171" s="1">
        <f>IFERROR(__xludf.DUMMYFUNCTION("""COMPUTED_VALUE"""),21900.0)</f>
        <v>21900</v>
      </c>
      <c r="C171" s="1">
        <f>IFERROR(__xludf.DUMMYFUNCTION("""COMPUTED_VALUE"""),22950.0)</f>
        <v>22950</v>
      </c>
      <c r="D171" s="1">
        <f>IFERROR(__xludf.DUMMYFUNCTION("""COMPUTED_VALUE"""),21500.0)</f>
        <v>21500</v>
      </c>
      <c r="E171" s="1">
        <f>IFERROR(__xludf.DUMMYFUNCTION("""COMPUTED_VALUE"""),21600.0)</f>
        <v>21600</v>
      </c>
      <c r="F171" s="1">
        <f>IFERROR(__xludf.DUMMYFUNCTION("""COMPUTED_VALUE"""),81977.0)</f>
        <v>81977</v>
      </c>
    </row>
    <row r="172">
      <c r="A172" s="2">
        <f>IFERROR(__xludf.DUMMYFUNCTION("""COMPUTED_VALUE"""),45133.64583333333)</f>
        <v>45133.64583</v>
      </c>
      <c r="B172" s="1">
        <f>IFERROR(__xludf.DUMMYFUNCTION("""COMPUTED_VALUE"""),21400.0)</f>
        <v>21400</v>
      </c>
      <c r="C172" s="1">
        <f>IFERROR(__xludf.DUMMYFUNCTION("""COMPUTED_VALUE"""),21400.0)</f>
        <v>21400</v>
      </c>
      <c r="D172" s="1">
        <f>IFERROR(__xludf.DUMMYFUNCTION("""COMPUTED_VALUE"""),19660.0)</f>
        <v>19660</v>
      </c>
      <c r="E172" s="1">
        <f>IFERROR(__xludf.DUMMYFUNCTION("""COMPUTED_VALUE"""),20150.0)</f>
        <v>20150</v>
      </c>
      <c r="F172" s="1">
        <f>IFERROR(__xludf.DUMMYFUNCTION("""COMPUTED_VALUE"""),219525.0)</f>
        <v>219525</v>
      </c>
    </row>
    <row r="173">
      <c r="A173" s="2">
        <f>IFERROR(__xludf.DUMMYFUNCTION("""COMPUTED_VALUE"""),45134.64583333333)</f>
        <v>45134.64583</v>
      </c>
      <c r="B173" s="1">
        <f>IFERROR(__xludf.DUMMYFUNCTION("""COMPUTED_VALUE"""),20150.0)</f>
        <v>20150</v>
      </c>
      <c r="C173" s="1">
        <f>IFERROR(__xludf.DUMMYFUNCTION("""COMPUTED_VALUE"""),20950.0)</f>
        <v>20950</v>
      </c>
      <c r="D173" s="1">
        <f>IFERROR(__xludf.DUMMYFUNCTION("""COMPUTED_VALUE"""),19820.0)</f>
        <v>19820</v>
      </c>
      <c r="E173" s="1">
        <f>IFERROR(__xludf.DUMMYFUNCTION("""COMPUTED_VALUE"""),20250.0)</f>
        <v>20250</v>
      </c>
      <c r="F173" s="1">
        <f>IFERROR(__xludf.DUMMYFUNCTION("""COMPUTED_VALUE"""),77994.0)</f>
        <v>77994</v>
      </c>
    </row>
    <row r="174">
      <c r="A174" s="2">
        <f>IFERROR(__xludf.DUMMYFUNCTION("""COMPUTED_VALUE"""),45135.64583333333)</f>
        <v>45135.64583</v>
      </c>
      <c r="B174" s="1">
        <f>IFERROR(__xludf.DUMMYFUNCTION("""COMPUTED_VALUE"""),20200.0)</f>
        <v>20200</v>
      </c>
      <c r="C174" s="1">
        <f>IFERROR(__xludf.DUMMYFUNCTION("""COMPUTED_VALUE"""),20600.0)</f>
        <v>20600</v>
      </c>
      <c r="D174" s="1">
        <f>IFERROR(__xludf.DUMMYFUNCTION("""COMPUTED_VALUE"""),19910.0)</f>
        <v>19910</v>
      </c>
      <c r="E174" s="1">
        <f>IFERROR(__xludf.DUMMYFUNCTION("""COMPUTED_VALUE"""),20200.0)</f>
        <v>20200</v>
      </c>
      <c r="F174" s="1">
        <f>IFERROR(__xludf.DUMMYFUNCTION("""COMPUTED_VALUE"""),94604.0)</f>
        <v>94604</v>
      </c>
    </row>
    <row r="175">
      <c r="A175" s="2">
        <f>IFERROR(__xludf.DUMMYFUNCTION("""COMPUTED_VALUE"""),45138.64583333333)</f>
        <v>45138.64583</v>
      </c>
      <c r="B175" s="1">
        <f>IFERROR(__xludf.DUMMYFUNCTION("""COMPUTED_VALUE"""),20300.0)</f>
        <v>20300</v>
      </c>
      <c r="C175" s="1">
        <f>IFERROR(__xludf.DUMMYFUNCTION("""COMPUTED_VALUE"""),20700.0)</f>
        <v>20700</v>
      </c>
      <c r="D175" s="1">
        <f>IFERROR(__xludf.DUMMYFUNCTION("""COMPUTED_VALUE"""),19900.0)</f>
        <v>19900</v>
      </c>
      <c r="E175" s="1">
        <f>IFERROR(__xludf.DUMMYFUNCTION("""COMPUTED_VALUE"""),20450.0)</f>
        <v>20450</v>
      </c>
      <c r="F175" s="1">
        <f>IFERROR(__xludf.DUMMYFUNCTION("""COMPUTED_VALUE"""),87833.0)</f>
        <v>87833</v>
      </c>
    </row>
    <row r="176">
      <c r="A176" s="2">
        <f>IFERROR(__xludf.DUMMYFUNCTION("""COMPUTED_VALUE"""),45139.64583333333)</f>
        <v>45139.64583</v>
      </c>
      <c r="B176" s="1">
        <f>IFERROR(__xludf.DUMMYFUNCTION("""COMPUTED_VALUE"""),20450.0)</f>
        <v>20450</v>
      </c>
      <c r="C176" s="1">
        <f>IFERROR(__xludf.DUMMYFUNCTION("""COMPUTED_VALUE"""),21500.0)</f>
        <v>21500</v>
      </c>
      <c r="D176" s="1">
        <f>IFERROR(__xludf.DUMMYFUNCTION("""COMPUTED_VALUE"""),20450.0)</f>
        <v>20450</v>
      </c>
      <c r="E176" s="1">
        <f>IFERROR(__xludf.DUMMYFUNCTION("""COMPUTED_VALUE"""),21300.0)</f>
        <v>21300</v>
      </c>
      <c r="F176" s="1">
        <f>IFERROR(__xludf.DUMMYFUNCTION("""COMPUTED_VALUE"""),68339.0)</f>
        <v>68339</v>
      </c>
    </row>
    <row r="177">
      <c r="A177" s="2">
        <f>IFERROR(__xludf.DUMMYFUNCTION("""COMPUTED_VALUE"""),45140.64583333333)</f>
        <v>45140.64583</v>
      </c>
      <c r="B177" s="1">
        <f>IFERROR(__xludf.DUMMYFUNCTION("""COMPUTED_VALUE"""),21050.0)</f>
        <v>21050</v>
      </c>
      <c r="C177" s="1">
        <f>IFERROR(__xludf.DUMMYFUNCTION("""COMPUTED_VALUE"""),21650.0)</f>
        <v>21650</v>
      </c>
      <c r="D177" s="1">
        <f>IFERROR(__xludf.DUMMYFUNCTION("""COMPUTED_VALUE"""),20000.0)</f>
        <v>20000</v>
      </c>
      <c r="E177" s="1">
        <f>IFERROR(__xludf.DUMMYFUNCTION("""COMPUTED_VALUE"""),20200.0)</f>
        <v>20200</v>
      </c>
      <c r="F177" s="1">
        <f>IFERROR(__xludf.DUMMYFUNCTION("""COMPUTED_VALUE"""),98828.0)</f>
        <v>98828</v>
      </c>
    </row>
    <row r="178">
      <c r="A178" s="2">
        <f>IFERROR(__xludf.DUMMYFUNCTION("""COMPUTED_VALUE"""),45141.64583333333)</f>
        <v>45141.64583</v>
      </c>
      <c r="B178" s="1">
        <f>IFERROR(__xludf.DUMMYFUNCTION("""COMPUTED_VALUE"""),20000.0)</f>
        <v>20000</v>
      </c>
      <c r="C178" s="1">
        <f>IFERROR(__xludf.DUMMYFUNCTION("""COMPUTED_VALUE"""),20100.0)</f>
        <v>20100</v>
      </c>
      <c r="D178" s="1">
        <f>IFERROR(__xludf.DUMMYFUNCTION("""COMPUTED_VALUE"""),18900.0)</f>
        <v>18900</v>
      </c>
      <c r="E178" s="1">
        <f>IFERROR(__xludf.DUMMYFUNCTION("""COMPUTED_VALUE"""),19820.0)</f>
        <v>19820</v>
      </c>
      <c r="F178" s="1">
        <f>IFERROR(__xludf.DUMMYFUNCTION("""COMPUTED_VALUE"""),96815.0)</f>
        <v>96815</v>
      </c>
    </row>
    <row r="179">
      <c r="A179" s="2">
        <f>IFERROR(__xludf.DUMMYFUNCTION("""COMPUTED_VALUE"""),45142.64583333333)</f>
        <v>45142.64583</v>
      </c>
      <c r="B179" s="1">
        <f>IFERROR(__xludf.DUMMYFUNCTION("""COMPUTED_VALUE"""),19720.0)</f>
        <v>19720</v>
      </c>
      <c r="C179" s="1">
        <f>IFERROR(__xludf.DUMMYFUNCTION("""COMPUTED_VALUE"""),21400.0)</f>
        <v>21400</v>
      </c>
      <c r="D179" s="1">
        <f>IFERROR(__xludf.DUMMYFUNCTION("""COMPUTED_VALUE"""),19720.0)</f>
        <v>19720</v>
      </c>
      <c r="E179" s="1">
        <f>IFERROR(__xludf.DUMMYFUNCTION("""COMPUTED_VALUE"""),20900.0)</f>
        <v>20900</v>
      </c>
      <c r="F179" s="1">
        <f>IFERROR(__xludf.DUMMYFUNCTION("""COMPUTED_VALUE"""),167412.0)</f>
        <v>167412</v>
      </c>
    </row>
    <row r="180">
      <c r="A180" s="2">
        <f>IFERROR(__xludf.DUMMYFUNCTION("""COMPUTED_VALUE"""),45145.64583333333)</f>
        <v>45145.64583</v>
      </c>
      <c r="B180" s="1">
        <f>IFERROR(__xludf.DUMMYFUNCTION("""COMPUTED_VALUE"""),21200.0)</f>
        <v>21200</v>
      </c>
      <c r="C180" s="1">
        <f>IFERROR(__xludf.DUMMYFUNCTION("""COMPUTED_VALUE"""),22200.0)</f>
        <v>22200</v>
      </c>
      <c r="D180" s="1">
        <f>IFERROR(__xludf.DUMMYFUNCTION("""COMPUTED_VALUE"""),20850.0)</f>
        <v>20850</v>
      </c>
      <c r="E180" s="1">
        <f>IFERROR(__xludf.DUMMYFUNCTION("""COMPUTED_VALUE"""),21100.0)</f>
        <v>21100</v>
      </c>
      <c r="F180" s="1">
        <f>IFERROR(__xludf.DUMMYFUNCTION("""COMPUTED_VALUE"""),129575.0)</f>
        <v>129575</v>
      </c>
    </row>
    <row r="181">
      <c r="A181" s="2">
        <f>IFERROR(__xludf.DUMMYFUNCTION("""COMPUTED_VALUE"""),45146.64583333333)</f>
        <v>45146.64583</v>
      </c>
      <c r="B181" s="1">
        <f>IFERROR(__xludf.DUMMYFUNCTION("""COMPUTED_VALUE"""),21150.0)</f>
        <v>21150</v>
      </c>
      <c r="C181" s="1">
        <f>IFERROR(__xludf.DUMMYFUNCTION("""COMPUTED_VALUE"""),21400.0)</f>
        <v>21400</v>
      </c>
      <c r="D181" s="1">
        <f>IFERROR(__xludf.DUMMYFUNCTION("""COMPUTED_VALUE"""),20200.0)</f>
        <v>20200</v>
      </c>
      <c r="E181" s="1">
        <f>IFERROR(__xludf.DUMMYFUNCTION("""COMPUTED_VALUE"""),20550.0)</f>
        <v>20550</v>
      </c>
      <c r="F181" s="1">
        <f>IFERROR(__xludf.DUMMYFUNCTION("""COMPUTED_VALUE"""),49385.0)</f>
        <v>49385</v>
      </c>
    </row>
    <row r="182">
      <c r="A182" s="2">
        <f>IFERROR(__xludf.DUMMYFUNCTION("""COMPUTED_VALUE"""),45147.64583333333)</f>
        <v>45147.64583</v>
      </c>
      <c r="B182" s="1">
        <f>IFERROR(__xludf.DUMMYFUNCTION("""COMPUTED_VALUE"""),20150.0)</f>
        <v>20150</v>
      </c>
      <c r="C182" s="1">
        <f>IFERROR(__xludf.DUMMYFUNCTION("""COMPUTED_VALUE"""),20950.0)</f>
        <v>20950</v>
      </c>
      <c r="D182" s="1">
        <f>IFERROR(__xludf.DUMMYFUNCTION("""COMPUTED_VALUE"""),20000.0)</f>
        <v>20000</v>
      </c>
      <c r="E182" s="1">
        <f>IFERROR(__xludf.DUMMYFUNCTION("""COMPUTED_VALUE"""),20600.0)</f>
        <v>20600</v>
      </c>
      <c r="F182" s="1">
        <f>IFERROR(__xludf.DUMMYFUNCTION("""COMPUTED_VALUE"""),51630.0)</f>
        <v>51630</v>
      </c>
    </row>
    <row r="183">
      <c r="A183" s="2">
        <f>IFERROR(__xludf.DUMMYFUNCTION("""COMPUTED_VALUE"""),45148.64583333333)</f>
        <v>45148.64583</v>
      </c>
      <c r="B183" s="1">
        <f>IFERROR(__xludf.DUMMYFUNCTION("""COMPUTED_VALUE"""),20300.0)</f>
        <v>20300</v>
      </c>
      <c r="C183" s="1">
        <f>IFERROR(__xludf.DUMMYFUNCTION("""COMPUTED_VALUE"""),20850.0)</f>
        <v>20850</v>
      </c>
      <c r="D183" s="1">
        <f>IFERROR(__xludf.DUMMYFUNCTION("""COMPUTED_VALUE"""),19850.0)</f>
        <v>19850</v>
      </c>
      <c r="E183" s="1">
        <f>IFERROR(__xludf.DUMMYFUNCTION("""COMPUTED_VALUE"""),20000.0)</f>
        <v>20000</v>
      </c>
      <c r="F183" s="1">
        <f>IFERROR(__xludf.DUMMYFUNCTION("""COMPUTED_VALUE"""),85946.0)</f>
        <v>85946</v>
      </c>
    </row>
    <row r="184">
      <c r="A184" s="2">
        <f>IFERROR(__xludf.DUMMYFUNCTION("""COMPUTED_VALUE"""),45149.64583333333)</f>
        <v>45149.64583</v>
      </c>
      <c r="B184" s="1">
        <f>IFERROR(__xludf.DUMMYFUNCTION("""COMPUTED_VALUE"""),20350.0)</f>
        <v>20350</v>
      </c>
      <c r="C184" s="1">
        <f>IFERROR(__xludf.DUMMYFUNCTION("""COMPUTED_VALUE"""),21750.0)</f>
        <v>21750</v>
      </c>
      <c r="D184" s="1">
        <f>IFERROR(__xludf.DUMMYFUNCTION("""COMPUTED_VALUE"""),20000.0)</f>
        <v>20000</v>
      </c>
      <c r="E184" s="1">
        <f>IFERROR(__xludf.DUMMYFUNCTION("""COMPUTED_VALUE"""),21000.0)</f>
        <v>21000</v>
      </c>
      <c r="F184" s="1">
        <f>IFERROR(__xludf.DUMMYFUNCTION("""COMPUTED_VALUE"""),120031.0)</f>
        <v>120031</v>
      </c>
    </row>
    <row r="185">
      <c r="A185" s="2">
        <f>IFERROR(__xludf.DUMMYFUNCTION("""COMPUTED_VALUE"""),45152.64583333333)</f>
        <v>45152.64583</v>
      </c>
      <c r="B185" s="1">
        <f>IFERROR(__xludf.DUMMYFUNCTION("""COMPUTED_VALUE"""),20750.0)</f>
        <v>20750</v>
      </c>
      <c r="C185" s="1">
        <f>IFERROR(__xludf.DUMMYFUNCTION("""COMPUTED_VALUE"""),21300.0)</f>
        <v>21300</v>
      </c>
      <c r="D185" s="1">
        <f>IFERROR(__xludf.DUMMYFUNCTION("""COMPUTED_VALUE"""),20100.0)</f>
        <v>20100</v>
      </c>
      <c r="E185" s="1">
        <f>IFERROR(__xludf.DUMMYFUNCTION("""COMPUTED_VALUE"""),20100.0)</f>
        <v>20100</v>
      </c>
      <c r="F185" s="1">
        <f>IFERROR(__xludf.DUMMYFUNCTION("""COMPUTED_VALUE"""),65927.0)</f>
        <v>65927</v>
      </c>
    </row>
    <row r="186">
      <c r="A186" s="2">
        <f>IFERROR(__xludf.DUMMYFUNCTION("""COMPUTED_VALUE"""),45154.64583333333)</f>
        <v>45154.64583</v>
      </c>
      <c r="B186" s="1">
        <f>IFERROR(__xludf.DUMMYFUNCTION("""COMPUTED_VALUE"""),19110.0)</f>
        <v>19110</v>
      </c>
      <c r="C186" s="1">
        <f>IFERROR(__xludf.DUMMYFUNCTION("""COMPUTED_VALUE"""),19640.0)</f>
        <v>19640</v>
      </c>
      <c r="D186" s="1">
        <f>IFERROR(__xludf.DUMMYFUNCTION("""COMPUTED_VALUE"""),16000.0)</f>
        <v>16000</v>
      </c>
      <c r="E186" s="1">
        <f>IFERROR(__xludf.DUMMYFUNCTION("""COMPUTED_VALUE"""),16300.0)</f>
        <v>16300</v>
      </c>
      <c r="F186" s="1">
        <f>IFERROR(__xludf.DUMMYFUNCTION("""COMPUTED_VALUE"""),564449.0)</f>
        <v>564449</v>
      </c>
    </row>
    <row r="187">
      <c r="A187" s="2">
        <f>IFERROR(__xludf.DUMMYFUNCTION("""COMPUTED_VALUE"""),45155.64583333333)</f>
        <v>45155.64583</v>
      </c>
      <c r="B187" s="1">
        <f>IFERROR(__xludf.DUMMYFUNCTION("""COMPUTED_VALUE"""),16580.0)</f>
        <v>16580</v>
      </c>
      <c r="C187" s="1">
        <f>IFERROR(__xludf.DUMMYFUNCTION("""COMPUTED_VALUE"""),17370.0)</f>
        <v>17370</v>
      </c>
      <c r="D187" s="1">
        <f>IFERROR(__xludf.DUMMYFUNCTION("""COMPUTED_VALUE"""),15990.0)</f>
        <v>15990</v>
      </c>
      <c r="E187" s="1">
        <f>IFERROR(__xludf.DUMMYFUNCTION("""COMPUTED_VALUE"""),16950.0)</f>
        <v>16950</v>
      </c>
      <c r="F187" s="1">
        <f>IFERROR(__xludf.DUMMYFUNCTION("""COMPUTED_VALUE"""),137762.0)</f>
        <v>137762</v>
      </c>
    </row>
    <row r="188">
      <c r="A188" s="2">
        <f>IFERROR(__xludf.DUMMYFUNCTION("""COMPUTED_VALUE"""),45156.64583333333)</f>
        <v>45156.64583</v>
      </c>
      <c r="B188" s="1">
        <f>IFERROR(__xludf.DUMMYFUNCTION("""COMPUTED_VALUE"""),16440.0)</f>
        <v>16440</v>
      </c>
      <c r="C188" s="1">
        <f>IFERROR(__xludf.DUMMYFUNCTION("""COMPUTED_VALUE"""),17590.0)</f>
        <v>17590</v>
      </c>
      <c r="D188" s="1">
        <f>IFERROR(__xludf.DUMMYFUNCTION("""COMPUTED_VALUE"""),16300.0)</f>
        <v>16300</v>
      </c>
      <c r="E188" s="1">
        <f>IFERROR(__xludf.DUMMYFUNCTION("""COMPUTED_VALUE"""),16970.0)</f>
        <v>16970</v>
      </c>
      <c r="F188" s="1">
        <f>IFERROR(__xludf.DUMMYFUNCTION("""COMPUTED_VALUE"""),96822.0)</f>
        <v>96822</v>
      </c>
    </row>
    <row r="189">
      <c r="A189" s="2">
        <f>IFERROR(__xludf.DUMMYFUNCTION("""COMPUTED_VALUE"""),45159.64583333333)</f>
        <v>45159.64583</v>
      </c>
      <c r="B189" s="1">
        <f>IFERROR(__xludf.DUMMYFUNCTION("""COMPUTED_VALUE"""),17010.0)</f>
        <v>17010</v>
      </c>
      <c r="C189" s="1">
        <f>IFERROR(__xludf.DUMMYFUNCTION("""COMPUTED_VALUE"""),17400.0)</f>
        <v>17400</v>
      </c>
      <c r="D189" s="1">
        <f>IFERROR(__xludf.DUMMYFUNCTION("""COMPUTED_VALUE"""),16630.0)</f>
        <v>16630</v>
      </c>
      <c r="E189" s="1">
        <f>IFERROR(__xludf.DUMMYFUNCTION("""COMPUTED_VALUE"""),17010.0)</f>
        <v>17010</v>
      </c>
      <c r="F189" s="1">
        <f>IFERROR(__xludf.DUMMYFUNCTION("""COMPUTED_VALUE"""),40482.0)</f>
        <v>40482</v>
      </c>
    </row>
    <row r="190">
      <c r="A190" s="2">
        <f>IFERROR(__xludf.DUMMYFUNCTION("""COMPUTED_VALUE"""),45160.64583333333)</f>
        <v>45160.64583</v>
      </c>
      <c r="B190" s="1">
        <f>IFERROR(__xludf.DUMMYFUNCTION("""COMPUTED_VALUE"""),17370.0)</f>
        <v>17370</v>
      </c>
      <c r="C190" s="1">
        <f>IFERROR(__xludf.DUMMYFUNCTION("""COMPUTED_VALUE"""),17470.0)</f>
        <v>17470</v>
      </c>
      <c r="D190" s="1">
        <f>IFERROR(__xludf.DUMMYFUNCTION("""COMPUTED_VALUE"""),16570.0)</f>
        <v>16570</v>
      </c>
      <c r="E190" s="1">
        <f>IFERROR(__xludf.DUMMYFUNCTION("""COMPUTED_VALUE"""),16800.0)</f>
        <v>16800</v>
      </c>
      <c r="F190" s="1">
        <f>IFERROR(__xludf.DUMMYFUNCTION("""COMPUTED_VALUE"""),52769.0)</f>
        <v>52769</v>
      </c>
    </row>
    <row r="191">
      <c r="A191" s="2">
        <f>IFERROR(__xludf.DUMMYFUNCTION("""COMPUTED_VALUE"""),45161.64583333333)</f>
        <v>45161.64583</v>
      </c>
      <c r="B191" s="1">
        <f>IFERROR(__xludf.DUMMYFUNCTION("""COMPUTED_VALUE"""),16800.0)</f>
        <v>16800</v>
      </c>
      <c r="C191" s="1">
        <f>IFERROR(__xludf.DUMMYFUNCTION("""COMPUTED_VALUE"""),16990.0)</f>
        <v>16990</v>
      </c>
      <c r="D191" s="1">
        <f>IFERROR(__xludf.DUMMYFUNCTION("""COMPUTED_VALUE"""),16300.0)</f>
        <v>16300</v>
      </c>
      <c r="E191" s="1">
        <f>IFERROR(__xludf.DUMMYFUNCTION("""COMPUTED_VALUE"""),16770.0)</f>
        <v>16770</v>
      </c>
      <c r="F191" s="1">
        <f>IFERROR(__xludf.DUMMYFUNCTION("""COMPUTED_VALUE"""),95082.0)</f>
        <v>95082</v>
      </c>
    </row>
    <row r="192">
      <c r="A192" s="2">
        <f>IFERROR(__xludf.DUMMYFUNCTION("""COMPUTED_VALUE"""),45162.64583333333)</f>
        <v>45162.64583</v>
      </c>
      <c r="B192" s="1">
        <f>IFERROR(__xludf.DUMMYFUNCTION("""COMPUTED_VALUE"""),16770.0)</f>
        <v>16770</v>
      </c>
      <c r="C192" s="1">
        <f>IFERROR(__xludf.DUMMYFUNCTION("""COMPUTED_VALUE"""),17580.0)</f>
        <v>17580</v>
      </c>
      <c r="D192" s="1">
        <f>IFERROR(__xludf.DUMMYFUNCTION("""COMPUTED_VALUE"""),16710.0)</f>
        <v>16710</v>
      </c>
      <c r="E192" s="1">
        <f>IFERROR(__xludf.DUMMYFUNCTION("""COMPUTED_VALUE"""),17300.0)</f>
        <v>17300</v>
      </c>
      <c r="F192" s="1">
        <f>IFERROR(__xludf.DUMMYFUNCTION("""COMPUTED_VALUE"""),84797.0)</f>
        <v>84797</v>
      </c>
    </row>
    <row r="193">
      <c r="A193" s="2">
        <f>IFERROR(__xludf.DUMMYFUNCTION("""COMPUTED_VALUE"""),45163.64583333333)</f>
        <v>45163.64583</v>
      </c>
      <c r="B193" s="1">
        <f>IFERROR(__xludf.DUMMYFUNCTION("""COMPUTED_VALUE"""),16890.0)</f>
        <v>16890</v>
      </c>
      <c r="C193" s="1">
        <f>IFERROR(__xludf.DUMMYFUNCTION("""COMPUTED_VALUE"""),17040.0)</f>
        <v>17040</v>
      </c>
      <c r="D193" s="1">
        <f>IFERROR(__xludf.DUMMYFUNCTION("""COMPUTED_VALUE"""),16590.0)</f>
        <v>16590</v>
      </c>
      <c r="E193" s="1">
        <f>IFERROR(__xludf.DUMMYFUNCTION("""COMPUTED_VALUE"""),16900.0)</f>
        <v>16900</v>
      </c>
      <c r="F193" s="1">
        <f>IFERROR(__xludf.DUMMYFUNCTION("""COMPUTED_VALUE"""),71114.0)</f>
        <v>71114</v>
      </c>
    </row>
    <row r="194">
      <c r="A194" s="2">
        <f>IFERROR(__xludf.DUMMYFUNCTION("""COMPUTED_VALUE"""),45166.64583333333)</f>
        <v>45166.64583</v>
      </c>
      <c r="B194" s="1">
        <f>IFERROR(__xludf.DUMMYFUNCTION("""COMPUTED_VALUE"""),16900.0)</f>
        <v>16900</v>
      </c>
      <c r="C194" s="1">
        <f>IFERROR(__xludf.DUMMYFUNCTION("""COMPUTED_VALUE"""),16930.0)</f>
        <v>16930</v>
      </c>
      <c r="D194" s="1">
        <f>IFERROR(__xludf.DUMMYFUNCTION("""COMPUTED_VALUE"""),16500.0)</f>
        <v>16500</v>
      </c>
      <c r="E194" s="1">
        <f>IFERROR(__xludf.DUMMYFUNCTION("""COMPUTED_VALUE"""),16530.0)</f>
        <v>16530</v>
      </c>
      <c r="F194" s="1">
        <f>IFERROR(__xludf.DUMMYFUNCTION("""COMPUTED_VALUE"""),51447.0)</f>
        <v>51447</v>
      </c>
    </row>
    <row r="195">
      <c r="A195" s="2">
        <f>IFERROR(__xludf.DUMMYFUNCTION("""COMPUTED_VALUE"""),45167.64583333333)</f>
        <v>45167.64583</v>
      </c>
      <c r="B195" s="1">
        <f>IFERROR(__xludf.DUMMYFUNCTION("""COMPUTED_VALUE"""),16520.0)</f>
        <v>16520</v>
      </c>
      <c r="C195" s="1">
        <f>IFERROR(__xludf.DUMMYFUNCTION("""COMPUTED_VALUE"""),16890.0)</f>
        <v>16890</v>
      </c>
      <c r="D195" s="1">
        <f>IFERROR(__xludf.DUMMYFUNCTION("""COMPUTED_VALUE"""),16060.0)</f>
        <v>16060</v>
      </c>
      <c r="E195" s="1">
        <f>IFERROR(__xludf.DUMMYFUNCTION("""COMPUTED_VALUE"""),16280.0)</f>
        <v>16280</v>
      </c>
      <c r="F195" s="1">
        <f>IFERROR(__xludf.DUMMYFUNCTION("""COMPUTED_VALUE"""),104399.0)</f>
        <v>104399</v>
      </c>
    </row>
    <row r="196">
      <c r="A196" s="2">
        <f>IFERROR(__xludf.DUMMYFUNCTION("""COMPUTED_VALUE"""),45168.64583333333)</f>
        <v>45168.64583</v>
      </c>
      <c r="B196" s="1">
        <f>IFERROR(__xludf.DUMMYFUNCTION("""COMPUTED_VALUE"""),16350.0)</f>
        <v>16350</v>
      </c>
      <c r="C196" s="1">
        <f>IFERROR(__xludf.DUMMYFUNCTION("""COMPUTED_VALUE"""),16520.0)</f>
        <v>16520</v>
      </c>
      <c r="D196" s="1">
        <f>IFERROR(__xludf.DUMMYFUNCTION("""COMPUTED_VALUE"""),15500.0)</f>
        <v>15500</v>
      </c>
      <c r="E196" s="1">
        <f>IFERROR(__xludf.DUMMYFUNCTION("""COMPUTED_VALUE"""),16240.0)</f>
        <v>16240</v>
      </c>
      <c r="F196" s="1">
        <f>IFERROR(__xludf.DUMMYFUNCTION("""COMPUTED_VALUE"""),217296.0)</f>
        <v>217296</v>
      </c>
    </row>
    <row r="197">
      <c r="A197" s="2">
        <f>IFERROR(__xludf.DUMMYFUNCTION("""COMPUTED_VALUE"""),45169.64583333333)</f>
        <v>45169.64583</v>
      </c>
      <c r="B197" s="1">
        <f>IFERROR(__xludf.DUMMYFUNCTION("""COMPUTED_VALUE"""),16300.0)</f>
        <v>16300</v>
      </c>
      <c r="C197" s="1">
        <f>IFERROR(__xludf.DUMMYFUNCTION("""COMPUTED_VALUE"""),16890.0)</f>
        <v>16890</v>
      </c>
      <c r="D197" s="1">
        <f>IFERROR(__xludf.DUMMYFUNCTION("""COMPUTED_VALUE"""),15970.0)</f>
        <v>15970</v>
      </c>
      <c r="E197" s="1">
        <f>IFERROR(__xludf.DUMMYFUNCTION("""COMPUTED_VALUE"""),16090.0)</f>
        <v>16090</v>
      </c>
      <c r="F197" s="1">
        <f>IFERROR(__xludf.DUMMYFUNCTION("""COMPUTED_VALUE"""),134030.0)</f>
        <v>134030</v>
      </c>
    </row>
    <row r="198">
      <c r="A198" s="2">
        <f>IFERROR(__xludf.DUMMYFUNCTION("""COMPUTED_VALUE"""),45170.64583333333)</f>
        <v>45170.64583</v>
      </c>
      <c r="B198" s="1">
        <f>IFERROR(__xludf.DUMMYFUNCTION("""COMPUTED_VALUE"""),16500.0)</f>
        <v>16500</v>
      </c>
      <c r="C198" s="1">
        <f>IFERROR(__xludf.DUMMYFUNCTION("""COMPUTED_VALUE"""),17180.0)</f>
        <v>17180</v>
      </c>
      <c r="D198" s="1">
        <f>IFERROR(__xludf.DUMMYFUNCTION("""COMPUTED_VALUE"""),15700.0)</f>
        <v>15700</v>
      </c>
      <c r="E198" s="1">
        <f>IFERROR(__xludf.DUMMYFUNCTION("""COMPUTED_VALUE"""),15740.0)</f>
        <v>15740</v>
      </c>
      <c r="F198" s="1">
        <f>IFERROR(__xludf.DUMMYFUNCTION("""COMPUTED_VALUE"""),427045.0)</f>
        <v>427045</v>
      </c>
    </row>
    <row r="199">
      <c r="A199" s="2">
        <f>IFERROR(__xludf.DUMMYFUNCTION("""COMPUTED_VALUE"""),45173.64583333333)</f>
        <v>45173.64583</v>
      </c>
      <c r="B199" s="1">
        <f>IFERROR(__xludf.DUMMYFUNCTION("""COMPUTED_VALUE"""),15660.0)</f>
        <v>15660</v>
      </c>
      <c r="C199" s="1">
        <f>IFERROR(__xludf.DUMMYFUNCTION("""COMPUTED_VALUE"""),15960.0)</f>
        <v>15960</v>
      </c>
      <c r="D199" s="1">
        <f>IFERROR(__xludf.DUMMYFUNCTION("""COMPUTED_VALUE"""),15290.0)</f>
        <v>15290</v>
      </c>
      <c r="E199" s="1">
        <f>IFERROR(__xludf.DUMMYFUNCTION("""COMPUTED_VALUE"""),15660.0)</f>
        <v>15660</v>
      </c>
      <c r="F199" s="1">
        <f>IFERROR(__xludf.DUMMYFUNCTION("""COMPUTED_VALUE"""),98461.0)</f>
        <v>98461</v>
      </c>
    </row>
    <row r="200">
      <c r="A200" s="2">
        <f>IFERROR(__xludf.DUMMYFUNCTION("""COMPUTED_VALUE"""),45174.64583333333)</f>
        <v>45174.64583</v>
      </c>
      <c r="B200" s="1">
        <f>IFERROR(__xludf.DUMMYFUNCTION("""COMPUTED_VALUE"""),15720.0)</f>
        <v>15720</v>
      </c>
      <c r="C200" s="1">
        <f>IFERROR(__xludf.DUMMYFUNCTION("""COMPUTED_VALUE"""),16190.0)</f>
        <v>16190</v>
      </c>
      <c r="D200" s="1">
        <f>IFERROR(__xludf.DUMMYFUNCTION("""COMPUTED_VALUE"""),15510.0)</f>
        <v>15510</v>
      </c>
      <c r="E200" s="1">
        <f>IFERROR(__xludf.DUMMYFUNCTION("""COMPUTED_VALUE"""),15610.0)</f>
        <v>15610</v>
      </c>
      <c r="F200" s="1">
        <f>IFERROR(__xludf.DUMMYFUNCTION("""COMPUTED_VALUE"""),93966.0)</f>
        <v>93966</v>
      </c>
    </row>
    <row r="201">
      <c r="A201" s="2">
        <f>IFERROR(__xludf.DUMMYFUNCTION("""COMPUTED_VALUE"""),45175.64583333333)</f>
        <v>45175.64583</v>
      </c>
      <c r="B201" s="1">
        <f>IFERROR(__xludf.DUMMYFUNCTION("""COMPUTED_VALUE"""),15620.0)</f>
        <v>15620</v>
      </c>
      <c r="C201" s="1">
        <f>IFERROR(__xludf.DUMMYFUNCTION("""COMPUTED_VALUE"""),15850.0)</f>
        <v>15850</v>
      </c>
      <c r="D201" s="1">
        <f>IFERROR(__xludf.DUMMYFUNCTION("""COMPUTED_VALUE"""),15400.0)</f>
        <v>15400</v>
      </c>
      <c r="E201" s="1">
        <f>IFERROR(__xludf.DUMMYFUNCTION("""COMPUTED_VALUE"""),15600.0)</f>
        <v>15600</v>
      </c>
      <c r="F201" s="1">
        <f>IFERROR(__xludf.DUMMYFUNCTION("""COMPUTED_VALUE"""),72059.0)</f>
        <v>72059</v>
      </c>
    </row>
    <row r="202">
      <c r="A202" s="2">
        <f>IFERROR(__xludf.DUMMYFUNCTION("""COMPUTED_VALUE"""),45176.64583333333)</f>
        <v>45176.64583</v>
      </c>
      <c r="B202" s="1">
        <f>IFERROR(__xludf.DUMMYFUNCTION("""COMPUTED_VALUE"""),15520.0)</f>
        <v>15520</v>
      </c>
      <c r="C202" s="1">
        <f>IFERROR(__xludf.DUMMYFUNCTION("""COMPUTED_VALUE"""),15650.0)</f>
        <v>15650</v>
      </c>
      <c r="D202" s="1">
        <f>IFERROR(__xludf.DUMMYFUNCTION("""COMPUTED_VALUE"""),15020.0)</f>
        <v>15020</v>
      </c>
      <c r="E202" s="1">
        <f>IFERROR(__xludf.DUMMYFUNCTION("""COMPUTED_VALUE"""),15170.0)</f>
        <v>15170</v>
      </c>
      <c r="F202" s="1">
        <f>IFERROR(__xludf.DUMMYFUNCTION("""COMPUTED_VALUE"""),143027.0)</f>
        <v>143027</v>
      </c>
    </row>
    <row r="203">
      <c r="A203" s="2">
        <f>IFERROR(__xludf.DUMMYFUNCTION("""COMPUTED_VALUE"""),45177.64583333333)</f>
        <v>45177.64583</v>
      </c>
      <c r="B203" s="1">
        <f>IFERROR(__xludf.DUMMYFUNCTION("""COMPUTED_VALUE"""),15070.0)</f>
        <v>15070</v>
      </c>
      <c r="C203" s="1">
        <f>IFERROR(__xludf.DUMMYFUNCTION("""COMPUTED_VALUE"""),15370.0)</f>
        <v>15370</v>
      </c>
      <c r="D203" s="1">
        <f>IFERROR(__xludf.DUMMYFUNCTION("""COMPUTED_VALUE"""),14890.0)</f>
        <v>14890</v>
      </c>
      <c r="E203" s="1">
        <f>IFERROR(__xludf.DUMMYFUNCTION("""COMPUTED_VALUE"""),15150.0)</f>
        <v>15150</v>
      </c>
      <c r="F203" s="1">
        <f>IFERROR(__xludf.DUMMYFUNCTION("""COMPUTED_VALUE"""),98385.0)</f>
        <v>98385</v>
      </c>
    </row>
    <row r="204">
      <c r="A204" s="2">
        <f>IFERROR(__xludf.DUMMYFUNCTION("""COMPUTED_VALUE"""),45180.64583333333)</f>
        <v>45180.64583</v>
      </c>
      <c r="B204" s="1">
        <f>IFERROR(__xludf.DUMMYFUNCTION("""COMPUTED_VALUE"""),15290.0)</f>
        <v>15290</v>
      </c>
      <c r="C204" s="1">
        <f>IFERROR(__xludf.DUMMYFUNCTION("""COMPUTED_VALUE"""),15420.0)</f>
        <v>15420</v>
      </c>
      <c r="D204" s="1">
        <f>IFERROR(__xludf.DUMMYFUNCTION("""COMPUTED_VALUE"""),14860.0)</f>
        <v>14860</v>
      </c>
      <c r="E204" s="1">
        <f>IFERROR(__xludf.DUMMYFUNCTION("""COMPUTED_VALUE"""),14940.0)</f>
        <v>14940</v>
      </c>
      <c r="F204" s="1">
        <f>IFERROR(__xludf.DUMMYFUNCTION("""COMPUTED_VALUE"""),63085.0)</f>
        <v>63085</v>
      </c>
    </row>
    <row r="205">
      <c r="A205" s="2">
        <f>IFERROR(__xludf.DUMMYFUNCTION("""COMPUTED_VALUE"""),45181.64583333333)</f>
        <v>45181.64583</v>
      </c>
      <c r="B205" s="1">
        <f>IFERROR(__xludf.DUMMYFUNCTION("""COMPUTED_VALUE"""),14960.0)</f>
        <v>14960</v>
      </c>
      <c r="C205" s="1">
        <f>IFERROR(__xludf.DUMMYFUNCTION("""COMPUTED_VALUE"""),15780.0)</f>
        <v>15780</v>
      </c>
      <c r="D205" s="1">
        <f>IFERROR(__xludf.DUMMYFUNCTION("""COMPUTED_VALUE"""),14960.0)</f>
        <v>14960</v>
      </c>
      <c r="E205" s="1">
        <f>IFERROR(__xludf.DUMMYFUNCTION("""COMPUTED_VALUE"""),15100.0)</f>
        <v>15100</v>
      </c>
      <c r="F205" s="1">
        <f>IFERROR(__xludf.DUMMYFUNCTION("""COMPUTED_VALUE"""),82812.0)</f>
        <v>82812</v>
      </c>
    </row>
    <row r="206">
      <c r="A206" s="2">
        <f>IFERROR(__xludf.DUMMYFUNCTION("""COMPUTED_VALUE"""),45182.64583333333)</f>
        <v>45182.64583</v>
      </c>
      <c r="B206" s="1">
        <f>IFERROR(__xludf.DUMMYFUNCTION("""COMPUTED_VALUE"""),14990.0)</f>
        <v>14990</v>
      </c>
      <c r="C206" s="1">
        <f>IFERROR(__xludf.DUMMYFUNCTION("""COMPUTED_VALUE"""),15350.0)</f>
        <v>15350</v>
      </c>
      <c r="D206" s="1">
        <f>IFERROR(__xludf.DUMMYFUNCTION("""COMPUTED_VALUE"""),14540.0)</f>
        <v>14540</v>
      </c>
      <c r="E206" s="1">
        <f>IFERROR(__xludf.DUMMYFUNCTION("""COMPUTED_VALUE"""),14600.0)</f>
        <v>14600</v>
      </c>
      <c r="F206" s="1">
        <f>IFERROR(__xludf.DUMMYFUNCTION("""COMPUTED_VALUE"""),129987.0)</f>
        <v>129987</v>
      </c>
    </row>
    <row r="207">
      <c r="A207" s="2">
        <f>IFERROR(__xludf.DUMMYFUNCTION("""COMPUTED_VALUE"""),45183.64583333333)</f>
        <v>45183.64583</v>
      </c>
      <c r="B207" s="1">
        <f>IFERROR(__xludf.DUMMYFUNCTION("""COMPUTED_VALUE"""),14800.0)</f>
        <v>14800</v>
      </c>
      <c r="C207" s="1">
        <f>IFERROR(__xludf.DUMMYFUNCTION("""COMPUTED_VALUE"""),15950.0)</f>
        <v>15950</v>
      </c>
      <c r="D207" s="1">
        <f>IFERROR(__xludf.DUMMYFUNCTION("""COMPUTED_VALUE"""),14790.0)</f>
        <v>14790</v>
      </c>
      <c r="E207" s="1">
        <f>IFERROR(__xludf.DUMMYFUNCTION("""COMPUTED_VALUE"""),15780.0)</f>
        <v>15780</v>
      </c>
      <c r="F207" s="1">
        <f>IFERROR(__xludf.DUMMYFUNCTION("""COMPUTED_VALUE"""),134309.0)</f>
        <v>134309</v>
      </c>
    </row>
    <row r="208">
      <c r="A208" s="2">
        <f>IFERROR(__xludf.DUMMYFUNCTION("""COMPUTED_VALUE"""),45184.64583333333)</f>
        <v>45184.64583</v>
      </c>
      <c r="B208" s="1">
        <f>IFERROR(__xludf.DUMMYFUNCTION("""COMPUTED_VALUE"""),15620.0)</f>
        <v>15620</v>
      </c>
      <c r="C208" s="1">
        <f>IFERROR(__xludf.DUMMYFUNCTION("""COMPUTED_VALUE"""),15890.0)</f>
        <v>15890</v>
      </c>
      <c r="D208" s="1">
        <f>IFERROR(__xludf.DUMMYFUNCTION("""COMPUTED_VALUE"""),15400.0)</f>
        <v>15400</v>
      </c>
      <c r="E208" s="1">
        <f>IFERROR(__xludf.DUMMYFUNCTION("""COMPUTED_VALUE"""),15760.0)</f>
        <v>15760</v>
      </c>
      <c r="F208" s="1">
        <f>IFERROR(__xludf.DUMMYFUNCTION("""COMPUTED_VALUE"""),66363.0)</f>
        <v>66363</v>
      </c>
    </row>
    <row r="209">
      <c r="A209" s="2">
        <f>IFERROR(__xludf.DUMMYFUNCTION("""COMPUTED_VALUE"""),45187.64583333333)</f>
        <v>45187.64583</v>
      </c>
      <c r="B209" s="1">
        <f>IFERROR(__xludf.DUMMYFUNCTION("""COMPUTED_VALUE"""),15520.0)</f>
        <v>15520</v>
      </c>
      <c r="C209" s="1">
        <f>IFERROR(__xludf.DUMMYFUNCTION("""COMPUTED_VALUE"""),15520.0)</f>
        <v>15520</v>
      </c>
      <c r="D209" s="1">
        <f>IFERROR(__xludf.DUMMYFUNCTION("""COMPUTED_VALUE"""),14970.0)</f>
        <v>14970</v>
      </c>
      <c r="E209" s="1">
        <f>IFERROR(__xludf.DUMMYFUNCTION("""COMPUTED_VALUE"""),15390.0)</f>
        <v>15390</v>
      </c>
      <c r="F209" s="1">
        <f>IFERROR(__xludf.DUMMYFUNCTION("""COMPUTED_VALUE"""),64550.0)</f>
        <v>64550</v>
      </c>
    </row>
    <row r="210">
      <c r="A210" s="2">
        <f>IFERROR(__xludf.DUMMYFUNCTION("""COMPUTED_VALUE"""),45188.64583333333)</f>
        <v>45188.64583</v>
      </c>
      <c r="B210" s="1">
        <f>IFERROR(__xludf.DUMMYFUNCTION("""COMPUTED_VALUE"""),15240.0)</f>
        <v>15240</v>
      </c>
      <c r="C210" s="1">
        <f>IFERROR(__xludf.DUMMYFUNCTION("""COMPUTED_VALUE"""),15350.0)</f>
        <v>15350</v>
      </c>
      <c r="D210" s="1">
        <f>IFERROR(__xludf.DUMMYFUNCTION("""COMPUTED_VALUE"""),14690.0)</f>
        <v>14690</v>
      </c>
      <c r="E210" s="1">
        <f>IFERROR(__xludf.DUMMYFUNCTION("""COMPUTED_VALUE"""),14810.0)</f>
        <v>14810</v>
      </c>
      <c r="F210" s="1">
        <f>IFERROR(__xludf.DUMMYFUNCTION("""COMPUTED_VALUE"""),71589.0)</f>
        <v>71589</v>
      </c>
    </row>
    <row r="211">
      <c r="A211" s="2">
        <f>IFERROR(__xludf.DUMMYFUNCTION("""COMPUTED_VALUE"""),45189.64583333333)</f>
        <v>45189.64583</v>
      </c>
      <c r="B211" s="1">
        <f>IFERROR(__xludf.DUMMYFUNCTION("""COMPUTED_VALUE"""),14780.0)</f>
        <v>14780</v>
      </c>
      <c r="C211" s="1">
        <f>IFERROR(__xludf.DUMMYFUNCTION("""COMPUTED_VALUE"""),15190.0)</f>
        <v>15190</v>
      </c>
      <c r="D211" s="1">
        <f>IFERROR(__xludf.DUMMYFUNCTION("""COMPUTED_VALUE"""),14560.0)</f>
        <v>14560</v>
      </c>
      <c r="E211" s="1">
        <f>IFERROR(__xludf.DUMMYFUNCTION("""COMPUTED_VALUE"""),14750.0)</f>
        <v>14750</v>
      </c>
      <c r="F211" s="1">
        <f>IFERROR(__xludf.DUMMYFUNCTION("""COMPUTED_VALUE"""),37313.0)</f>
        <v>37313</v>
      </c>
    </row>
    <row r="212">
      <c r="A212" s="2">
        <f>IFERROR(__xludf.DUMMYFUNCTION("""COMPUTED_VALUE"""),45190.64583333333)</f>
        <v>45190.64583</v>
      </c>
      <c r="B212" s="1">
        <f>IFERROR(__xludf.DUMMYFUNCTION("""COMPUTED_VALUE"""),14550.0)</f>
        <v>14550</v>
      </c>
      <c r="C212" s="1">
        <f>IFERROR(__xludf.DUMMYFUNCTION("""COMPUTED_VALUE"""),14830.0)</f>
        <v>14830</v>
      </c>
      <c r="D212" s="1">
        <f>IFERROR(__xludf.DUMMYFUNCTION("""COMPUTED_VALUE"""),13970.0)</f>
        <v>13970</v>
      </c>
      <c r="E212" s="1">
        <f>IFERROR(__xludf.DUMMYFUNCTION("""COMPUTED_VALUE"""),14330.0)</f>
        <v>14330</v>
      </c>
      <c r="F212" s="1">
        <f>IFERROR(__xludf.DUMMYFUNCTION("""COMPUTED_VALUE"""),75391.0)</f>
        <v>75391</v>
      </c>
    </row>
    <row r="213">
      <c r="A213" s="2">
        <f>IFERROR(__xludf.DUMMYFUNCTION("""COMPUTED_VALUE"""),45191.64583333333)</f>
        <v>45191.64583</v>
      </c>
      <c r="B213" s="1">
        <f>IFERROR(__xludf.DUMMYFUNCTION("""COMPUTED_VALUE"""),14380.0)</f>
        <v>14380</v>
      </c>
      <c r="C213" s="1">
        <f>IFERROR(__xludf.DUMMYFUNCTION("""COMPUTED_VALUE"""),14380.0)</f>
        <v>14380</v>
      </c>
      <c r="D213" s="1">
        <f>IFERROR(__xludf.DUMMYFUNCTION("""COMPUTED_VALUE"""),13740.0)</f>
        <v>13740</v>
      </c>
      <c r="E213" s="1">
        <f>IFERROR(__xludf.DUMMYFUNCTION("""COMPUTED_VALUE"""),14000.0)</f>
        <v>14000</v>
      </c>
      <c r="F213" s="1">
        <f>IFERROR(__xludf.DUMMYFUNCTION("""COMPUTED_VALUE"""),53471.0)</f>
        <v>53471</v>
      </c>
    </row>
    <row r="214">
      <c r="A214" s="2">
        <f>IFERROR(__xludf.DUMMYFUNCTION("""COMPUTED_VALUE"""),45194.64583333333)</f>
        <v>45194.64583</v>
      </c>
      <c r="B214" s="1">
        <f>IFERROR(__xludf.DUMMYFUNCTION("""COMPUTED_VALUE"""),13760.0)</f>
        <v>13760</v>
      </c>
      <c r="C214" s="1">
        <f>IFERROR(__xludf.DUMMYFUNCTION("""COMPUTED_VALUE"""),14380.0)</f>
        <v>14380</v>
      </c>
      <c r="D214" s="1">
        <f>IFERROR(__xludf.DUMMYFUNCTION("""COMPUTED_VALUE"""),13760.0)</f>
        <v>13760</v>
      </c>
      <c r="E214" s="1">
        <f>IFERROR(__xludf.DUMMYFUNCTION("""COMPUTED_VALUE"""),14190.0)</f>
        <v>14190</v>
      </c>
      <c r="F214" s="1">
        <f>IFERROR(__xludf.DUMMYFUNCTION("""COMPUTED_VALUE"""),36645.0)</f>
        <v>36645</v>
      </c>
    </row>
    <row r="215">
      <c r="A215" s="2">
        <f>IFERROR(__xludf.DUMMYFUNCTION("""COMPUTED_VALUE"""),45195.64583333333)</f>
        <v>45195.64583</v>
      </c>
      <c r="B215" s="1">
        <f>IFERROR(__xludf.DUMMYFUNCTION("""COMPUTED_VALUE"""),14450.0)</f>
        <v>14450</v>
      </c>
      <c r="C215" s="1">
        <f>IFERROR(__xludf.DUMMYFUNCTION("""COMPUTED_VALUE"""),14450.0)</f>
        <v>14450</v>
      </c>
      <c r="D215" s="1">
        <f>IFERROR(__xludf.DUMMYFUNCTION("""COMPUTED_VALUE"""),13580.0)</f>
        <v>13580</v>
      </c>
      <c r="E215" s="1">
        <f>IFERROR(__xludf.DUMMYFUNCTION("""COMPUTED_VALUE"""),13580.0)</f>
        <v>13580</v>
      </c>
      <c r="F215" s="1">
        <f>IFERROR(__xludf.DUMMYFUNCTION("""COMPUTED_VALUE"""),64540.0)</f>
        <v>64540</v>
      </c>
    </row>
    <row r="216">
      <c r="A216" s="2">
        <f>IFERROR(__xludf.DUMMYFUNCTION("""COMPUTED_VALUE"""),45196.64583333333)</f>
        <v>45196.64583</v>
      </c>
      <c r="B216" s="1">
        <f>IFERROR(__xludf.DUMMYFUNCTION("""COMPUTED_VALUE"""),13330.0)</f>
        <v>13330</v>
      </c>
      <c r="C216" s="1">
        <f>IFERROR(__xludf.DUMMYFUNCTION("""COMPUTED_VALUE"""),13990.0)</f>
        <v>13990</v>
      </c>
      <c r="D216" s="1">
        <f>IFERROR(__xludf.DUMMYFUNCTION("""COMPUTED_VALUE"""),13330.0)</f>
        <v>13330</v>
      </c>
      <c r="E216" s="1">
        <f>IFERROR(__xludf.DUMMYFUNCTION("""COMPUTED_VALUE"""),13860.0)</f>
        <v>13860</v>
      </c>
      <c r="F216" s="1">
        <f>IFERROR(__xludf.DUMMYFUNCTION("""COMPUTED_VALUE"""),41124.0)</f>
        <v>41124</v>
      </c>
    </row>
    <row r="217">
      <c r="A217" s="2">
        <f>IFERROR(__xludf.DUMMYFUNCTION("""COMPUTED_VALUE"""),45203.64583333333)</f>
        <v>45203.64583</v>
      </c>
      <c r="B217" s="1">
        <f>IFERROR(__xludf.DUMMYFUNCTION("""COMPUTED_VALUE"""),13790.0)</f>
        <v>13790</v>
      </c>
      <c r="C217" s="1">
        <f>IFERROR(__xludf.DUMMYFUNCTION("""COMPUTED_VALUE"""),13790.0)</f>
        <v>13790</v>
      </c>
      <c r="D217" s="1">
        <f>IFERROR(__xludf.DUMMYFUNCTION("""COMPUTED_VALUE"""),12880.0)</f>
        <v>12880</v>
      </c>
      <c r="E217" s="1">
        <f>IFERROR(__xludf.DUMMYFUNCTION("""COMPUTED_VALUE"""),12940.0)</f>
        <v>12940</v>
      </c>
      <c r="F217" s="1">
        <f>IFERROR(__xludf.DUMMYFUNCTION("""COMPUTED_VALUE"""),69696.0)</f>
        <v>69696</v>
      </c>
    </row>
    <row r="218">
      <c r="A218" s="2">
        <f>IFERROR(__xludf.DUMMYFUNCTION("""COMPUTED_VALUE"""),45204.64583333333)</f>
        <v>45204.64583</v>
      </c>
      <c r="B218" s="1">
        <f>IFERROR(__xludf.DUMMYFUNCTION("""COMPUTED_VALUE"""),12920.0)</f>
        <v>12920</v>
      </c>
      <c r="C218" s="1">
        <f>IFERROR(__xludf.DUMMYFUNCTION("""COMPUTED_VALUE"""),13480.0)</f>
        <v>13480</v>
      </c>
      <c r="D218" s="1">
        <f>IFERROR(__xludf.DUMMYFUNCTION("""COMPUTED_VALUE"""),12700.0)</f>
        <v>12700</v>
      </c>
      <c r="E218" s="1">
        <f>IFERROR(__xludf.DUMMYFUNCTION("""COMPUTED_VALUE"""),13170.0)</f>
        <v>13170</v>
      </c>
      <c r="F218" s="1">
        <f>IFERROR(__xludf.DUMMYFUNCTION("""COMPUTED_VALUE"""),90803.0)</f>
        <v>90803</v>
      </c>
    </row>
    <row r="219">
      <c r="A219" s="2">
        <f>IFERROR(__xludf.DUMMYFUNCTION("""COMPUTED_VALUE"""),45205.64583333333)</f>
        <v>45205.64583</v>
      </c>
      <c r="B219" s="1">
        <f>IFERROR(__xludf.DUMMYFUNCTION("""COMPUTED_VALUE"""),12920.0)</f>
        <v>12920</v>
      </c>
      <c r="C219" s="1">
        <f>IFERROR(__xludf.DUMMYFUNCTION("""COMPUTED_VALUE"""),14340.0)</f>
        <v>14340</v>
      </c>
      <c r="D219" s="1">
        <f>IFERROR(__xludf.DUMMYFUNCTION("""COMPUTED_VALUE"""),12920.0)</f>
        <v>12920</v>
      </c>
      <c r="E219" s="1">
        <f>IFERROR(__xludf.DUMMYFUNCTION("""COMPUTED_VALUE"""),14030.0)</f>
        <v>14030</v>
      </c>
      <c r="F219" s="1">
        <f>IFERROR(__xludf.DUMMYFUNCTION("""COMPUTED_VALUE"""),69510.0)</f>
        <v>69510</v>
      </c>
    </row>
    <row r="220">
      <c r="A220" s="2">
        <f>IFERROR(__xludf.DUMMYFUNCTION("""COMPUTED_VALUE"""),45209.64583333333)</f>
        <v>45209.64583</v>
      </c>
      <c r="B220" s="1">
        <f>IFERROR(__xludf.DUMMYFUNCTION("""COMPUTED_VALUE"""),13860.0)</f>
        <v>13860</v>
      </c>
      <c r="C220" s="1">
        <f>IFERROR(__xludf.DUMMYFUNCTION("""COMPUTED_VALUE"""),14640.0)</f>
        <v>14640</v>
      </c>
      <c r="D220" s="1">
        <f>IFERROR(__xludf.DUMMYFUNCTION("""COMPUTED_VALUE"""),13850.0)</f>
        <v>13850</v>
      </c>
      <c r="E220" s="1">
        <f>IFERROR(__xludf.DUMMYFUNCTION("""COMPUTED_VALUE"""),14260.0)</f>
        <v>14260</v>
      </c>
      <c r="F220" s="1">
        <f>IFERROR(__xludf.DUMMYFUNCTION("""COMPUTED_VALUE"""),96519.0)</f>
        <v>96519</v>
      </c>
    </row>
    <row r="221">
      <c r="A221" s="2">
        <f>IFERROR(__xludf.DUMMYFUNCTION("""COMPUTED_VALUE"""),45210.64583333333)</f>
        <v>45210.64583</v>
      </c>
      <c r="B221" s="1">
        <f>IFERROR(__xludf.DUMMYFUNCTION("""COMPUTED_VALUE"""),14650.0)</f>
        <v>14650</v>
      </c>
      <c r="C221" s="1">
        <f>IFERROR(__xludf.DUMMYFUNCTION("""COMPUTED_VALUE"""),15340.0)</f>
        <v>15340</v>
      </c>
      <c r="D221" s="1">
        <f>IFERROR(__xludf.DUMMYFUNCTION("""COMPUTED_VALUE"""),14270.0)</f>
        <v>14270</v>
      </c>
      <c r="E221" s="1">
        <f>IFERROR(__xludf.DUMMYFUNCTION("""COMPUTED_VALUE"""),14420.0)</f>
        <v>14420</v>
      </c>
      <c r="F221" s="1">
        <f>IFERROR(__xludf.DUMMYFUNCTION("""COMPUTED_VALUE"""),130815.0)</f>
        <v>130815</v>
      </c>
    </row>
    <row r="222">
      <c r="A222" s="2">
        <f>IFERROR(__xludf.DUMMYFUNCTION("""COMPUTED_VALUE"""),45211.64583333333)</f>
        <v>45211.64583</v>
      </c>
      <c r="B222" s="1">
        <f>IFERROR(__xludf.DUMMYFUNCTION("""COMPUTED_VALUE"""),14810.0)</f>
        <v>14810</v>
      </c>
      <c r="C222" s="1">
        <f>IFERROR(__xludf.DUMMYFUNCTION("""COMPUTED_VALUE"""),14810.0)</f>
        <v>14810</v>
      </c>
      <c r="D222" s="1">
        <f>IFERROR(__xludf.DUMMYFUNCTION("""COMPUTED_VALUE"""),14150.0)</f>
        <v>14150</v>
      </c>
      <c r="E222" s="1">
        <f>IFERROR(__xludf.DUMMYFUNCTION("""COMPUTED_VALUE"""),14710.0)</f>
        <v>14710</v>
      </c>
      <c r="F222" s="1">
        <f>IFERROR(__xludf.DUMMYFUNCTION("""COMPUTED_VALUE"""),106302.0)</f>
        <v>106302</v>
      </c>
    </row>
    <row r="223">
      <c r="A223" s="2">
        <f>IFERROR(__xludf.DUMMYFUNCTION("""COMPUTED_VALUE"""),45212.64583333333)</f>
        <v>45212.64583</v>
      </c>
      <c r="B223" s="1">
        <f>IFERROR(__xludf.DUMMYFUNCTION("""COMPUTED_VALUE"""),14710.0)</f>
        <v>14710</v>
      </c>
      <c r="C223" s="1">
        <f>IFERROR(__xludf.DUMMYFUNCTION("""COMPUTED_VALUE"""),14800.0)</f>
        <v>14800</v>
      </c>
      <c r="D223" s="1">
        <f>IFERROR(__xludf.DUMMYFUNCTION("""COMPUTED_VALUE"""),14300.0)</f>
        <v>14300</v>
      </c>
      <c r="E223" s="1">
        <f>IFERROR(__xludf.DUMMYFUNCTION("""COMPUTED_VALUE"""),14730.0)</f>
        <v>14730</v>
      </c>
      <c r="F223" s="1">
        <f>IFERROR(__xludf.DUMMYFUNCTION("""COMPUTED_VALUE"""),39027.0)</f>
        <v>39027</v>
      </c>
    </row>
    <row r="224">
      <c r="A224" s="2">
        <f>IFERROR(__xludf.DUMMYFUNCTION("""COMPUTED_VALUE"""),45215.64583333333)</f>
        <v>45215.64583</v>
      </c>
      <c r="B224" s="1">
        <f>IFERROR(__xludf.DUMMYFUNCTION("""COMPUTED_VALUE"""),14400.0)</f>
        <v>14400</v>
      </c>
      <c r="C224" s="1">
        <f>IFERROR(__xludf.DUMMYFUNCTION("""COMPUTED_VALUE"""),15180.0)</f>
        <v>15180</v>
      </c>
      <c r="D224" s="1">
        <f>IFERROR(__xludf.DUMMYFUNCTION("""COMPUTED_VALUE"""),13810.0)</f>
        <v>13810</v>
      </c>
      <c r="E224" s="1">
        <f>IFERROR(__xludf.DUMMYFUNCTION("""COMPUTED_VALUE"""),14410.0)</f>
        <v>14410</v>
      </c>
      <c r="F224" s="1">
        <f>IFERROR(__xludf.DUMMYFUNCTION("""COMPUTED_VALUE"""),45077.0)</f>
        <v>45077</v>
      </c>
    </row>
    <row r="225">
      <c r="A225" s="2">
        <f>IFERROR(__xludf.DUMMYFUNCTION("""COMPUTED_VALUE"""),45216.64583333333)</f>
        <v>45216.64583</v>
      </c>
      <c r="B225" s="1">
        <f>IFERROR(__xludf.DUMMYFUNCTION("""COMPUTED_VALUE"""),14370.0)</f>
        <v>14370</v>
      </c>
      <c r="C225" s="1">
        <f>IFERROR(__xludf.DUMMYFUNCTION("""COMPUTED_VALUE"""),14700.0)</f>
        <v>14700</v>
      </c>
      <c r="D225" s="1">
        <f>IFERROR(__xludf.DUMMYFUNCTION("""COMPUTED_VALUE"""),14340.0)</f>
        <v>14340</v>
      </c>
      <c r="E225" s="1">
        <f>IFERROR(__xludf.DUMMYFUNCTION("""COMPUTED_VALUE"""),14420.0)</f>
        <v>14420</v>
      </c>
      <c r="F225" s="1">
        <f>IFERROR(__xludf.DUMMYFUNCTION("""COMPUTED_VALUE"""),25305.0)</f>
        <v>25305</v>
      </c>
    </row>
    <row r="226">
      <c r="A226" s="2">
        <f>IFERROR(__xludf.DUMMYFUNCTION("""COMPUTED_VALUE"""),45217.64583333333)</f>
        <v>45217.64583</v>
      </c>
      <c r="B226" s="1">
        <f>IFERROR(__xludf.DUMMYFUNCTION("""COMPUTED_VALUE"""),14370.0)</f>
        <v>14370</v>
      </c>
      <c r="C226" s="1">
        <f>IFERROR(__xludf.DUMMYFUNCTION("""COMPUTED_VALUE"""),14920.0)</f>
        <v>14920</v>
      </c>
      <c r="D226" s="1">
        <f>IFERROR(__xludf.DUMMYFUNCTION("""COMPUTED_VALUE"""),14170.0)</f>
        <v>14170</v>
      </c>
      <c r="E226" s="1">
        <f>IFERROR(__xludf.DUMMYFUNCTION("""COMPUTED_VALUE"""),14560.0)</f>
        <v>14560</v>
      </c>
      <c r="F226" s="1">
        <f>IFERROR(__xludf.DUMMYFUNCTION("""COMPUTED_VALUE"""),50935.0)</f>
        <v>50935</v>
      </c>
    </row>
    <row r="227">
      <c r="A227" s="2">
        <f>IFERROR(__xludf.DUMMYFUNCTION("""COMPUTED_VALUE"""),45218.64583333333)</f>
        <v>45218.64583</v>
      </c>
      <c r="B227" s="1">
        <f>IFERROR(__xludf.DUMMYFUNCTION("""COMPUTED_VALUE"""),14380.0)</f>
        <v>14380</v>
      </c>
      <c r="C227" s="1">
        <f>IFERROR(__xludf.DUMMYFUNCTION("""COMPUTED_VALUE"""),14550.0)</f>
        <v>14550</v>
      </c>
      <c r="D227" s="1">
        <f>IFERROR(__xludf.DUMMYFUNCTION("""COMPUTED_VALUE"""),13900.0)</f>
        <v>13900</v>
      </c>
      <c r="E227" s="1">
        <f>IFERROR(__xludf.DUMMYFUNCTION("""COMPUTED_VALUE"""),14300.0)</f>
        <v>14300</v>
      </c>
      <c r="F227" s="1">
        <f>IFERROR(__xludf.DUMMYFUNCTION("""COMPUTED_VALUE"""),38496.0)</f>
        <v>38496</v>
      </c>
    </row>
    <row r="228">
      <c r="A228" s="2">
        <f>IFERROR(__xludf.DUMMYFUNCTION("""COMPUTED_VALUE"""),45219.64583333333)</f>
        <v>45219.64583</v>
      </c>
      <c r="B228" s="1">
        <f>IFERROR(__xludf.DUMMYFUNCTION("""COMPUTED_VALUE"""),13980.0)</f>
        <v>13980</v>
      </c>
      <c r="C228" s="1">
        <f>IFERROR(__xludf.DUMMYFUNCTION("""COMPUTED_VALUE"""),14400.0)</f>
        <v>14400</v>
      </c>
      <c r="D228" s="1">
        <f>IFERROR(__xludf.DUMMYFUNCTION("""COMPUTED_VALUE"""),13520.0)</f>
        <v>13520</v>
      </c>
      <c r="E228" s="1">
        <f>IFERROR(__xludf.DUMMYFUNCTION("""COMPUTED_VALUE"""),14400.0)</f>
        <v>14400</v>
      </c>
      <c r="F228" s="1">
        <f>IFERROR(__xludf.DUMMYFUNCTION("""COMPUTED_VALUE"""),66970.0)</f>
        <v>66970</v>
      </c>
    </row>
    <row r="229">
      <c r="A229" s="2">
        <f>IFERROR(__xludf.DUMMYFUNCTION("""COMPUTED_VALUE"""),45222.64583333333)</f>
        <v>45222.64583</v>
      </c>
      <c r="B229" s="1">
        <f>IFERROR(__xludf.DUMMYFUNCTION("""COMPUTED_VALUE"""),13940.0)</f>
        <v>13940</v>
      </c>
      <c r="C229" s="1">
        <f>IFERROR(__xludf.DUMMYFUNCTION("""COMPUTED_VALUE"""),14280.0)</f>
        <v>14280</v>
      </c>
      <c r="D229" s="1">
        <f>IFERROR(__xludf.DUMMYFUNCTION("""COMPUTED_VALUE"""),12610.0)</f>
        <v>12610</v>
      </c>
      <c r="E229" s="1">
        <f>IFERROR(__xludf.DUMMYFUNCTION("""COMPUTED_VALUE"""),12610.0)</f>
        <v>12610</v>
      </c>
      <c r="F229" s="1">
        <f>IFERROR(__xludf.DUMMYFUNCTION("""COMPUTED_VALUE"""),153080.0)</f>
        <v>153080</v>
      </c>
    </row>
    <row r="230">
      <c r="A230" s="2">
        <f>IFERROR(__xludf.DUMMYFUNCTION("""COMPUTED_VALUE"""),45223.64583333333)</f>
        <v>45223.64583</v>
      </c>
      <c r="B230" s="1">
        <f>IFERROR(__xludf.DUMMYFUNCTION("""COMPUTED_VALUE"""),12610.0)</f>
        <v>12610</v>
      </c>
      <c r="C230" s="1">
        <f>IFERROR(__xludf.DUMMYFUNCTION("""COMPUTED_VALUE"""),13400.0)</f>
        <v>13400</v>
      </c>
      <c r="D230" s="1">
        <f>IFERROR(__xludf.DUMMYFUNCTION("""COMPUTED_VALUE"""),12610.0)</f>
        <v>12610</v>
      </c>
      <c r="E230" s="1">
        <f>IFERROR(__xludf.DUMMYFUNCTION("""COMPUTED_VALUE"""),13400.0)</f>
        <v>13400</v>
      </c>
      <c r="F230" s="1">
        <f>IFERROR(__xludf.DUMMYFUNCTION("""COMPUTED_VALUE"""),74526.0)</f>
        <v>74526</v>
      </c>
    </row>
    <row r="231">
      <c r="A231" s="2">
        <f>IFERROR(__xludf.DUMMYFUNCTION("""COMPUTED_VALUE"""),45224.64583333333)</f>
        <v>45224.64583</v>
      </c>
      <c r="B231" s="1">
        <f>IFERROR(__xludf.DUMMYFUNCTION("""COMPUTED_VALUE"""),13900.0)</f>
        <v>13900</v>
      </c>
      <c r="C231" s="1">
        <f>IFERROR(__xludf.DUMMYFUNCTION("""COMPUTED_VALUE"""),14400.0)</f>
        <v>14400</v>
      </c>
      <c r="D231" s="1">
        <f>IFERROR(__xludf.DUMMYFUNCTION("""COMPUTED_VALUE"""),13550.0)</f>
        <v>13550</v>
      </c>
      <c r="E231" s="1">
        <f>IFERROR(__xludf.DUMMYFUNCTION("""COMPUTED_VALUE"""),13550.0)</f>
        <v>13550</v>
      </c>
      <c r="F231" s="1">
        <f>IFERROR(__xludf.DUMMYFUNCTION("""COMPUTED_VALUE"""),83471.0)</f>
        <v>83471</v>
      </c>
    </row>
    <row r="232">
      <c r="A232" s="2">
        <f>IFERROR(__xludf.DUMMYFUNCTION("""COMPUTED_VALUE"""),45225.64583333333)</f>
        <v>45225.64583</v>
      </c>
      <c r="B232" s="1">
        <f>IFERROR(__xludf.DUMMYFUNCTION("""COMPUTED_VALUE"""),13050.0)</f>
        <v>13050</v>
      </c>
      <c r="C232" s="1">
        <f>IFERROR(__xludf.DUMMYFUNCTION("""COMPUTED_VALUE"""),13290.0)</f>
        <v>13290</v>
      </c>
      <c r="D232" s="1">
        <f>IFERROR(__xludf.DUMMYFUNCTION("""COMPUTED_VALUE"""),12490.0)</f>
        <v>12490</v>
      </c>
      <c r="E232" s="1">
        <f>IFERROR(__xludf.DUMMYFUNCTION("""COMPUTED_VALUE"""),13080.0)</f>
        <v>13080</v>
      </c>
      <c r="F232" s="1">
        <f>IFERROR(__xludf.DUMMYFUNCTION("""COMPUTED_VALUE"""),74508.0)</f>
        <v>74508</v>
      </c>
    </row>
    <row r="233">
      <c r="A233" s="2">
        <f>IFERROR(__xludf.DUMMYFUNCTION("""COMPUTED_VALUE"""),45226.64583333333)</f>
        <v>45226.64583</v>
      </c>
      <c r="B233" s="1">
        <f>IFERROR(__xludf.DUMMYFUNCTION("""COMPUTED_VALUE"""),13080.0)</f>
        <v>13080</v>
      </c>
      <c r="C233" s="1">
        <f>IFERROR(__xludf.DUMMYFUNCTION("""COMPUTED_VALUE"""),13380.0)</f>
        <v>13380</v>
      </c>
      <c r="D233" s="1">
        <f>IFERROR(__xludf.DUMMYFUNCTION("""COMPUTED_VALUE"""),12710.0)</f>
        <v>12710</v>
      </c>
      <c r="E233" s="1">
        <f>IFERROR(__xludf.DUMMYFUNCTION("""COMPUTED_VALUE"""),13070.0)</f>
        <v>13070</v>
      </c>
      <c r="F233" s="1">
        <f>IFERROR(__xludf.DUMMYFUNCTION("""COMPUTED_VALUE"""),38990.0)</f>
        <v>38990</v>
      </c>
    </row>
    <row r="234">
      <c r="A234" s="2">
        <f>IFERROR(__xludf.DUMMYFUNCTION("""COMPUTED_VALUE"""),45229.64583333333)</f>
        <v>45229.64583</v>
      </c>
      <c r="B234" s="1">
        <f>IFERROR(__xludf.DUMMYFUNCTION("""COMPUTED_VALUE"""),12820.0)</f>
        <v>12820</v>
      </c>
      <c r="C234" s="1">
        <f>IFERROR(__xludf.DUMMYFUNCTION("""COMPUTED_VALUE"""),13350.0)</f>
        <v>13350</v>
      </c>
      <c r="D234" s="1">
        <f>IFERROR(__xludf.DUMMYFUNCTION("""COMPUTED_VALUE"""),12750.0)</f>
        <v>12750</v>
      </c>
      <c r="E234" s="1">
        <f>IFERROR(__xludf.DUMMYFUNCTION("""COMPUTED_VALUE"""),12890.0)</f>
        <v>12890</v>
      </c>
      <c r="F234" s="1">
        <f>IFERROR(__xludf.DUMMYFUNCTION("""COMPUTED_VALUE"""),29271.0)</f>
        <v>29271</v>
      </c>
    </row>
    <row r="235">
      <c r="A235" s="2">
        <f>IFERROR(__xludf.DUMMYFUNCTION("""COMPUTED_VALUE"""),45230.64583333333)</f>
        <v>45230.64583</v>
      </c>
      <c r="B235" s="1">
        <f>IFERROR(__xludf.DUMMYFUNCTION("""COMPUTED_VALUE"""),13190.0)</f>
        <v>13190</v>
      </c>
      <c r="C235" s="1">
        <f>IFERROR(__xludf.DUMMYFUNCTION("""COMPUTED_VALUE"""),13210.0)</f>
        <v>13210</v>
      </c>
      <c r="D235" s="1">
        <f>IFERROR(__xludf.DUMMYFUNCTION("""COMPUTED_VALUE"""),12040.0)</f>
        <v>12040</v>
      </c>
      <c r="E235" s="1">
        <f>IFERROR(__xludf.DUMMYFUNCTION("""COMPUTED_VALUE"""),12040.0)</f>
        <v>12040</v>
      </c>
      <c r="F235" s="1">
        <f>IFERROR(__xludf.DUMMYFUNCTION("""COMPUTED_VALUE"""),72532.0)</f>
        <v>72532</v>
      </c>
    </row>
    <row r="236">
      <c r="A236" s="2">
        <f>IFERROR(__xludf.DUMMYFUNCTION("""COMPUTED_VALUE"""),45231.64583333333)</f>
        <v>45231.64583</v>
      </c>
      <c r="B236" s="1">
        <f>IFERROR(__xludf.DUMMYFUNCTION("""COMPUTED_VALUE"""),12040.0)</f>
        <v>12040</v>
      </c>
      <c r="C236" s="1">
        <f>IFERROR(__xludf.DUMMYFUNCTION("""COMPUTED_VALUE"""),12420.0)</f>
        <v>12420</v>
      </c>
      <c r="D236" s="1">
        <f>IFERROR(__xludf.DUMMYFUNCTION("""COMPUTED_VALUE"""),11670.0)</f>
        <v>11670</v>
      </c>
      <c r="E236" s="1">
        <f>IFERROR(__xludf.DUMMYFUNCTION("""COMPUTED_VALUE"""),12160.0)</f>
        <v>12160</v>
      </c>
      <c r="F236" s="1">
        <f>IFERROR(__xludf.DUMMYFUNCTION("""COMPUTED_VALUE"""),40865.0)</f>
        <v>40865</v>
      </c>
    </row>
    <row r="237">
      <c r="A237" s="2">
        <f>IFERROR(__xludf.DUMMYFUNCTION("""COMPUTED_VALUE"""),45232.64583333333)</f>
        <v>45232.64583</v>
      </c>
      <c r="B237" s="1">
        <f>IFERROR(__xludf.DUMMYFUNCTION("""COMPUTED_VALUE"""),12170.0)</f>
        <v>12170</v>
      </c>
      <c r="C237" s="1">
        <f>IFERROR(__xludf.DUMMYFUNCTION("""COMPUTED_VALUE"""),12650.0)</f>
        <v>12650</v>
      </c>
      <c r="D237" s="1">
        <f>IFERROR(__xludf.DUMMYFUNCTION("""COMPUTED_VALUE"""),12170.0)</f>
        <v>12170</v>
      </c>
      <c r="E237" s="1">
        <f>IFERROR(__xludf.DUMMYFUNCTION("""COMPUTED_VALUE"""),12300.0)</f>
        <v>12300</v>
      </c>
      <c r="F237" s="1">
        <f>IFERROR(__xludf.DUMMYFUNCTION("""COMPUTED_VALUE"""),55833.0)</f>
        <v>55833</v>
      </c>
    </row>
    <row r="238">
      <c r="A238" s="2">
        <f>IFERROR(__xludf.DUMMYFUNCTION("""COMPUTED_VALUE"""),45233.64583333333)</f>
        <v>45233.64583</v>
      </c>
      <c r="B238" s="1">
        <f>IFERROR(__xludf.DUMMYFUNCTION("""COMPUTED_VALUE"""),12340.0)</f>
        <v>12340</v>
      </c>
      <c r="C238" s="1">
        <f>IFERROR(__xludf.DUMMYFUNCTION("""COMPUTED_VALUE"""),13570.0)</f>
        <v>13570</v>
      </c>
      <c r="D238" s="1">
        <f>IFERROR(__xludf.DUMMYFUNCTION("""COMPUTED_VALUE"""),12020.0)</f>
        <v>12020</v>
      </c>
      <c r="E238" s="1">
        <f>IFERROR(__xludf.DUMMYFUNCTION("""COMPUTED_VALUE"""),12350.0)</f>
        <v>12350</v>
      </c>
      <c r="F238" s="1">
        <f>IFERROR(__xludf.DUMMYFUNCTION("""COMPUTED_VALUE"""),236046.0)</f>
        <v>236046</v>
      </c>
    </row>
    <row r="239">
      <c r="A239" s="2">
        <f>IFERROR(__xludf.DUMMYFUNCTION("""COMPUTED_VALUE"""),45236.64583333333)</f>
        <v>45236.64583</v>
      </c>
      <c r="B239" s="1">
        <f>IFERROR(__xludf.DUMMYFUNCTION("""COMPUTED_VALUE"""),12400.0)</f>
        <v>12400</v>
      </c>
      <c r="C239" s="1">
        <f>IFERROR(__xludf.DUMMYFUNCTION("""COMPUTED_VALUE"""),13180.0)</f>
        <v>13180</v>
      </c>
      <c r="D239" s="1">
        <f>IFERROR(__xludf.DUMMYFUNCTION("""COMPUTED_VALUE"""),12380.0)</f>
        <v>12380</v>
      </c>
      <c r="E239" s="1">
        <f>IFERROR(__xludf.DUMMYFUNCTION("""COMPUTED_VALUE"""),13000.0)</f>
        <v>13000</v>
      </c>
      <c r="F239" s="1">
        <f>IFERROR(__xludf.DUMMYFUNCTION("""COMPUTED_VALUE"""),93633.0)</f>
        <v>93633</v>
      </c>
    </row>
    <row r="240">
      <c r="A240" s="2">
        <f>IFERROR(__xludf.DUMMYFUNCTION("""COMPUTED_VALUE"""),45237.64583333333)</f>
        <v>45237.64583</v>
      </c>
      <c r="B240" s="1">
        <f>IFERROR(__xludf.DUMMYFUNCTION("""COMPUTED_VALUE"""),12920.0)</f>
        <v>12920</v>
      </c>
      <c r="C240" s="1">
        <f>IFERROR(__xludf.DUMMYFUNCTION("""COMPUTED_VALUE"""),13040.0)</f>
        <v>13040</v>
      </c>
      <c r="D240" s="1">
        <f>IFERROR(__xludf.DUMMYFUNCTION("""COMPUTED_VALUE"""),12390.0)</f>
        <v>12390</v>
      </c>
      <c r="E240" s="1">
        <f>IFERROR(__xludf.DUMMYFUNCTION("""COMPUTED_VALUE"""),12560.0)</f>
        <v>12560</v>
      </c>
      <c r="F240" s="1">
        <f>IFERROR(__xludf.DUMMYFUNCTION("""COMPUTED_VALUE"""),98921.0)</f>
        <v>98921</v>
      </c>
    </row>
    <row r="241">
      <c r="A241" s="2">
        <f>IFERROR(__xludf.DUMMYFUNCTION("""COMPUTED_VALUE"""),45238.64583333333)</f>
        <v>45238.64583</v>
      </c>
      <c r="B241" s="1">
        <f>IFERROR(__xludf.DUMMYFUNCTION("""COMPUTED_VALUE"""),12670.0)</f>
        <v>12670</v>
      </c>
      <c r="C241" s="1">
        <f>IFERROR(__xludf.DUMMYFUNCTION("""COMPUTED_VALUE"""),13030.0)</f>
        <v>13030</v>
      </c>
      <c r="D241" s="1">
        <f>IFERROR(__xludf.DUMMYFUNCTION("""COMPUTED_VALUE"""),12560.0)</f>
        <v>12560</v>
      </c>
      <c r="E241" s="1">
        <f>IFERROR(__xludf.DUMMYFUNCTION("""COMPUTED_VALUE"""),12700.0)</f>
        <v>12700</v>
      </c>
      <c r="F241" s="1">
        <f>IFERROR(__xludf.DUMMYFUNCTION("""COMPUTED_VALUE"""),56208.0)</f>
        <v>56208</v>
      </c>
    </row>
    <row r="242">
      <c r="A242" s="2">
        <f>IFERROR(__xludf.DUMMYFUNCTION("""COMPUTED_VALUE"""),45239.64583333333)</f>
        <v>45239.64583</v>
      </c>
      <c r="B242" s="1">
        <f>IFERROR(__xludf.DUMMYFUNCTION("""COMPUTED_VALUE"""),12700.0)</f>
        <v>12700</v>
      </c>
      <c r="C242" s="1">
        <f>IFERROR(__xludf.DUMMYFUNCTION("""COMPUTED_VALUE"""),13030.0)</f>
        <v>13030</v>
      </c>
      <c r="D242" s="1">
        <f>IFERROR(__xludf.DUMMYFUNCTION("""COMPUTED_VALUE"""),12180.0)</f>
        <v>12180</v>
      </c>
      <c r="E242" s="1">
        <f>IFERROR(__xludf.DUMMYFUNCTION("""COMPUTED_VALUE"""),12310.0)</f>
        <v>12310</v>
      </c>
      <c r="F242" s="1">
        <f>IFERROR(__xludf.DUMMYFUNCTION("""COMPUTED_VALUE"""),39907.0)</f>
        <v>39907</v>
      </c>
    </row>
    <row r="243">
      <c r="A243" s="2">
        <f>IFERROR(__xludf.DUMMYFUNCTION("""COMPUTED_VALUE"""),45240.64583333333)</f>
        <v>45240.64583</v>
      </c>
      <c r="B243" s="1">
        <f>IFERROR(__xludf.DUMMYFUNCTION("""COMPUTED_VALUE"""),12330.0)</f>
        <v>12330</v>
      </c>
      <c r="C243" s="1">
        <f>IFERROR(__xludf.DUMMYFUNCTION("""COMPUTED_VALUE"""),13230.0)</f>
        <v>13230</v>
      </c>
      <c r="D243" s="1">
        <f>IFERROR(__xludf.DUMMYFUNCTION("""COMPUTED_VALUE"""),12190.0)</f>
        <v>12190</v>
      </c>
      <c r="E243" s="1">
        <f>IFERROR(__xludf.DUMMYFUNCTION("""COMPUTED_VALUE"""),12960.0)</f>
        <v>12960</v>
      </c>
      <c r="F243" s="1">
        <f>IFERROR(__xludf.DUMMYFUNCTION("""COMPUTED_VALUE"""),90115.0)</f>
        <v>90115</v>
      </c>
    </row>
    <row r="244">
      <c r="A244" s="2">
        <f>IFERROR(__xludf.DUMMYFUNCTION("""COMPUTED_VALUE"""),45243.64583333333)</f>
        <v>45243.64583</v>
      </c>
      <c r="B244" s="1">
        <f>IFERROR(__xludf.DUMMYFUNCTION("""COMPUTED_VALUE"""),12930.0)</f>
        <v>12930</v>
      </c>
      <c r="C244" s="1">
        <f>IFERROR(__xludf.DUMMYFUNCTION("""COMPUTED_VALUE"""),13110.0)</f>
        <v>13110</v>
      </c>
      <c r="D244" s="1">
        <f>IFERROR(__xludf.DUMMYFUNCTION("""COMPUTED_VALUE"""),12030.0)</f>
        <v>12030</v>
      </c>
      <c r="E244" s="1">
        <f>IFERROR(__xludf.DUMMYFUNCTION("""COMPUTED_VALUE"""),12060.0)</f>
        <v>12060</v>
      </c>
      <c r="F244" s="1">
        <f>IFERROR(__xludf.DUMMYFUNCTION("""COMPUTED_VALUE"""),62030.0)</f>
        <v>62030</v>
      </c>
    </row>
    <row r="245">
      <c r="A245" s="2">
        <f>IFERROR(__xludf.DUMMYFUNCTION("""COMPUTED_VALUE"""),45244.64583333333)</f>
        <v>45244.64583</v>
      </c>
      <c r="B245" s="1">
        <f>IFERROR(__xludf.DUMMYFUNCTION("""COMPUTED_VALUE"""),12090.0)</f>
        <v>12090</v>
      </c>
      <c r="C245" s="1">
        <f>IFERROR(__xludf.DUMMYFUNCTION("""COMPUTED_VALUE"""),12520.0)</f>
        <v>12520</v>
      </c>
      <c r="D245" s="1">
        <f>IFERROR(__xludf.DUMMYFUNCTION("""COMPUTED_VALUE"""),12060.0)</f>
        <v>12060</v>
      </c>
      <c r="E245" s="1">
        <f>IFERROR(__xludf.DUMMYFUNCTION("""COMPUTED_VALUE"""),12510.0)</f>
        <v>12510</v>
      </c>
      <c r="F245" s="1">
        <f>IFERROR(__xludf.DUMMYFUNCTION("""COMPUTED_VALUE"""),39489.0)</f>
        <v>39489</v>
      </c>
    </row>
    <row r="246">
      <c r="A246" s="2">
        <f>IFERROR(__xludf.DUMMYFUNCTION("""COMPUTED_VALUE"""),45245.64583333333)</f>
        <v>45245.64583</v>
      </c>
      <c r="B246" s="1">
        <f>IFERROR(__xludf.DUMMYFUNCTION("""COMPUTED_VALUE"""),12500.0)</f>
        <v>12500</v>
      </c>
      <c r="C246" s="1">
        <f>IFERROR(__xludf.DUMMYFUNCTION("""COMPUTED_VALUE"""),12650.0)</f>
        <v>12650</v>
      </c>
      <c r="D246" s="1">
        <f>IFERROR(__xludf.DUMMYFUNCTION("""COMPUTED_VALUE"""),12030.0)</f>
        <v>12030</v>
      </c>
      <c r="E246" s="1">
        <f>IFERROR(__xludf.DUMMYFUNCTION("""COMPUTED_VALUE"""),12260.0)</f>
        <v>12260</v>
      </c>
      <c r="F246" s="1">
        <f>IFERROR(__xludf.DUMMYFUNCTION("""COMPUTED_VALUE"""),82045.0)</f>
        <v>82045</v>
      </c>
    </row>
    <row r="247">
      <c r="A247" s="2">
        <f>IFERROR(__xludf.DUMMYFUNCTION("""COMPUTED_VALUE"""),45246.64583333333)</f>
        <v>45246.64583</v>
      </c>
      <c r="B247" s="1">
        <f>IFERROR(__xludf.DUMMYFUNCTION("""COMPUTED_VALUE"""),12380.0)</f>
        <v>12380</v>
      </c>
      <c r="C247" s="1">
        <f>IFERROR(__xludf.DUMMYFUNCTION("""COMPUTED_VALUE"""),12570.0)</f>
        <v>12570</v>
      </c>
      <c r="D247" s="1">
        <f>IFERROR(__xludf.DUMMYFUNCTION("""COMPUTED_VALUE"""),12000.0)</f>
        <v>12000</v>
      </c>
      <c r="E247" s="1">
        <f>IFERROR(__xludf.DUMMYFUNCTION("""COMPUTED_VALUE"""),12120.0)</f>
        <v>12120</v>
      </c>
      <c r="F247" s="1">
        <f>IFERROR(__xludf.DUMMYFUNCTION("""COMPUTED_VALUE"""),42669.0)</f>
        <v>42669</v>
      </c>
    </row>
    <row r="248">
      <c r="A248" s="2">
        <f>IFERROR(__xludf.DUMMYFUNCTION("""COMPUTED_VALUE"""),45247.64583333333)</f>
        <v>45247.64583</v>
      </c>
      <c r="B248" s="1">
        <f>IFERROR(__xludf.DUMMYFUNCTION("""COMPUTED_VALUE"""),12120.0)</f>
        <v>12120</v>
      </c>
      <c r="C248" s="1">
        <f>IFERROR(__xludf.DUMMYFUNCTION("""COMPUTED_VALUE"""),12230.0)</f>
        <v>12230</v>
      </c>
      <c r="D248" s="1">
        <f>IFERROR(__xludf.DUMMYFUNCTION("""COMPUTED_VALUE"""),11320.0)</f>
        <v>11320</v>
      </c>
      <c r="E248" s="1">
        <f>IFERROR(__xludf.DUMMYFUNCTION("""COMPUTED_VALUE"""),11600.0)</f>
        <v>11600</v>
      </c>
      <c r="F248" s="1">
        <f>IFERROR(__xludf.DUMMYFUNCTION("""COMPUTED_VALUE"""),124409.0)</f>
        <v>124409</v>
      </c>
    </row>
    <row r="249">
      <c r="A249" s="2">
        <f>IFERROR(__xludf.DUMMYFUNCTION("""COMPUTED_VALUE"""),45250.64583333333)</f>
        <v>45250.64583</v>
      </c>
      <c r="B249" s="1">
        <f>IFERROR(__xludf.DUMMYFUNCTION("""COMPUTED_VALUE"""),11700.0)</f>
        <v>11700</v>
      </c>
      <c r="C249" s="1">
        <f>IFERROR(__xludf.DUMMYFUNCTION("""COMPUTED_VALUE"""),13550.0)</f>
        <v>13550</v>
      </c>
      <c r="D249" s="1">
        <f>IFERROR(__xludf.DUMMYFUNCTION("""COMPUTED_VALUE"""),11600.0)</f>
        <v>11600</v>
      </c>
      <c r="E249" s="1">
        <f>IFERROR(__xludf.DUMMYFUNCTION("""COMPUTED_VALUE"""),13000.0)</f>
        <v>13000</v>
      </c>
      <c r="F249" s="1">
        <f>IFERROR(__xludf.DUMMYFUNCTION("""COMPUTED_VALUE"""),441872.0)</f>
        <v>441872</v>
      </c>
    </row>
    <row r="250">
      <c r="A250" s="2">
        <f>IFERROR(__xludf.DUMMYFUNCTION("""COMPUTED_VALUE"""),45251.64583333333)</f>
        <v>45251.64583</v>
      </c>
      <c r="B250" s="1">
        <f>IFERROR(__xludf.DUMMYFUNCTION("""COMPUTED_VALUE"""),13040.0)</f>
        <v>13040</v>
      </c>
      <c r="C250" s="1">
        <f>IFERROR(__xludf.DUMMYFUNCTION("""COMPUTED_VALUE"""),15400.0)</f>
        <v>15400</v>
      </c>
      <c r="D250" s="1">
        <f>IFERROR(__xludf.DUMMYFUNCTION("""COMPUTED_VALUE"""),13000.0)</f>
        <v>13000</v>
      </c>
      <c r="E250" s="1">
        <f>IFERROR(__xludf.DUMMYFUNCTION("""COMPUTED_VALUE"""),15160.0)</f>
        <v>15160</v>
      </c>
      <c r="F250" s="1">
        <f>IFERROR(__xludf.DUMMYFUNCTION("""COMPUTED_VALUE"""),756846.0)</f>
        <v>756846</v>
      </c>
    </row>
    <row r="251">
      <c r="A251" s="2">
        <f>IFERROR(__xludf.DUMMYFUNCTION("""COMPUTED_VALUE"""),45252.64583333333)</f>
        <v>45252.64583</v>
      </c>
      <c r="B251" s="1">
        <f>IFERROR(__xludf.DUMMYFUNCTION("""COMPUTED_VALUE"""),15000.0)</f>
        <v>15000</v>
      </c>
      <c r="C251" s="1">
        <f>IFERROR(__xludf.DUMMYFUNCTION("""COMPUTED_VALUE"""),15520.0)</f>
        <v>15520</v>
      </c>
      <c r="D251" s="1">
        <f>IFERROR(__xludf.DUMMYFUNCTION("""COMPUTED_VALUE"""),14630.0)</f>
        <v>14630</v>
      </c>
      <c r="E251" s="1">
        <f>IFERROR(__xludf.DUMMYFUNCTION("""COMPUTED_VALUE"""),15270.0)</f>
        <v>15270</v>
      </c>
      <c r="F251" s="1">
        <f>IFERROR(__xludf.DUMMYFUNCTION("""COMPUTED_VALUE"""),241303.0)</f>
        <v>241303</v>
      </c>
    </row>
    <row r="252">
      <c r="A252" s="2">
        <f>IFERROR(__xludf.DUMMYFUNCTION("""COMPUTED_VALUE"""),45253.64583333333)</f>
        <v>45253.64583</v>
      </c>
      <c r="B252" s="1">
        <f>IFERROR(__xludf.DUMMYFUNCTION("""COMPUTED_VALUE"""),15070.0)</f>
        <v>15070</v>
      </c>
      <c r="C252" s="1">
        <f>IFERROR(__xludf.DUMMYFUNCTION("""COMPUTED_VALUE"""),16250.0)</f>
        <v>16250</v>
      </c>
      <c r="D252" s="1">
        <f>IFERROR(__xludf.DUMMYFUNCTION("""COMPUTED_VALUE"""),14880.0)</f>
        <v>14880</v>
      </c>
      <c r="E252" s="1">
        <f>IFERROR(__xludf.DUMMYFUNCTION("""COMPUTED_VALUE"""),15770.0)</f>
        <v>15770</v>
      </c>
      <c r="F252" s="1">
        <f>IFERROR(__xludf.DUMMYFUNCTION("""COMPUTED_VALUE"""),275922.0)</f>
        <v>275922</v>
      </c>
    </row>
    <row r="253">
      <c r="A253" s="2">
        <f>IFERROR(__xludf.DUMMYFUNCTION("""COMPUTED_VALUE"""),45254.64583333333)</f>
        <v>45254.64583</v>
      </c>
      <c r="B253" s="1">
        <f>IFERROR(__xludf.DUMMYFUNCTION("""COMPUTED_VALUE"""),15900.0)</f>
        <v>15900</v>
      </c>
      <c r="C253" s="1">
        <f>IFERROR(__xludf.DUMMYFUNCTION("""COMPUTED_VALUE"""),16190.0)</f>
        <v>16190</v>
      </c>
      <c r="D253" s="1">
        <f>IFERROR(__xludf.DUMMYFUNCTION("""COMPUTED_VALUE"""),15410.0)</f>
        <v>15410</v>
      </c>
      <c r="E253" s="1">
        <f>IFERROR(__xludf.DUMMYFUNCTION("""COMPUTED_VALUE"""),15730.0)</f>
        <v>15730</v>
      </c>
      <c r="F253" s="1">
        <f>IFERROR(__xludf.DUMMYFUNCTION("""COMPUTED_VALUE"""),110003.0)</f>
        <v>110003</v>
      </c>
    </row>
    <row r="254">
      <c r="A254" s="2">
        <f>IFERROR(__xludf.DUMMYFUNCTION("""COMPUTED_VALUE"""),45257.64583333333)</f>
        <v>45257.64583</v>
      </c>
      <c r="B254" s="1">
        <f>IFERROR(__xludf.DUMMYFUNCTION("""COMPUTED_VALUE"""),15420.0)</f>
        <v>15420</v>
      </c>
      <c r="C254" s="1">
        <f>IFERROR(__xludf.DUMMYFUNCTION("""COMPUTED_VALUE"""),15450.0)</f>
        <v>15450</v>
      </c>
      <c r="D254" s="1">
        <f>IFERROR(__xludf.DUMMYFUNCTION("""COMPUTED_VALUE"""),14430.0)</f>
        <v>14430</v>
      </c>
      <c r="E254" s="1">
        <f>IFERROR(__xludf.DUMMYFUNCTION("""COMPUTED_VALUE"""),14710.0)</f>
        <v>14710</v>
      </c>
      <c r="F254" s="1">
        <f>IFERROR(__xludf.DUMMYFUNCTION("""COMPUTED_VALUE"""),127223.0)</f>
        <v>127223</v>
      </c>
    </row>
    <row r="255">
      <c r="A255" s="2">
        <f>IFERROR(__xludf.DUMMYFUNCTION("""COMPUTED_VALUE"""),45258.64583333333)</f>
        <v>45258.64583</v>
      </c>
      <c r="B255" s="1">
        <f>IFERROR(__xludf.DUMMYFUNCTION("""COMPUTED_VALUE"""),14710.0)</f>
        <v>14710</v>
      </c>
      <c r="C255" s="1">
        <f>IFERROR(__xludf.DUMMYFUNCTION("""COMPUTED_VALUE"""),15160.0)</f>
        <v>15160</v>
      </c>
      <c r="D255" s="1">
        <f>IFERROR(__xludf.DUMMYFUNCTION("""COMPUTED_VALUE"""),14700.0)</f>
        <v>14700</v>
      </c>
      <c r="E255" s="1">
        <f>IFERROR(__xludf.DUMMYFUNCTION("""COMPUTED_VALUE"""),14780.0)</f>
        <v>14780</v>
      </c>
      <c r="F255" s="1">
        <f>IFERROR(__xludf.DUMMYFUNCTION("""COMPUTED_VALUE"""),76390.0)</f>
        <v>76390</v>
      </c>
    </row>
    <row r="256">
      <c r="A256" s="2">
        <f>IFERROR(__xludf.DUMMYFUNCTION("""COMPUTED_VALUE"""),45259.64583333333)</f>
        <v>45259.64583</v>
      </c>
      <c r="B256" s="1">
        <f>IFERROR(__xludf.DUMMYFUNCTION("""COMPUTED_VALUE"""),14700.0)</f>
        <v>14700</v>
      </c>
      <c r="C256" s="1">
        <f>IFERROR(__xludf.DUMMYFUNCTION("""COMPUTED_VALUE"""),15350.0)</f>
        <v>15350</v>
      </c>
      <c r="D256" s="1">
        <f>IFERROR(__xludf.DUMMYFUNCTION("""COMPUTED_VALUE"""),14450.0)</f>
        <v>14450</v>
      </c>
      <c r="E256" s="1">
        <f>IFERROR(__xludf.DUMMYFUNCTION("""COMPUTED_VALUE"""),15020.0)</f>
        <v>15020</v>
      </c>
      <c r="F256" s="1">
        <f>IFERROR(__xludf.DUMMYFUNCTION("""COMPUTED_VALUE"""),90246.0)</f>
        <v>90246</v>
      </c>
    </row>
    <row r="257">
      <c r="A257" s="2">
        <f>IFERROR(__xludf.DUMMYFUNCTION("""COMPUTED_VALUE"""),45260.64583333333)</f>
        <v>45260.64583</v>
      </c>
      <c r="B257" s="1">
        <f>IFERROR(__xludf.DUMMYFUNCTION("""COMPUTED_VALUE"""),15030.0)</f>
        <v>15030</v>
      </c>
      <c r="C257" s="1">
        <f>IFERROR(__xludf.DUMMYFUNCTION("""COMPUTED_VALUE"""),15250.0)</f>
        <v>15250</v>
      </c>
      <c r="D257" s="1">
        <f>IFERROR(__xludf.DUMMYFUNCTION("""COMPUTED_VALUE"""),14510.0)</f>
        <v>14510</v>
      </c>
      <c r="E257" s="1">
        <f>IFERROR(__xludf.DUMMYFUNCTION("""COMPUTED_VALUE"""),15050.0)</f>
        <v>15050</v>
      </c>
      <c r="F257" s="1">
        <f>IFERROR(__xludf.DUMMYFUNCTION("""COMPUTED_VALUE"""),49400.0)</f>
        <v>49400</v>
      </c>
    </row>
    <row r="258">
      <c r="A258" s="2">
        <f>IFERROR(__xludf.DUMMYFUNCTION("""COMPUTED_VALUE"""),45261.64583333333)</f>
        <v>45261.64583</v>
      </c>
      <c r="B258" s="1">
        <f>IFERROR(__xludf.DUMMYFUNCTION("""COMPUTED_VALUE"""),14950.0)</f>
        <v>14950</v>
      </c>
      <c r="C258" s="1">
        <f>IFERROR(__xludf.DUMMYFUNCTION("""COMPUTED_VALUE"""),15190.0)</f>
        <v>15190</v>
      </c>
      <c r="D258" s="1">
        <f>IFERROR(__xludf.DUMMYFUNCTION("""COMPUTED_VALUE"""),14700.0)</f>
        <v>14700</v>
      </c>
      <c r="E258" s="1">
        <f>IFERROR(__xludf.DUMMYFUNCTION("""COMPUTED_VALUE"""),15020.0)</f>
        <v>15020</v>
      </c>
      <c r="F258" s="1">
        <f>IFERROR(__xludf.DUMMYFUNCTION("""COMPUTED_VALUE"""),25741.0)</f>
        <v>25741</v>
      </c>
    </row>
    <row r="259">
      <c r="A259" s="2">
        <f>IFERROR(__xludf.DUMMYFUNCTION("""COMPUTED_VALUE"""),45264.64583333333)</f>
        <v>45264.64583</v>
      </c>
      <c r="B259" s="1">
        <f>IFERROR(__xludf.DUMMYFUNCTION("""COMPUTED_VALUE"""),14990.0)</f>
        <v>14990</v>
      </c>
      <c r="C259" s="1">
        <f>IFERROR(__xludf.DUMMYFUNCTION("""COMPUTED_VALUE"""),14990.0)</f>
        <v>14990</v>
      </c>
      <c r="D259" s="1">
        <f>IFERROR(__xludf.DUMMYFUNCTION("""COMPUTED_VALUE"""),14190.0)</f>
        <v>14190</v>
      </c>
      <c r="E259" s="1">
        <f>IFERROR(__xludf.DUMMYFUNCTION("""COMPUTED_VALUE"""),14710.0)</f>
        <v>14710</v>
      </c>
      <c r="F259" s="1">
        <f>IFERROR(__xludf.DUMMYFUNCTION("""COMPUTED_VALUE"""),47159.0)</f>
        <v>47159</v>
      </c>
    </row>
    <row r="260">
      <c r="A260" s="2">
        <f>IFERROR(__xludf.DUMMYFUNCTION("""COMPUTED_VALUE"""),45265.64583333333)</f>
        <v>45265.64583</v>
      </c>
      <c r="B260" s="1">
        <f>IFERROR(__xludf.DUMMYFUNCTION("""COMPUTED_VALUE"""),14510.0)</f>
        <v>14510</v>
      </c>
      <c r="C260" s="1">
        <f>IFERROR(__xludf.DUMMYFUNCTION("""COMPUTED_VALUE"""),15150.0)</f>
        <v>15150</v>
      </c>
      <c r="D260" s="1">
        <f>IFERROR(__xludf.DUMMYFUNCTION("""COMPUTED_VALUE"""),14160.0)</f>
        <v>14160</v>
      </c>
      <c r="E260" s="1">
        <f>IFERROR(__xludf.DUMMYFUNCTION("""COMPUTED_VALUE"""),14500.0)</f>
        <v>14500</v>
      </c>
      <c r="F260" s="1">
        <f>IFERROR(__xludf.DUMMYFUNCTION("""COMPUTED_VALUE"""),80467.0)</f>
        <v>80467</v>
      </c>
    </row>
    <row r="261">
      <c r="A261" s="2">
        <f>IFERROR(__xludf.DUMMYFUNCTION("""COMPUTED_VALUE"""),45266.64583333333)</f>
        <v>45266.64583</v>
      </c>
      <c r="B261" s="1">
        <f>IFERROR(__xludf.DUMMYFUNCTION("""COMPUTED_VALUE"""),14290.0)</f>
        <v>14290</v>
      </c>
      <c r="C261" s="1">
        <f>IFERROR(__xludf.DUMMYFUNCTION("""COMPUTED_VALUE"""),14850.0)</f>
        <v>14850</v>
      </c>
      <c r="D261" s="1">
        <f>IFERROR(__xludf.DUMMYFUNCTION("""COMPUTED_VALUE"""),14140.0)</f>
        <v>14140</v>
      </c>
      <c r="E261" s="1">
        <f>IFERROR(__xludf.DUMMYFUNCTION("""COMPUTED_VALUE"""),14580.0)</f>
        <v>14580</v>
      </c>
      <c r="F261" s="1">
        <f>IFERROR(__xludf.DUMMYFUNCTION("""COMPUTED_VALUE"""),33111.0)</f>
        <v>33111</v>
      </c>
    </row>
    <row r="262">
      <c r="A262" s="2">
        <f>IFERROR(__xludf.DUMMYFUNCTION("""COMPUTED_VALUE"""),45267.64583333333)</f>
        <v>45267.64583</v>
      </c>
      <c r="B262" s="1">
        <f>IFERROR(__xludf.DUMMYFUNCTION("""COMPUTED_VALUE"""),14500.0)</f>
        <v>14500</v>
      </c>
      <c r="C262" s="1">
        <f>IFERROR(__xludf.DUMMYFUNCTION("""COMPUTED_VALUE"""),14570.0)</f>
        <v>14570</v>
      </c>
      <c r="D262" s="1">
        <f>IFERROR(__xludf.DUMMYFUNCTION("""COMPUTED_VALUE"""),13800.0)</f>
        <v>13800</v>
      </c>
      <c r="E262" s="1">
        <f>IFERROR(__xludf.DUMMYFUNCTION("""COMPUTED_VALUE"""),14500.0)</f>
        <v>14500</v>
      </c>
      <c r="F262" s="1">
        <f>IFERROR(__xludf.DUMMYFUNCTION("""COMPUTED_VALUE"""),79402.0)</f>
        <v>79402</v>
      </c>
    </row>
    <row r="263">
      <c r="A263" s="2">
        <f>IFERROR(__xludf.DUMMYFUNCTION("""COMPUTED_VALUE"""),45268.64583333333)</f>
        <v>45268.64583</v>
      </c>
      <c r="B263" s="1">
        <f>IFERROR(__xludf.DUMMYFUNCTION("""COMPUTED_VALUE"""),14440.0)</f>
        <v>14440</v>
      </c>
      <c r="C263" s="1">
        <f>IFERROR(__xludf.DUMMYFUNCTION("""COMPUTED_VALUE"""),14810.0)</f>
        <v>14810</v>
      </c>
      <c r="D263" s="1">
        <f>IFERROR(__xludf.DUMMYFUNCTION("""COMPUTED_VALUE"""),14110.0)</f>
        <v>14110</v>
      </c>
      <c r="E263" s="1">
        <f>IFERROR(__xludf.DUMMYFUNCTION("""COMPUTED_VALUE"""),14740.0)</f>
        <v>14740</v>
      </c>
      <c r="F263" s="1">
        <f>IFERROR(__xludf.DUMMYFUNCTION("""COMPUTED_VALUE"""),29821.0)</f>
        <v>29821</v>
      </c>
    </row>
    <row r="264">
      <c r="A264" s="2">
        <f>IFERROR(__xludf.DUMMYFUNCTION("""COMPUTED_VALUE"""),45271.64583333333)</f>
        <v>45271.64583</v>
      </c>
      <c r="B264" s="1">
        <f>IFERROR(__xludf.DUMMYFUNCTION("""COMPUTED_VALUE"""),14890.0)</f>
        <v>14890</v>
      </c>
      <c r="C264" s="1">
        <f>IFERROR(__xludf.DUMMYFUNCTION("""COMPUTED_VALUE"""),16270.0)</f>
        <v>16270</v>
      </c>
      <c r="D264" s="1">
        <f>IFERROR(__xludf.DUMMYFUNCTION("""COMPUTED_VALUE"""),14730.0)</f>
        <v>14730</v>
      </c>
      <c r="E264" s="1">
        <f>IFERROR(__xludf.DUMMYFUNCTION("""COMPUTED_VALUE"""),15500.0)</f>
        <v>15500</v>
      </c>
      <c r="F264" s="1">
        <f>IFERROR(__xludf.DUMMYFUNCTION("""COMPUTED_VALUE"""),170490.0)</f>
        <v>170490</v>
      </c>
    </row>
    <row r="265">
      <c r="A265" s="2">
        <f>IFERROR(__xludf.DUMMYFUNCTION("""COMPUTED_VALUE"""),45272.64583333333)</f>
        <v>45272.64583</v>
      </c>
      <c r="B265" s="1">
        <f>IFERROR(__xludf.DUMMYFUNCTION("""COMPUTED_VALUE"""),15550.0)</f>
        <v>15550</v>
      </c>
      <c r="C265" s="1">
        <f>IFERROR(__xludf.DUMMYFUNCTION("""COMPUTED_VALUE"""),16200.0)</f>
        <v>16200</v>
      </c>
      <c r="D265" s="1">
        <f>IFERROR(__xludf.DUMMYFUNCTION("""COMPUTED_VALUE"""),15210.0)</f>
        <v>15210</v>
      </c>
      <c r="E265" s="1">
        <f>IFERROR(__xludf.DUMMYFUNCTION("""COMPUTED_VALUE"""),15970.0)</f>
        <v>15970</v>
      </c>
      <c r="F265" s="1">
        <f>IFERROR(__xludf.DUMMYFUNCTION("""COMPUTED_VALUE"""),84490.0)</f>
        <v>84490</v>
      </c>
    </row>
    <row r="266">
      <c r="A266" s="2">
        <f>IFERROR(__xludf.DUMMYFUNCTION("""COMPUTED_VALUE"""),45273.64583333333)</f>
        <v>45273.64583</v>
      </c>
      <c r="B266" s="1">
        <f>IFERROR(__xludf.DUMMYFUNCTION("""COMPUTED_VALUE"""),15940.0)</f>
        <v>15940</v>
      </c>
      <c r="C266" s="1">
        <f>IFERROR(__xludf.DUMMYFUNCTION("""COMPUTED_VALUE"""),16130.0)</f>
        <v>16130</v>
      </c>
      <c r="D266" s="1">
        <f>IFERROR(__xludf.DUMMYFUNCTION("""COMPUTED_VALUE"""),15610.0)</f>
        <v>15610</v>
      </c>
      <c r="E266" s="1">
        <f>IFERROR(__xludf.DUMMYFUNCTION("""COMPUTED_VALUE"""),15660.0)</f>
        <v>15660</v>
      </c>
      <c r="F266" s="1">
        <f>IFERROR(__xludf.DUMMYFUNCTION("""COMPUTED_VALUE"""),53102.0)</f>
        <v>53102</v>
      </c>
    </row>
    <row r="267">
      <c r="A267" s="2">
        <f>IFERROR(__xludf.DUMMYFUNCTION("""COMPUTED_VALUE"""),45274.64583333333)</f>
        <v>45274.64583</v>
      </c>
      <c r="B267" s="1">
        <f>IFERROR(__xludf.DUMMYFUNCTION("""COMPUTED_VALUE"""),15930.0)</f>
        <v>15930</v>
      </c>
      <c r="C267" s="1">
        <f>IFERROR(__xludf.DUMMYFUNCTION("""COMPUTED_VALUE"""),16130.0)</f>
        <v>16130</v>
      </c>
      <c r="D267" s="1">
        <f>IFERROR(__xludf.DUMMYFUNCTION("""COMPUTED_VALUE"""),15200.0)</f>
        <v>15200</v>
      </c>
      <c r="E267" s="1">
        <f>IFERROR(__xludf.DUMMYFUNCTION("""COMPUTED_VALUE"""),15380.0)</f>
        <v>15380</v>
      </c>
      <c r="F267" s="1">
        <f>IFERROR(__xludf.DUMMYFUNCTION("""COMPUTED_VALUE"""),56054.0)</f>
        <v>56054</v>
      </c>
    </row>
    <row r="268">
      <c r="A268" s="2">
        <f>IFERROR(__xludf.DUMMYFUNCTION("""COMPUTED_VALUE"""),45275.64583333333)</f>
        <v>45275.64583</v>
      </c>
      <c r="B268" s="1">
        <f>IFERROR(__xludf.DUMMYFUNCTION("""COMPUTED_VALUE"""),15650.0)</f>
        <v>15650</v>
      </c>
      <c r="C268" s="1">
        <f>IFERROR(__xludf.DUMMYFUNCTION("""COMPUTED_VALUE"""),15650.0)</f>
        <v>15650</v>
      </c>
      <c r="D268" s="1">
        <f>IFERROR(__xludf.DUMMYFUNCTION("""COMPUTED_VALUE"""),15070.0)</f>
        <v>15070</v>
      </c>
      <c r="E268" s="1">
        <f>IFERROR(__xludf.DUMMYFUNCTION("""COMPUTED_VALUE"""),15220.0)</f>
        <v>15220</v>
      </c>
      <c r="F268" s="1">
        <f>IFERROR(__xludf.DUMMYFUNCTION("""COMPUTED_VALUE"""),32298.0)</f>
        <v>32298</v>
      </c>
    </row>
    <row r="269">
      <c r="A269" s="2">
        <f>IFERROR(__xludf.DUMMYFUNCTION("""COMPUTED_VALUE"""),45278.64583333333)</f>
        <v>45278.64583</v>
      </c>
      <c r="B269" s="1">
        <f>IFERROR(__xludf.DUMMYFUNCTION("""COMPUTED_VALUE"""),15490.0)</f>
        <v>15490</v>
      </c>
      <c r="C269" s="1">
        <f>IFERROR(__xludf.DUMMYFUNCTION("""COMPUTED_VALUE"""),16720.0)</f>
        <v>16720</v>
      </c>
      <c r="D269" s="1">
        <f>IFERROR(__xludf.DUMMYFUNCTION("""COMPUTED_VALUE"""),15110.0)</f>
        <v>15110</v>
      </c>
      <c r="E269" s="1">
        <f>IFERROR(__xludf.DUMMYFUNCTION("""COMPUTED_VALUE"""),16600.0)</f>
        <v>16600</v>
      </c>
      <c r="F269" s="1">
        <f>IFERROR(__xludf.DUMMYFUNCTION("""COMPUTED_VALUE"""),263871.0)</f>
        <v>263871</v>
      </c>
    </row>
    <row r="270">
      <c r="A270" s="2">
        <f>IFERROR(__xludf.DUMMYFUNCTION("""COMPUTED_VALUE"""),45279.64583333333)</f>
        <v>45279.64583</v>
      </c>
      <c r="B270" s="1">
        <f>IFERROR(__xludf.DUMMYFUNCTION("""COMPUTED_VALUE"""),16350.0)</f>
        <v>16350</v>
      </c>
      <c r="C270" s="1">
        <f>IFERROR(__xludf.DUMMYFUNCTION("""COMPUTED_VALUE"""),16640.0)</f>
        <v>16640</v>
      </c>
      <c r="D270" s="1">
        <f>IFERROR(__xludf.DUMMYFUNCTION("""COMPUTED_VALUE"""),15830.0)</f>
        <v>15830</v>
      </c>
      <c r="E270" s="1">
        <f>IFERROR(__xludf.DUMMYFUNCTION("""COMPUTED_VALUE"""),16110.0)</f>
        <v>16110</v>
      </c>
      <c r="F270" s="1">
        <f>IFERROR(__xludf.DUMMYFUNCTION("""COMPUTED_VALUE"""),97053.0)</f>
        <v>97053</v>
      </c>
    </row>
    <row r="271">
      <c r="A271" s="2">
        <f>IFERROR(__xludf.DUMMYFUNCTION("""COMPUTED_VALUE"""),45280.64583333333)</f>
        <v>45280.64583</v>
      </c>
      <c r="B271" s="1">
        <f>IFERROR(__xludf.DUMMYFUNCTION("""COMPUTED_VALUE"""),16270.0)</f>
        <v>16270</v>
      </c>
      <c r="C271" s="1">
        <f>IFERROR(__xludf.DUMMYFUNCTION("""COMPUTED_VALUE"""),17300.0)</f>
        <v>17300</v>
      </c>
      <c r="D271" s="1">
        <f>IFERROR(__xludf.DUMMYFUNCTION("""COMPUTED_VALUE"""),16000.0)</f>
        <v>16000</v>
      </c>
      <c r="E271" s="1">
        <f>IFERROR(__xludf.DUMMYFUNCTION("""COMPUTED_VALUE"""),16870.0)</f>
        <v>16870</v>
      </c>
      <c r="F271" s="1">
        <f>IFERROR(__xludf.DUMMYFUNCTION("""COMPUTED_VALUE"""),279260.0)</f>
        <v>279260</v>
      </c>
    </row>
    <row r="272">
      <c r="A272" s="2">
        <f>IFERROR(__xludf.DUMMYFUNCTION("""COMPUTED_VALUE"""),45281.64583333333)</f>
        <v>45281.64583</v>
      </c>
      <c r="B272" s="1">
        <f>IFERROR(__xludf.DUMMYFUNCTION("""COMPUTED_VALUE"""),16870.0)</f>
        <v>16870</v>
      </c>
      <c r="C272" s="1">
        <f>IFERROR(__xludf.DUMMYFUNCTION("""COMPUTED_VALUE"""),16940.0)</f>
        <v>16940</v>
      </c>
      <c r="D272" s="1">
        <f>IFERROR(__xludf.DUMMYFUNCTION("""COMPUTED_VALUE"""),16330.0)</f>
        <v>16330</v>
      </c>
      <c r="E272" s="1">
        <f>IFERROR(__xludf.DUMMYFUNCTION("""COMPUTED_VALUE"""),16660.0)</f>
        <v>16660</v>
      </c>
      <c r="F272" s="1">
        <f>IFERROR(__xludf.DUMMYFUNCTION("""COMPUTED_VALUE"""),77024.0)</f>
        <v>77024</v>
      </c>
    </row>
    <row r="273">
      <c r="A273" s="2">
        <f>IFERROR(__xludf.DUMMYFUNCTION("""COMPUTED_VALUE"""),45282.64583333333)</f>
        <v>45282.64583</v>
      </c>
      <c r="B273" s="1">
        <f>IFERROR(__xludf.DUMMYFUNCTION("""COMPUTED_VALUE"""),16810.0)</f>
        <v>16810</v>
      </c>
      <c r="C273" s="1">
        <f>IFERROR(__xludf.DUMMYFUNCTION("""COMPUTED_VALUE"""),17290.0)</f>
        <v>17290</v>
      </c>
      <c r="D273" s="1">
        <f>IFERROR(__xludf.DUMMYFUNCTION("""COMPUTED_VALUE"""),16430.0)</f>
        <v>16430</v>
      </c>
      <c r="E273" s="1">
        <f>IFERROR(__xludf.DUMMYFUNCTION("""COMPUTED_VALUE"""),16600.0)</f>
        <v>16600</v>
      </c>
      <c r="F273" s="1">
        <f>IFERROR(__xludf.DUMMYFUNCTION("""COMPUTED_VALUE"""),105348.0)</f>
        <v>105348</v>
      </c>
    </row>
    <row r="274">
      <c r="A274" s="2">
        <f>IFERROR(__xludf.DUMMYFUNCTION("""COMPUTED_VALUE"""),45286.64583333333)</f>
        <v>45286.64583</v>
      </c>
      <c r="B274" s="1">
        <f>IFERROR(__xludf.DUMMYFUNCTION("""COMPUTED_VALUE"""),16950.0)</f>
        <v>16950</v>
      </c>
      <c r="C274" s="1">
        <f>IFERROR(__xludf.DUMMYFUNCTION("""COMPUTED_VALUE"""),16950.0)</f>
        <v>16950</v>
      </c>
      <c r="D274" s="1">
        <f>IFERROR(__xludf.DUMMYFUNCTION("""COMPUTED_VALUE"""),15720.0)</f>
        <v>15720</v>
      </c>
      <c r="E274" s="1">
        <f>IFERROR(__xludf.DUMMYFUNCTION("""COMPUTED_VALUE"""),15810.0)</f>
        <v>15810</v>
      </c>
      <c r="F274" s="1">
        <f>IFERROR(__xludf.DUMMYFUNCTION("""COMPUTED_VALUE"""),92064.0)</f>
        <v>92064</v>
      </c>
    </row>
    <row r="275">
      <c r="A275" s="2">
        <f>IFERROR(__xludf.DUMMYFUNCTION("""COMPUTED_VALUE"""),45287.64583333333)</f>
        <v>45287.64583</v>
      </c>
      <c r="B275" s="1">
        <f>IFERROR(__xludf.DUMMYFUNCTION("""COMPUTED_VALUE"""),15720.0)</f>
        <v>15720</v>
      </c>
      <c r="C275" s="1">
        <f>IFERROR(__xludf.DUMMYFUNCTION("""COMPUTED_VALUE"""),16300.0)</f>
        <v>16300</v>
      </c>
      <c r="D275" s="1">
        <f>IFERROR(__xludf.DUMMYFUNCTION("""COMPUTED_VALUE"""),15270.0)</f>
        <v>15270</v>
      </c>
      <c r="E275" s="1">
        <f>IFERROR(__xludf.DUMMYFUNCTION("""COMPUTED_VALUE"""),16000.0)</f>
        <v>16000</v>
      </c>
      <c r="F275" s="1">
        <f>IFERROR(__xludf.DUMMYFUNCTION("""COMPUTED_VALUE"""),124419.0)</f>
        <v>124419</v>
      </c>
    </row>
    <row r="276">
      <c r="A276" s="2">
        <f>IFERROR(__xludf.DUMMYFUNCTION("""COMPUTED_VALUE"""),45288.64583333333)</f>
        <v>45288.64583</v>
      </c>
      <c r="B276" s="1">
        <f>IFERROR(__xludf.DUMMYFUNCTION("""COMPUTED_VALUE"""),16000.0)</f>
        <v>16000</v>
      </c>
      <c r="C276" s="1">
        <f>IFERROR(__xludf.DUMMYFUNCTION("""COMPUTED_VALUE"""),16250.0)</f>
        <v>16250</v>
      </c>
      <c r="D276" s="1">
        <f>IFERROR(__xludf.DUMMYFUNCTION("""COMPUTED_VALUE"""),15750.0)</f>
        <v>15750</v>
      </c>
      <c r="E276" s="1">
        <f>IFERROR(__xludf.DUMMYFUNCTION("""COMPUTED_VALUE"""),16160.0)</f>
        <v>16160</v>
      </c>
      <c r="F276" s="1">
        <f>IFERROR(__xludf.DUMMYFUNCTION("""COMPUTED_VALUE"""),55119.0)</f>
        <v>55119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IFERROR(__xludf.DUMMYFUNCTION("GOOGLEFINANCE(""KOSDAQ:046210"", ""all"", DATE(2012,1,1), DATE(2023,12,31),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IFERROR(__xludf.DUMMYFUNCTION("""COMPUTED_VALUE"""),40910.645833333336)</f>
        <v>40910.64583</v>
      </c>
      <c r="B2" s="1">
        <f>IFERROR(__xludf.DUMMYFUNCTION("""COMPUTED_VALUE"""),4180.0)</f>
        <v>4180</v>
      </c>
      <c r="C2" s="1">
        <f>IFERROR(__xludf.DUMMYFUNCTION("""COMPUTED_VALUE"""),4180.0)</f>
        <v>4180</v>
      </c>
      <c r="D2" s="1">
        <f>IFERROR(__xludf.DUMMYFUNCTION("""COMPUTED_VALUE"""),4100.0)</f>
        <v>4100</v>
      </c>
      <c r="E2" s="1">
        <f>IFERROR(__xludf.DUMMYFUNCTION("""COMPUTED_VALUE"""),4120.0)</f>
        <v>4120</v>
      </c>
      <c r="F2" s="1">
        <f>IFERROR(__xludf.DUMMYFUNCTION("""COMPUTED_VALUE"""),18706.0)</f>
        <v>18706</v>
      </c>
    </row>
    <row r="3">
      <c r="A3" s="2">
        <f>IFERROR(__xludf.DUMMYFUNCTION("""COMPUTED_VALUE"""),40911.645833333336)</f>
        <v>40911.64583</v>
      </c>
      <c r="B3" s="1">
        <f>IFERROR(__xludf.DUMMYFUNCTION("""COMPUTED_VALUE"""),4280.0)</f>
        <v>4280</v>
      </c>
      <c r="C3" s="1">
        <f>IFERROR(__xludf.DUMMYFUNCTION("""COMPUTED_VALUE"""),4280.0)</f>
        <v>4280</v>
      </c>
      <c r="D3" s="1">
        <f>IFERROR(__xludf.DUMMYFUNCTION("""COMPUTED_VALUE"""),4120.0)</f>
        <v>4120</v>
      </c>
      <c r="E3" s="1">
        <f>IFERROR(__xludf.DUMMYFUNCTION("""COMPUTED_VALUE"""),4135.0)</f>
        <v>4135</v>
      </c>
      <c r="F3" s="1">
        <f>IFERROR(__xludf.DUMMYFUNCTION("""COMPUTED_VALUE"""),27765.0)</f>
        <v>27765</v>
      </c>
    </row>
    <row r="4">
      <c r="A4" s="2">
        <f>IFERROR(__xludf.DUMMYFUNCTION("""COMPUTED_VALUE"""),40912.645833333336)</f>
        <v>40912.64583</v>
      </c>
      <c r="B4" s="1">
        <f>IFERROR(__xludf.DUMMYFUNCTION("""COMPUTED_VALUE"""),4220.0)</f>
        <v>4220</v>
      </c>
      <c r="C4" s="1">
        <f>IFERROR(__xludf.DUMMYFUNCTION("""COMPUTED_VALUE"""),4410.0)</f>
        <v>4410</v>
      </c>
      <c r="D4" s="1">
        <f>IFERROR(__xludf.DUMMYFUNCTION("""COMPUTED_VALUE"""),4160.0)</f>
        <v>4160</v>
      </c>
      <c r="E4" s="1">
        <f>IFERROR(__xludf.DUMMYFUNCTION("""COMPUTED_VALUE"""),4360.0)</f>
        <v>4360</v>
      </c>
      <c r="F4" s="1">
        <f>IFERROR(__xludf.DUMMYFUNCTION("""COMPUTED_VALUE"""),99851.0)</f>
        <v>99851</v>
      </c>
    </row>
    <row r="5">
      <c r="A5" s="2">
        <f>IFERROR(__xludf.DUMMYFUNCTION("""COMPUTED_VALUE"""),40913.645833333336)</f>
        <v>40913.64583</v>
      </c>
      <c r="B5" s="1">
        <f>IFERROR(__xludf.DUMMYFUNCTION("""COMPUTED_VALUE"""),4440.0)</f>
        <v>4440</v>
      </c>
      <c r="C5" s="1">
        <f>IFERROR(__xludf.DUMMYFUNCTION("""COMPUTED_VALUE"""),4440.0)</f>
        <v>4440</v>
      </c>
      <c r="D5" s="1">
        <f>IFERROR(__xludf.DUMMYFUNCTION("""COMPUTED_VALUE"""),4280.0)</f>
        <v>4280</v>
      </c>
      <c r="E5" s="1">
        <f>IFERROR(__xludf.DUMMYFUNCTION("""COMPUTED_VALUE"""),4305.0)</f>
        <v>4305</v>
      </c>
      <c r="F5" s="1">
        <f>IFERROR(__xludf.DUMMYFUNCTION("""COMPUTED_VALUE"""),30606.0)</f>
        <v>30606</v>
      </c>
    </row>
    <row r="6">
      <c r="A6" s="2">
        <f>IFERROR(__xludf.DUMMYFUNCTION("""COMPUTED_VALUE"""),40914.645833333336)</f>
        <v>40914.64583</v>
      </c>
      <c r="B6" s="1">
        <f>IFERROR(__xludf.DUMMYFUNCTION("""COMPUTED_VALUE"""),4250.0)</f>
        <v>4250</v>
      </c>
      <c r="C6" s="1">
        <f>IFERROR(__xludf.DUMMYFUNCTION("""COMPUTED_VALUE"""),4300.0)</f>
        <v>4300</v>
      </c>
      <c r="D6" s="1">
        <f>IFERROR(__xludf.DUMMYFUNCTION("""COMPUTED_VALUE"""),4150.0)</f>
        <v>4150</v>
      </c>
      <c r="E6" s="1">
        <f>IFERROR(__xludf.DUMMYFUNCTION("""COMPUTED_VALUE"""),4160.0)</f>
        <v>4160</v>
      </c>
      <c r="F6" s="1">
        <f>IFERROR(__xludf.DUMMYFUNCTION("""COMPUTED_VALUE"""),47067.0)</f>
        <v>47067</v>
      </c>
    </row>
    <row r="7">
      <c r="A7" s="2">
        <f>IFERROR(__xludf.DUMMYFUNCTION("""COMPUTED_VALUE"""),40917.645833333336)</f>
        <v>40917.64583</v>
      </c>
      <c r="B7" s="1">
        <f>IFERROR(__xludf.DUMMYFUNCTION("""COMPUTED_VALUE"""),4160.0)</f>
        <v>4160</v>
      </c>
      <c r="C7" s="1">
        <f>IFERROR(__xludf.DUMMYFUNCTION("""COMPUTED_VALUE"""),4270.0)</f>
        <v>4270</v>
      </c>
      <c r="D7" s="1">
        <f>IFERROR(__xludf.DUMMYFUNCTION("""COMPUTED_VALUE"""),4065.0)</f>
        <v>4065</v>
      </c>
      <c r="E7" s="1">
        <f>IFERROR(__xludf.DUMMYFUNCTION("""COMPUTED_VALUE"""),4090.0)</f>
        <v>4090</v>
      </c>
      <c r="F7" s="1">
        <f>IFERROR(__xludf.DUMMYFUNCTION("""COMPUTED_VALUE"""),46668.0)</f>
        <v>46668</v>
      </c>
    </row>
    <row r="8">
      <c r="A8" s="2">
        <f>IFERROR(__xludf.DUMMYFUNCTION("""COMPUTED_VALUE"""),40918.645833333336)</f>
        <v>40918.64583</v>
      </c>
      <c r="B8" s="1">
        <f>IFERROR(__xludf.DUMMYFUNCTION("""COMPUTED_VALUE"""),4090.0)</f>
        <v>4090</v>
      </c>
      <c r="C8" s="1">
        <f>IFERROR(__xludf.DUMMYFUNCTION("""COMPUTED_VALUE"""),4320.0)</f>
        <v>4320</v>
      </c>
      <c r="D8" s="1">
        <f>IFERROR(__xludf.DUMMYFUNCTION("""COMPUTED_VALUE"""),4090.0)</f>
        <v>4090</v>
      </c>
      <c r="E8" s="1">
        <f>IFERROR(__xludf.DUMMYFUNCTION("""COMPUTED_VALUE"""),4270.0)</f>
        <v>4270</v>
      </c>
      <c r="F8" s="1">
        <f>IFERROR(__xludf.DUMMYFUNCTION("""COMPUTED_VALUE"""),54602.0)</f>
        <v>54602</v>
      </c>
    </row>
    <row r="9">
      <c r="A9" s="2">
        <f>IFERROR(__xludf.DUMMYFUNCTION("""COMPUTED_VALUE"""),40919.645833333336)</f>
        <v>40919.64583</v>
      </c>
      <c r="B9" s="1">
        <f>IFERROR(__xludf.DUMMYFUNCTION("""COMPUTED_VALUE"""),4230.0)</f>
        <v>4230</v>
      </c>
      <c r="C9" s="1">
        <f>IFERROR(__xludf.DUMMYFUNCTION("""COMPUTED_VALUE"""),4280.0)</f>
        <v>4280</v>
      </c>
      <c r="D9" s="1">
        <f>IFERROR(__xludf.DUMMYFUNCTION("""COMPUTED_VALUE"""),4140.0)</f>
        <v>4140</v>
      </c>
      <c r="E9" s="1">
        <f>IFERROR(__xludf.DUMMYFUNCTION("""COMPUTED_VALUE"""),4180.0)</f>
        <v>4180</v>
      </c>
      <c r="F9" s="1">
        <f>IFERROR(__xludf.DUMMYFUNCTION("""COMPUTED_VALUE"""),42731.0)</f>
        <v>42731</v>
      </c>
    </row>
    <row r="10">
      <c r="A10" s="2">
        <f>IFERROR(__xludf.DUMMYFUNCTION("""COMPUTED_VALUE"""),40920.645833333336)</f>
        <v>40920.64583</v>
      </c>
      <c r="B10" s="1">
        <f>IFERROR(__xludf.DUMMYFUNCTION("""COMPUTED_VALUE"""),4180.0)</f>
        <v>4180</v>
      </c>
      <c r="C10" s="1">
        <f>IFERROR(__xludf.DUMMYFUNCTION("""COMPUTED_VALUE"""),4270.0)</f>
        <v>4270</v>
      </c>
      <c r="D10" s="1">
        <f>IFERROR(__xludf.DUMMYFUNCTION("""COMPUTED_VALUE"""),4115.0)</f>
        <v>4115</v>
      </c>
      <c r="E10" s="1">
        <f>IFERROR(__xludf.DUMMYFUNCTION("""COMPUTED_VALUE"""),4145.0)</f>
        <v>4145</v>
      </c>
      <c r="F10" s="1">
        <f>IFERROR(__xludf.DUMMYFUNCTION("""COMPUTED_VALUE"""),35460.0)</f>
        <v>35460</v>
      </c>
    </row>
    <row r="11">
      <c r="A11" s="2">
        <f>IFERROR(__xludf.DUMMYFUNCTION("""COMPUTED_VALUE"""),40921.645833333336)</f>
        <v>40921.64583</v>
      </c>
      <c r="B11" s="1">
        <f>IFERROR(__xludf.DUMMYFUNCTION("""COMPUTED_VALUE"""),4075.0)</f>
        <v>4075</v>
      </c>
      <c r="C11" s="1">
        <f>IFERROR(__xludf.DUMMYFUNCTION("""COMPUTED_VALUE"""),4195.0)</f>
        <v>4195</v>
      </c>
      <c r="D11" s="1">
        <f>IFERROR(__xludf.DUMMYFUNCTION("""COMPUTED_VALUE"""),4060.0)</f>
        <v>4060</v>
      </c>
      <c r="E11" s="1">
        <f>IFERROR(__xludf.DUMMYFUNCTION("""COMPUTED_VALUE"""),4085.0)</f>
        <v>4085</v>
      </c>
      <c r="F11" s="1">
        <f>IFERROR(__xludf.DUMMYFUNCTION("""COMPUTED_VALUE"""),56175.0)</f>
        <v>56175</v>
      </c>
    </row>
    <row r="12">
      <c r="A12" s="2">
        <f>IFERROR(__xludf.DUMMYFUNCTION("""COMPUTED_VALUE"""),40924.645833333336)</f>
        <v>40924.64583</v>
      </c>
      <c r="B12" s="1">
        <f>IFERROR(__xludf.DUMMYFUNCTION("""COMPUTED_VALUE"""),4085.0)</f>
        <v>4085</v>
      </c>
      <c r="C12" s="1">
        <f>IFERROR(__xludf.DUMMYFUNCTION("""COMPUTED_VALUE"""),4185.0)</f>
        <v>4185</v>
      </c>
      <c r="D12" s="1">
        <f>IFERROR(__xludf.DUMMYFUNCTION("""COMPUTED_VALUE"""),3980.0)</f>
        <v>3980</v>
      </c>
      <c r="E12" s="1">
        <f>IFERROR(__xludf.DUMMYFUNCTION("""COMPUTED_VALUE"""),4080.0)</f>
        <v>4080</v>
      </c>
      <c r="F12" s="1">
        <f>IFERROR(__xludf.DUMMYFUNCTION("""COMPUTED_VALUE"""),60009.0)</f>
        <v>60009</v>
      </c>
    </row>
    <row r="13">
      <c r="A13" s="2">
        <f>IFERROR(__xludf.DUMMYFUNCTION("""COMPUTED_VALUE"""),40925.645833333336)</f>
        <v>40925.64583</v>
      </c>
      <c r="B13" s="1">
        <f>IFERROR(__xludf.DUMMYFUNCTION("""COMPUTED_VALUE"""),4080.0)</f>
        <v>4080</v>
      </c>
      <c r="C13" s="1">
        <f>IFERROR(__xludf.DUMMYFUNCTION("""COMPUTED_VALUE"""),4190.0)</f>
        <v>4190</v>
      </c>
      <c r="D13" s="1">
        <f>IFERROR(__xludf.DUMMYFUNCTION("""COMPUTED_VALUE"""),4020.0)</f>
        <v>4020</v>
      </c>
      <c r="E13" s="1">
        <f>IFERROR(__xludf.DUMMYFUNCTION("""COMPUTED_VALUE"""),4050.0)</f>
        <v>4050</v>
      </c>
      <c r="F13" s="1">
        <f>IFERROR(__xludf.DUMMYFUNCTION("""COMPUTED_VALUE"""),30598.0)</f>
        <v>30598</v>
      </c>
    </row>
    <row r="14">
      <c r="A14" s="2">
        <f>IFERROR(__xludf.DUMMYFUNCTION("""COMPUTED_VALUE"""),40926.645833333336)</f>
        <v>40926.64583</v>
      </c>
      <c r="B14" s="1">
        <f>IFERROR(__xludf.DUMMYFUNCTION("""COMPUTED_VALUE"""),4145.0)</f>
        <v>4145</v>
      </c>
      <c r="C14" s="1">
        <f>IFERROR(__xludf.DUMMYFUNCTION("""COMPUTED_VALUE"""),4145.0)</f>
        <v>4145</v>
      </c>
      <c r="D14" s="1">
        <f>IFERROR(__xludf.DUMMYFUNCTION("""COMPUTED_VALUE"""),4005.0)</f>
        <v>4005</v>
      </c>
      <c r="E14" s="1">
        <f>IFERROR(__xludf.DUMMYFUNCTION("""COMPUTED_VALUE"""),4020.0)</f>
        <v>4020</v>
      </c>
      <c r="F14" s="1">
        <f>IFERROR(__xludf.DUMMYFUNCTION("""COMPUTED_VALUE"""),39625.0)</f>
        <v>39625</v>
      </c>
    </row>
    <row r="15">
      <c r="A15" s="2">
        <f>IFERROR(__xludf.DUMMYFUNCTION("""COMPUTED_VALUE"""),40927.645833333336)</f>
        <v>40927.64583</v>
      </c>
      <c r="B15" s="1">
        <f>IFERROR(__xludf.DUMMYFUNCTION("""COMPUTED_VALUE"""),4040.0)</f>
        <v>4040</v>
      </c>
      <c r="C15" s="1">
        <f>IFERROR(__xludf.DUMMYFUNCTION("""COMPUTED_VALUE"""),4100.0)</f>
        <v>4100</v>
      </c>
      <c r="D15" s="1">
        <f>IFERROR(__xludf.DUMMYFUNCTION("""COMPUTED_VALUE"""),3965.0)</f>
        <v>3965</v>
      </c>
      <c r="E15" s="1">
        <f>IFERROR(__xludf.DUMMYFUNCTION("""COMPUTED_VALUE"""),4050.0)</f>
        <v>4050</v>
      </c>
      <c r="F15" s="1">
        <f>IFERROR(__xludf.DUMMYFUNCTION("""COMPUTED_VALUE"""),42738.0)</f>
        <v>42738</v>
      </c>
    </row>
    <row r="16">
      <c r="A16" s="2">
        <f>IFERROR(__xludf.DUMMYFUNCTION("""COMPUTED_VALUE"""),40928.645833333336)</f>
        <v>40928.64583</v>
      </c>
      <c r="B16" s="1">
        <f>IFERROR(__xludf.DUMMYFUNCTION("""COMPUTED_VALUE"""),3950.0)</f>
        <v>3950</v>
      </c>
      <c r="C16" s="1">
        <f>IFERROR(__xludf.DUMMYFUNCTION("""COMPUTED_VALUE"""),4100.0)</f>
        <v>4100</v>
      </c>
      <c r="D16" s="1">
        <f>IFERROR(__xludf.DUMMYFUNCTION("""COMPUTED_VALUE"""),3950.0)</f>
        <v>3950</v>
      </c>
      <c r="E16" s="1">
        <f>IFERROR(__xludf.DUMMYFUNCTION("""COMPUTED_VALUE"""),4030.0)</f>
        <v>4030</v>
      </c>
      <c r="F16" s="1">
        <f>IFERROR(__xludf.DUMMYFUNCTION("""COMPUTED_VALUE"""),44439.0)</f>
        <v>44439</v>
      </c>
    </row>
    <row r="17">
      <c r="A17" s="2">
        <f>IFERROR(__xludf.DUMMYFUNCTION("""COMPUTED_VALUE"""),40933.645833333336)</f>
        <v>40933.64583</v>
      </c>
      <c r="B17" s="1">
        <f>IFERROR(__xludf.DUMMYFUNCTION("""COMPUTED_VALUE"""),3445.0)</f>
        <v>3445</v>
      </c>
      <c r="C17" s="1">
        <f>IFERROR(__xludf.DUMMYFUNCTION("""COMPUTED_VALUE"""),4030.0)</f>
        <v>4030</v>
      </c>
      <c r="D17" s="1">
        <f>IFERROR(__xludf.DUMMYFUNCTION("""COMPUTED_VALUE"""),3445.0)</f>
        <v>3445</v>
      </c>
      <c r="E17" s="1">
        <f>IFERROR(__xludf.DUMMYFUNCTION("""COMPUTED_VALUE"""),3950.0)</f>
        <v>3950</v>
      </c>
      <c r="F17" s="1">
        <f>IFERROR(__xludf.DUMMYFUNCTION("""COMPUTED_VALUE"""),51074.0)</f>
        <v>51074</v>
      </c>
    </row>
    <row r="18">
      <c r="A18" s="2">
        <f>IFERROR(__xludf.DUMMYFUNCTION("""COMPUTED_VALUE"""),40934.645833333336)</f>
        <v>40934.64583</v>
      </c>
      <c r="B18" s="1">
        <f>IFERROR(__xludf.DUMMYFUNCTION("""COMPUTED_VALUE"""),4000.0)</f>
        <v>4000</v>
      </c>
      <c r="C18" s="1">
        <f>IFERROR(__xludf.DUMMYFUNCTION("""COMPUTED_VALUE"""),4000.0)</f>
        <v>4000</v>
      </c>
      <c r="D18" s="1">
        <f>IFERROR(__xludf.DUMMYFUNCTION("""COMPUTED_VALUE"""),3900.0)</f>
        <v>3900</v>
      </c>
      <c r="E18" s="1">
        <f>IFERROR(__xludf.DUMMYFUNCTION("""COMPUTED_VALUE"""),3925.0)</f>
        <v>3925</v>
      </c>
      <c r="F18" s="1">
        <f>IFERROR(__xludf.DUMMYFUNCTION("""COMPUTED_VALUE"""),47883.0)</f>
        <v>47883</v>
      </c>
    </row>
    <row r="19">
      <c r="A19" s="2">
        <f>IFERROR(__xludf.DUMMYFUNCTION("""COMPUTED_VALUE"""),40935.645833333336)</f>
        <v>40935.64583</v>
      </c>
      <c r="B19" s="1">
        <f>IFERROR(__xludf.DUMMYFUNCTION("""COMPUTED_VALUE"""),3980.0)</f>
        <v>3980</v>
      </c>
      <c r="C19" s="1">
        <f>IFERROR(__xludf.DUMMYFUNCTION("""COMPUTED_VALUE"""),3980.0)</f>
        <v>3980</v>
      </c>
      <c r="D19" s="1">
        <f>IFERROR(__xludf.DUMMYFUNCTION("""COMPUTED_VALUE"""),3875.0)</f>
        <v>3875</v>
      </c>
      <c r="E19" s="1">
        <f>IFERROR(__xludf.DUMMYFUNCTION("""COMPUTED_VALUE"""),3900.0)</f>
        <v>3900</v>
      </c>
      <c r="F19" s="1">
        <f>IFERROR(__xludf.DUMMYFUNCTION("""COMPUTED_VALUE"""),55635.0)</f>
        <v>55635</v>
      </c>
    </row>
    <row r="20">
      <c r="A20" s="2">
        <f>IFERROR(__xludf.DUMMYFUNCTION("""COMPUTED_VALUE"""),40938.645833333336)</f>
        <v>40938.64583</v>
      </c>
      <c r="B20" s="1">
        <f>IFERROR(__xludf.DUMMYFUNCTION("""COMPUTED_VALUE"""),3865.0)</f>
        <v>3865</v>
      </c>
      <c r="C20" s="1">
        <f>IFERROR(__xludf.DUMMYFUNCTION("""COMPUTED_VALUE"""),4050.0)</f>
        <v>4050</v>
      </c>
      <c r="D20" s="1">
        <f>IFERROR(__xludf.DUMMYFUNCTION("""COMPUTED_VALUE"""),3865.0)</f>
        <v>3865</v>
      </c>
      <c r="E20" s="1">
        <f>IFERROR(__xludf.DUMMYFUNCTION("""COMPUTED_VALUE"""),4000.0)</f>
        <v>4000</v>
      </c>
      <c r="F20" s="1">
        <f>IFERROR(__xludf.DUMMYFUNCTION("""COMPUTED_VALUE"""),39058.0)</f>
        <v>39058</v>
      </c>
    </row>
    <row r="21">
      <c r="A21" s="2">
        <f>IFERROR(__xludf.DUMMYFUNCTION("""COMPUTED_VALUE"""),40939.645833333336)</f>
        <v>40939.64583</v>
      </c>
      <c r="B21" s="1">
        <f>IFERROR(__xludf.DUMMYFUNCTION("""COMPUTED_VALUE"""),4100.0)</f>
        <v>4100</v>
      </c>
      <c r="C21" s="1">
        <f>IFERROR(__xludf.DUMMYFUNCTION("""COMPUTED_VALUE"""),4235.0)</f>
        <v>4235</v>
      </c>
      <c r="D21" s="1">
        <f>IFERROR(__xludf.DUMMYFUNCTION("""COMPUTED_VALUE"""),4005.0)</f>
        <v>4005</v>
      </c>
      <c r="E21" s="1">
        <f>IFERROR(__xludf.DUMMYFUNCTION("""COMPUTED_VALUE"""),4220.0)</f>
        <v>4220</v>
      </c>
      <c r="F21" s="1">
        <f>IFERROR(__xludf.DUMMYFUNCTION("""COMPUTED_VALUE"""),60450.0)</f>
        <v>60450</v>
      </c>
    </row>
    <row r="22">
      <c r="A22" s="2">
        <f>IFERROR(__xludf.DUMMYFUNCTION("""COMPUTED_VALUE"""),40940.645833333336)</f>
        <v>40940.64583</v>
      </c>
      <c r="B22" s="1">
        <f>IFERROR(__xludf.DUMMYFUNCTION("""COMPUTED_VALUE"""),4230.0)</f>
        <v>4230</v>
      </c>
      <c r="C22" s="1">
        <f>IFERROR(__xludf.DUMMYFUNCTION("""COMPUTED_VALUE"""),4420.0)</f>
        <v>4420</v>
      </c>
      <c r="D22" s="1">
        <f>IFERROR(__xludf.DUMMYFUNCTION("""COMPUTED_VALUE"""),4230.0)</f>
        <v>4230</v>
      </c>
      <c r="E22" s="1">
        <f>IFERROR(__xludf.DUMMYFUNCTION("""COMPUTED_VALUE"""),4380.0)</f>
        <v>4380</v>
      </c>
      <c r="F22" s="1">
        <f>IFERROR(__xludf.DUMMYFUNCTION("""COMPUTED_VALUE"""),78521.0)</f>
        <v>78521</v>
      </c>
    </row>
    <row r="23">
      <c r="A23" s="2">
        <f>IFERROR(__xludf.DUMMYFUNCTION("""COMPUTED_VALUE"""),40941.645833333336)</f>
        <v>40941.64583</v>
      </c>
      <c r="B23" s="1">
        <f>IFERROR(__xludf.DUMMYFUNCTION("""COMPUTED_VALUE"""),4430.0)</f>
        <v>4430</v>
      </c>
      <c r="C23" s="1">
        <f>IFERROR(__xludf.DUMMYFUNCTION("""COMPUTED_VALUE"""),4430.0)</f>
        <v>4430</v>
      </c>
      <c r="D23" s="1">
        <f>IFERROR(__xludf.DUMMYFUNCTION("""COMPUTED_VALUE"""),4325.0)</f>
        <v>4325</v>
      </c>
      <c r="E23" s="1">
        <f>IFERROR(__xludf.DUMMYFUNCTION("""COMPUTED_VALUE"""),4380.0)</f>
        <v>4380</v>
      </c>
      <c r="F23" s="1">
        <f>IFERROR(__xludf.DUMMYFUNCTION("""COMPUTED_VALUE"""),47732.0)</f>
        <v>47732</v>
      </c>
    </row>
    <row r="24">
      <c r="A24" s="2">
        <f>IFERROR(__xludf.DUMMYFUNCTION("""COMPUTED_VALUE"""),40942.645833333336)</f>
        <v>40942.64583</v>
      </c>
      <c r="B24" s="1">
        <f>IFERROR(__xludf.DUMMYFUNCTION("""COMPUTED_VALUE"""),4430.0)</f>
        <v>4430</v>
      </c>
      <c r="C24" s="1">
        <f>IFERROR(__xludf.DUMMYFUNCTION("""COMPUTED_VALUE"""),4430.0)</f>
        <v>4430</v>
      </c>
      <c r="D24" s="1">
        <f>IFERROR(__xludf.DUMMYFUNCTION("""COMPUTED_VALUE"""),4240.0)</f>
        <v>4240</v>
      </c>
      <c r="E24" s="1">
        <f>IFERROR(__xludf.DUMMYFUNCTION("""COMPUTED_VALUE"""),4380.0)</f>
        <v>4380</v>
      </c>
      <c r="F24" s="1">
        <f>IFERROR(__xludf.DUMMYFUNCTION("""COMPUTED_VALUE"""),37862.0)</f>
        <v>37862</v>
      </c>
    </row>
    <row r="25">
      <c r="A25" s="2">
        <f>IFERROR(__xludf.DUMMYFUNCTION("""COMPUTED_VALUE"""),40945.645833333336)</f>
        <v>40945.64583</v>
      </c>
      <c r="B25" s="1">
        <f>IFERROR(__xludf.DUMMYFUNCTION("""COMPUTED_VALUE"""),4380.0)</f>
        <v>4380</v>
      </c>
      <c r="C25" s="1">
        <f>IFERROR(__xludf.DUMMYFUNCTION("""COMPUTED_VALUE"""),4450.0)</f>
        <v>4450</v>
      </c>
      <c r="D25" s="1">
        <f>IFERROR(__xludf.DUMMYFUNCTION("""COMPUTED_VALUE"""),4290.0)</f>
        <v>4290</v>
      </c>
      <c r="E25" s="1">
        <f>IFERROR(__xludf.DUMMYFUNCTION("""COMPUTED_VALUE"""),4340.0)</f>
        <v>4340</v>
      </c>
      <c r="F25" s="1">
        <f>IFERROR(__xludf.DUMMYFUNCTION("""COMPUTED_VALUE"""),38008.0)</f>
        <v>38008</v>
      </c>
    </row>
    <row r="26">
      <c r="A26" s="2">
        <f>IFERROR(__xludf.DUMMYFUNCTION("""COMPUTED_VALUE"""),40946.645833333336)</f>
        <v>40946.64583</v>
      </c>
      <c r="B26" s="1">
        <f>IFERROR(__xludf.DUMMYFUNCTION("""COMPUTED_VALUE"""),4340.0)</f>
        <v>4340</v>
      </c>
      <c r="C26" s="1">
        <f>IFERROR(__xludf.DUMMYFUNCTION("""COMPUTED_VALUE"""),4340.0)</f>
        <v>4340</v>
      </c>
      <c r="D26" s="1">
        <f>IFERROR(__xludf.DUMMYFUNCTION("""COMPUTED_VALUE"""),4150.0)</f>
        <v>4150</v>
      </c>
      <c r="E26" s="1">
        <f>IFERROR(__xludf.DUMMYFUNCTION("""COMPUTED_VALUE"""),4200.0)</f>
        <v>4200</v>
      </c>
      <c r="F26" s="1">
        <f>IFERROR(__xludf.DUMMYFUNCTION("""COMPUTED_VALUE"""),33339.0)</f>
        <v>33339</v>
      </c>
    </row>
    <row r="27">
      <c r="A27" s="2">
        <f>IFERROR(__xludf.DUMMYFUNCTION("""COMPUTED_VALUE"""),40947.645833333336)</f>
        <v>40947.64583</v>
      </c>
      <c r="B27" s="1">
        <f>IFERROR(__xludf.DUMMYFUNCTION("""COMPUTED_VALUE"""),4200.0)</f>
        <v>4200</v>
      </c>
      <c r="C27" s="1">
        <f>IFERROR(__xludf.DUMMYFUNCTION("""COMPUTED_VALUE"""),4400.0)</f>
        <v>4400</v>
      </c>
      <c r="D27" s="1">
        <f>IFERROR(__xludf.DUMMYFUNCTION("""COMPUTED_VALUE"""),4140.0)</f>
        <v>4140</v>
      </c>
      <c r="E27" s="1">
        <f>IFERROR(__xludf.DUMMYFUNCTION("""COMPUTED_VALUE"""),4255.0)</f>
        <v>4255</v>
      </c>
      <c r="F27" s="1">
        <f>IFERROR(__xludf.DUMMYFUNCTION("""COMPUTED_VALUE"""),192750.0)</f>
        <v>192750</v>
      </c>
    </row>
    <row r="28">
      <c r="A28" s="2">
        <f>IFERROR(__xludf.DUMMYFUNCTION("""COMPUTED_VALUE"""),40948.645833333336)</f>
        <v>40948.64583</v>
      </c>
      <c r="B28" s="1">
        <f>IFERROR(__xludf.DUMMYFUNCTION("""COMPUTED_VALUE"""),4270.0)</f>
        <v>4270</v>
      </c>
      <c r="C28" s="1">
        <f>IFERROR(__xludf.DUMMYFUNCTION("""COMPUTED_VALUE"""),4300.0)</f>
        <v>4300</v>
      </c>
      <c r="D28" s="1">
        <f>IFERROR(__xludf.DUMMYFUNCTION("""COMPUTED_VALUE"""),4180.0)</f>
        <v>4180</v>
      </c>
      <c r="E28" s="1">
        <f>IFERROR(__xludf.DUMMYFUNCTION("""COMPUTED_VALUE"""),4225.0)</f>
        <v>4225</v>
      </c>
      <c r="F28" s="1">
        <f>IFERROR(__xludf.DUMMYFUNCTION("""COMPUTED_VALUE"""),60384.0)</f>
        <v>60384</v>
      </c>
    </row>
    <row r="29">
      <c r="A29" s="2">
        <f>IFERROR(__xludf.DUMMYFUNCTION("""COMPUTED_VALUE"""),40949.645833333336)</f>
        <v>40949.64583</v>
      </c>
      <c r="B29" s="1">
        <f>IFERROR(__xludf.DUMMYFUNCTION("""COMPUTED_VALUE"""),4230.0)</f>
        <v>4230</v>
      </c>
      <c r="C29" s="1">
        <f>IFERROR(__xludf.DUMMYFUNCTION("""COMPUTED_VALUE"""),4540.0)</f>
        <v>4540</v>
      </c>
      <c r="D29" s="1">
        <f>IFERROR(__xludf.DUMMYFUNCTION("""COMPUTED_VALUE"""),4205.0)</f>
        <v>4205</v>
      </c>
      <c r="E29" s="1">
        <f>IFERROR(__xludf.DUMMYFUNCTION("""COMPUTED_VALUE"""),4335.0)</f>
        <v>4335</v>
      </c>
      <c r="F29" s="1">
        <f>IFERROR(__xludf.DUMMYFUNCTION("""COMPUTED_VALUE"""),168275.0)</f>
        <v>168275</v>
      </c>
    </row>
    <row r="30">
      <c r="A30" s="2">
        <f>IFERROR(__xludf.DUMMYFUNCTION("""COMPUTED_VALUE"""),40952.645833333336)</f>
        <v>40952.64583</v>
      </c>
      <c r="B30" s="1">
        <f>IFERROR(__xludf.DUMMYFUNCTION("""COMPUTED_VALUE"""),4385.0)</f>
        <v>4385</v>
      </c>
      <c r="C30" s="1">
        <f>IFERROR(__xludf.DUMMYFUNCTION("""COMPUTED_VALUE"""),4740.0)</f>
        <v>4740</v>
      </c>
      <c r="D30" s="1">
        <f>IFERROR(__xludf.DUMMYFUNCTION("""COMPUTED_VALUE"""),4360.0)</f>
        <v>4360</v>
      </c>
      <c r="E30" s="1">
        <f>IFERROR(__xludf.DUMMYFUNCTION("""COMPUTED_VALUE"""),4600.0)</f>
        <v>4600</v>
      </c>
      <c r="F30" s="1">
        <f>IFERROR(__xludf.DUMMYFUNCTION("""COMPUTED_VALUE"""),213727.0)</f>
        <v>213727</v>
      </c>
    </row>
    <row r="31">
      <c r="A31" s="2">
        <f>IFERROR(__xludf.DUMMYFUNCTION("""COMPUTED_VALUE"""),40953.645833333336)</f>
        <v>40953.64583</v>
      </c>
      <c r="B31" s="1">
        <f>IFERROR(__xludf.DUMMYFUNCTION("""COMPUTED_VALUE"""),4600.0)</f>
        <v>4600</v>
      </c>
      <c r="C31" s="1">
        <f>IFERROR(__xludf.DUMMYFUNCTION("""COMPUTED_VALUE"""),4610.0)</f>
        <v>4610</v>
      </c>
      <c r="D31" s="1">
        <f>IFERROR(__xludf.DUMMYFUNCTION("""COMPUTED_VALUE"""),4400.0)</f>
        <v>4400</v>
      </c>
      <c r="E31" s="1">
        <f>IFERROR(__xludf.DUMMYFUNCTION("""COMPUTED_VALUE"""),4415.0)</f>
        <v>4415</v>
      </c>
      <c r="F31" s="1">
        <f>IFERROR(__xludf.DUMMYFUNCTION("""COMPUTED_VALUE"""),90970.0)</f>
        <v>90970</v>
      </c>
    </row>
    <row r="32">
      <c r="A32" s="2">
        <f>IFERROR(__xludf.DUMMYFUNCTION("""COMPUTED_VALUE"""),40954.645833333336)</f>
        <v>40954.64583</v>
      </c>
      <c r="B32" s="1">
        <f>IFERROR(__xludf.DUMMYFUNCTION("""COMPUTED_VALUE"""),4420.0)</f>
        <v>4420</v>
      </c>
      <c r="C32" s="1">
        <f>IFERROR(__xludf.DUMMYFUNCTION("""COMPUTED_VALUE"""),4470.0)</f>
        <v>4470</v>
      </c>
      <c r="D32" s="1">
        <f>IFERROR(__xludf.DUMMYFUNCTION("""COMPUTED_VALUE"""),4250.0)</f>
        <v>4250</v>
      </c>
      <c r="E32" s="1">
        <f>IFERROR(__xludf.DUMMYFUNCTION("""COMPUTED_VALUE"""),4280.0)</f>
        <v>4280</v>
      </c>
      <c r="F32" s="1">
        <f>IFERROR(__xludf.DUMMYFUNCTION("""COMPUTED_VALUE"""),92105.0)</f>
        <v>92105</v>
      </c>
    </row>
    <row r="33">
      <c r="A33" s="2">
        <f>IFERROR(__xludf.DUMMYFUNCTION("""COMPUTED_VALUE"""),40955.645833333336)</f>
        <v>40955.64583</v>
      </c>
      <c r="B33" s="1">
        <f>IFERROR(__xludf.DUMMYFUNCTION("""COMPUTED_VALUE"""),4310.0)</f>
        <v>4310</v>
      </c>
      <c r="C33" s="1">
        <f>IFERROR(__xludf.DUMMYFUNCTION("""COMPUTED_VALUE"""),4410.0)</f>
        <v>4410</v>
      </c>
      <c r="D33" s="1">
        <f>IFERROR(__xludf.DUMMYFUNCTION("""COMPUTED_VALUE"""),4200.0)</f>
        <v>4200</v>
      </c>
      <c r="E33" s="1">
        <f>IFERROR(__xludf.DUMMYFUNCTION("""COMPUTED_VALUE"""),4410.0)</f>
        <v>4410</v>
      </c>
      <c r="F33" s="1">
        <f>IFERROR(__xludf.DUMMYFUNCTION("""COMPUTED_VALUE"""),50574.0)</f>
        <v>50574</v>
      </c>
    </row>
    <row r="34">
      <c r="A34" s="2">
        <f>IFERROR(__xludf.DUMMYFUNCTION("""COMPUTED_VALUE"""),40956.645833333336)</f>
        <v>40956.64583</v>
      </c>
      <c r="B34" s="1">
        <f>IFERROR(__xludf.DUMMYFUNCTION("""COMPUTED_VALUE"""),4420.0)</f>
        <v>4420</v>
      </c>
      <c r="C34" s="1">
        <f>IFERROR(__xludf.DUMMYFUNCTION("""COMPUTED_VALUE"""),4420.0)</f>
        <v>4420</v>
      </c>
      <c r="D34" s="1">
        <f>IFERROR(__xludf.DUMMYFUNCTION("""COMPUTED_VALUE"""),4300.0)</f>
        <v>4300</v>
      </c>
      <c r="E34" s="1">
        <f>IFERROR(__xludf.DUMMYFUNCTION("""COMPUTED_VALUE"""),4300.0)</f>
        <v>4300</v>
      </c>
      <c r="F34" s="1">
        <f>IFERROR(__xludf.DUMMYFUNCTION("""COMPUTED_VALUE"""),33779.0)</f>
        <v>33779</v>
      </c>
    </row>
    <row r="35">
      <c r="A35" s="2">
        <f>IFERROR(__xludf.DUMMYFUNCTION("""COMPUTED_VALUE"""),40959.645833333336)</f>
        <v>40959.64583</v>
      </c>
      <c r="B35" s="1">
        <f>IFERROR(__xludf.DUMMYFUNCTION("""COMPUTED_VALUE"""),4320.0)</f>
        <v>4320</v>
      </c>
      <c r="C35" s="1">
        <f>IFERROR(__xludf.DUMMYFUNCTION("""COMPUTED_VALUE"""),4320.0)</f>
        <v>4320</v>
      </c>
      <c r="D35" s="1">
        <f>IFERROR(__xludf.DUMMYFUNCTION("""COMPUTED_VALUE"""),4065.0)</f>
        <v>4065</v>
      </c>
      <c r="E35" s="1">
        <f>IFERROR(__xludf.DUMMYFUNCTION("""COMPUTED_VALUE"""),4175.0)</f>
        <v>4175</v>
      </c>
      <c r="F35" s="1">
        <f>IFERROR(__xludf.DUMMYFUNCTION("""COMPUTED_VALUE"""),134028.0)</f>
        <v>134028</v>
      </c>
    </row>
    <row r="36">
      <c r="A36" s="2">
        <f>IFERROR(__xludf.DUMMYFUNCTION("""COMPUTED_VALUE"""),40960.645833333336)</f>
        <v>40960.64583</v>
      </c>
      <c r="B36" s="1">
        <f>IFERROR(__xludf.DUMMYFUNCTION("""COMPUTED_VALUE"""),4130.0)</f>
        <v>4130</v>
      </c>
      <c r="C36" s="1">
        <f>IFERROR(__xludf.DUMMYFUNCTION("""COMPUTED_VALUE"""),4185.0)</f>
        <v>4185</v>
      </c>
      <c r="D36" s="1">
        <f>IFERROR(__xludf.DUMMYFUNCTION("""COMPUTED_VALUE"""),4080.0)</f>
        <v>4080</v>
      </c>
      <c r="E36" s="1">
        <f>IFERROR(__xludf.DUMMYFUNCTION("""COMPUTED_VALUE"""),4090.0)</f>
        <v>4090</v>
      </c>
      <c r="F36" s="1">
        <f>IFERROR(__xludf.DUMMYFUNCTION("""COMPUTED_VALUE"""),47265.0)</f>
        <v>47265</v>
      </c>
    </row>
    <row r="37">
      <c r="A37" s="2">
        <f>IFERROR(__xludf.DUMMYFUNCTION("""COMPUTED_VALUE"""),40961.645833333336)</f>
        <v>40961.64583</v>
      </c>
      <c r="B37" s="1">
        <f>IFERROR(__xludf.DUMMYFUNCTION("""COMPUTED_VALUE"""),4050.0)</f>
        <v>4050</v>
      </c>
      <c r="C37" s="1">
        <f>IFERROR(__xludf.DUMMYFUNCTION("""COMPUTED_VALUE"""),4100.0)</f>
        <v>4100</v>
      </c>
      <c r="D37" s="1">
        <f>IFERROR(__xludf.DUMMYFUNCTION("""COMPUTED_VALUE"""),3980.0)</f>
        <v>3980</v>
      </c>
      <c r="E37" s="1">
        <f>IFERROR(__xludf.DUMMYFUNCTION("""COMPUTED_VALUE"""),3985.0)</f>
        <v>3985</v>
      </c>
      <c r="F37" s="1">
        <f>IFERROR(__xludf.DUMMYFUNCTION("""COMPUTED_VALUE"""),140447.0)</f>
        <v>140447</v>
      </c>
    </row>
    <row r="38">
      <c r="A38" s="2">
        <f>IFERROR(__xludf.DUMMYFUNCTION("""COMPUTED_VALUE"""),40962.645833333336)</f>
        <v>40962.64583</v>
      </c>
      <c r="B38" s="1">
        <f>IFERROR(__xludf.DUMMYFUNCTION("""COMPUTED_VALUE"""),4030.0)</f>
        <v>4030</v>
      </c>
      <c r="C38" s="1">
        <f>IFERROR(__xludf.DUMMYFUNCTION("""COMPUTED_VALUE"""),4190.0)</f>
        <v>4190</v>
      </c>
      <c r="D38" s="1">
        <f>IFERROR(__xludf.DUMMYFUNCTION("""COMPUTED_VALUE"""),4030.0)</f>
        <v>4030</v>
      </c>
      <c r="E38" s="1">
        <f>IFERROR(__xludf.DUMMYFUNCTION("""COMPUTED_VALUE"""),4150.0)</f>
        <v>4150</v>
      </c>
      <c r="F38" s="1">
        <f>IFERROR(__xludf.DUMMYFUNCTION("""COMPUTED_VALUE"""),74536.0)</f>
        <v>74536</v>
      </c>
    </row>
    <row r="39">
      <c r="A39" s="2">
        <f>IFERROR(__xludf.DUMMYFUNCTION("""COMPUTED_VALUE"""),40963.645833333336)</f>
        <v>40963.64583</v>
      </c>
      <c r="B39" s="1">
        <f>IFERROR(__xludf.DUMMYFUNCTION("""COMPUTED_VALUE"""),4190.0)</f>
        <v>4190</v>
      </c>
      <c r="C39" s="1">
        <f>IFERROR(__xludf.DUMMYFUNCTION("""COMPUTED_VALUE"""),4195.0)</f>
        <v>4195</v>
      </c>
      <c r="D39" s="1">
        <f>IFERROR(__xludf.DUMMYFUNCTION("""COMPUTED_VALUE"""),4005.0)</f>
        <v>4005</v>
      </c>
      <c r="E39" s="1">
        <f>IFERROR(__xludf.DUMMYFUNCTION("""COMPUTED_VALUE"""),4005.0)</f>
        <v>4005</v>
      </c>
      <c r="F39" s="1">
        <f>IFERROR(__xludf.DUMMYFUNCTION("""COMPUTED_VALUE"""),27860.0)</f>
        <v>27860</v>
      </c>
    </row>
    <row r="40">
      <c r="A40" s="2">
        <f>IFERROR(__xludf.DUMMYFUNCTION("""COMPUTED_VALUE"""),40966.645833333336)</f>
        <v>40966.64583</v>
      </c>
      <c r="B40" s="1">
        <f>IFERROR(__xludf.DUMMYFUNCTION("""COMPUTED_VALUE"""),4070.0)</f>
        <v>4070</v>
      </c>
      <c r="C40" s="1">
        <f>IFERROR(__xludf.DUMMYFUNCTION("""COMPUTED_VALUE"""),4070.0)</f>
        <v>4070</v>
      </c>
      <c r="D40" s="1">
        <f>IFERROR(__xludf.DUMMYFUNCTION("""COMPUTED_VALUE"""),3850.0)</f>
        <v>3850</v>
      </c>
      <c r="E40" s="1">
        <f>IFERROR(__xludf.DUMMYFUNCTION("""COMPUTED_VALUE"""),3850.0)</f>
        <v>3850</v>
      </c>
      <c r="F40" s="1">
        <f>IFERROR(__xludf.DUMMYFUNCTION("""COMPUTED_VALUE"""),71937.0)</f>
        <v>71937</v>
      </c>
    </row>
    <row r="41">
      <c r="A41" s="2">
        <f>IFERROR(__xludf.DUMMYFUNCTION("""COMPUTED_VALUE"""),40967.645833333336)</f>
        <v>40967.64583</v>
      </c>
      <c r="B41" s="1">
        <f>IFERROR(__xludf.DUMMYFUNCTION("""COMPUTED_VALUE"""),3275.0)</f>
        <v>3275</v>
      </c>
      <c r="C41" s="1">
        <f>IFERROR(__xludf.DUMMYFUNCTION("""COMPUTED_VALUE"""),3275.0)</f>
        <v>3275</v>
      </c>
      <c r="D41" s="1">
        <f>IFERROR(__xludf.DUMMYFUNCTION("""COMPUTED_VALUE"""),3275.0)</f>
        <v>3275</v>
      </c>
      <c r="E41" s="1">
        <f>IFERROR(__xludf.DUMMYFUNCTION("""COMPUTED_VALUE"""),3275.0)</f>
        <v>3275</v>
      </c>
      <c r="F41" s="1">
        <f>IFERROR(__xludf.DUMMYFUNCTION("""COMPUTED_VALUE"""),163393.0)</f>
        <v>163393</v>
      </c>
    </row>
    <row r="42">
      <c r="A42" s="2">
        <f>IFERROR(__xludf.DUMMYFUNCTION("""COMPUTED_VALUE"""),40968.645833333336)</f>
        <v>40968.64583</v>
      </c>
      <c r="B42" s="1">
        <f>IFERROR(__xludf.DUMMYFUNCTION("""COMPUTED_VALUE"""),2785.0)</f>
        <v>2785</v>
      </c>
      <c r="C42" s="1">
        <f>IFERROR(__xludf.DUMMYFUNCTION("""COMPUTED_VALUE"""),3200.0)</f>
        <v>3200</v>
      </c>
      <c r="D42" s="1">
        <f>IFERROR(__xludf.DUMMYFUNCTION("""COMPUTED_VALUE"""),2785.0)</f>
        <v>2785</v>
      </c>
      <c r="E42" s="1">
        <f>IFERROR(__xludf.DUMMYFUNCTION("""COMPUTED_VALUE"""),2890.0)</f>
        <v>2890</v>
      </c>
      <c r="F42" s="1">
        <f>IFERROR(__xludf.DUMMYFUNCTION("""COMPUTED_VALUE"""),1382558.0)</f>
        <v>1382558</v>
      </c>
    </row>
    <row r="43">
      <c r="A43" s="2">
        <f>IFERROR(__xludf.DUMMYFUNCTION("""COMPUTED_VALUE"""),40970.645833333336)</f>
        <v>40970.64583</v>
      </c>
      <c r="B43" s="1">
        <f>IFERROR(__xludf.DUMMYFUNCTION("""COMPUTED_VALUE"""),2930.0)</f>
        <v>2930</v>
      </c>
      <c r="C43" s="1">
        <f>IFERROR(__xludf.DUMMYFUNCTION("""COMPUTED_VALUE"""),3300.0)</f>
        <v>3300</v>
      </c>
      <c r="D43" s="1">
        <f>IFERROR(__xludf.DUMMYFUNCTION("""COMPUTED_VALUE"""),2930.0)</f>
        <v>2930</v>
      </c>
      <c r="E43" s="1">
        <f>IFERROR(__xludf.DUMMYFUNCTION("""COMPUTED_VALUE"""),3100.0)</f>
        <v>3100</v>
      </c>
      <c r="F43" s="1">
        <f>IFERROR(__xludf.DUMMYFUNCTION("""COMPUTED_VALUE"""),231867.0)</f>
        <v>231867</v>
      </c>
    </row>
    <row r="44">
      <c r="A44" s="2">
        <f>IFERROR(__xludf.DUMMYFUNCTION("""COMPUTED_VALUE"""),40973.645833333336)</f>
        <v>40973.64583</v>
      </c>
      <c r="B44" s="1">
        <f>IFERROR(__xludf.DUMMYFUNCTION("""COMPUTED_VALUE"""),3130.0)</f>
        <v>3130</v>
      </c>
      <c r="C44" s="1">
        <f>IFERROR(__xludf.DUMMYFUNCTION("""COMPUTED_VALUE"""),3245.0)</f>
        <v>3245</v>
      </c>
      <c r="D44" s="1">
        <f>IFERROR(__xludf.DUMMYFUNCTION("""COMPUTED_VALUE"""),3050.0)</f>
        <v>3050</v>
      </c>
      <c r="E44" s="1">
        <f>IFERROR(__xludf.DUMMYFUNCTION("""COMPUTED_VALUE"""),3210.0)</f>
        <v>3210</v>
      </c>
      <c r="F44" s="1">
        <f>IFERROR(__xludf.DUMMYFUNCTION("""COMPUTED_VALUE"""),143405.0)</f>
        <v>143405</v>
      </c>
    </row>
    <row r="45">
      <c r="A45" s="2">
        <f>IFERROR(__xludf.DUMMYFUNCTION("""COMPUTED_VALUE"""),40974.645833333336)</f>
        <v>40974.64583</v>
      </c>
      <c r="B45" s="1">
        <f>IFERROR(__xludf.DUMMYFUNCTION("""COMPUTED_VALUE"""),3200.0)</f>
        <v>3200</v>
      </c>
      <c r="C45" s="1">
        <f>IFERROR(__xludf.DUMMYFUNCTION("""COMPUTED_VALUE"""),3240.0)</f>
        <v>3240</v>
      </c>
      <c r="D45" s="1">
        <f>IFERROR(__xludf.DUMMYFUNCTION("""COMPUTED_VALUE"""),3080.0)</f>
        <v>3080</v>
      </c>
      <c r="E45" s="1">
        <f>IFERROR(__xludf.DUMMYFUNCTION("""COMPUTED_VALUE"""),3175.0)</f>
        <v>3175</v>
      </c>
      <c r="F45" s="1">
        <f>IFERROR(__xludf.DUMMYFUNCTION("""COMPUTED_VALUE"""),134756.0)</f>
        <v>134756</v>
      </c>
    </row>
    <row r="46">
      <c r="A46" s="2">
        <f>IFERROR(__xludf.DUMMYFUNCTION("""COMPUTED_VALUE"""),40975.645833333336)</f>
        <v>40975.64583</v>
      </c>
      <c r="B46" s="1">
        <f>IFERROR(__xludf.DUMMYFUNCTION("""COMPUTED_VALUE"""),3200.0)</f>
        <v>3200</v>
      </c>
      <c r="C46" s="1">
        <f>IFERROR(__xludf.DUMMYFUNCTION("""COMPUTED_VALUE"""),3200.0)</f>
        <v>3200</v>
      </c>
      <c r="D46" s="1">
        <f>IFERROR(__xludf.DUMMYFUNCTION("""COMPUTED_VALUE"""),3090.0)</f>
        <v>3090</v>
      </c>
      <c r="E46" s="1">
        <f>IFERROR(__xludf.DUMMYFUNCTION("""COMPUTED_VALUE"""),3165.0)</f>
        <v>3165</v>
      </c>
      <c r="F46" s="1">
        <f>IFERROR(__xludf.DUMMYFUNCTION("""COMPUTED_VALUE"""),47941.0)</f>
        <v>47941</v>
      </c>
    </row>
    <row r="47">
      <c r="A47" s="2">
        <f>IFERROR(__xludf.DUMMYFUNCTION("""COMPUTED_VALUE"""),40976.645833333336)</f>
        <v>40976.64583</v>
      </c>
      <c r="B47" s="1">
        <f>IFERROR(__xludf.DUMMYFUNCTION("""COMPUTED_VALUE"""),3160.0)</f>
        <v>3160</v>
      </c>
      <c r="C47" s="1">
        <f>IFERROR(__xludf.DUMMYFUNCTION("""COMPUTED_VALUE"""),3185.0)</f>
        <v>3185</v>
      </c>
      <c r="D47" s="1">
        <f>IFERROR(__xludf.DUMMYFUNCTION("""COMPUTED_VALUE"""),3100.0)</f>
        <v>3100</v>
      </c>
      <c r="E47" s="1">
        <f>IFERROR(__xludf.DUMMYFUNCTION("""COMPUTED_VALUE"""),3175.0)</f>
        <v>3175</v>
      </c>
      <c r="F47" s="1">
        <f>IFERROR(__xludf.DUMMYFUNCTION("""COMPUTED_VALUE"""),124268.0)</f>
        <v>124268</v>
      </c>
    </row>
    <row r="48">
      <c r="A48" s="2">
        <f>IFERROR(__xludf.DUMMYFUNCTION("""COMPUTED_VALUE"""),40977.645833333336)</f>
        <v>40977.64583</v>
      </c>
      <c r="B48" s="1">
        <f>IFERROR(__xludf.DUMMYFUNCTION("""COMPUTED_VALUE"""),3180.0)</f>
        <v>3180</v>
      </c>
      <c r="C48" s="1">
        <f>IFERROR(__xludf.DUMMYFUNCTION("""COMPUTED_VALUE"""),3650.0)</f>
        <v>3650</v>
      </c>
      <c r="D48" s="1">
        <f>IFERROR(__xludf.DUMMYFUNCTION("""COMPUTED_VALUE"""),3180.0)</f>
        <v>3180</v>
      </c>
      <c r="E48" s="1">
        <f>IFERROR(__xludf.DUMMYFUNCTION("""COMPUTED_VALUE"""),3305.0)</f>
        <v>3305</v>
      </c>
      <c r="F48" s="1">
        <f>IFERROR(__xludf.DUMMYFUNCTION("""COMPUTED_VALUE"""),136746.0)</f>
        <v>136746</v>
      </c>
    </row>
    <row r="49">
      <c r="A49" s="2">
        <f>IFERROR(__xludf.DUMMYFUNCTION("""COMPUTED_VALUE"""),40980.645833333336)</f>
        <v>40980.64583</v>
      </c>
      <c r="B49" s="1">
        <f>IFERROR(__xludf.DUMMYFUNCTION("""COMPUTED_VALUE"""),3320.0)</f>
        <v>3320</v>
      </c>
      <c r="C49" s="1">
        <f>IFERROR(__xludf.DUMMYFUNCTION("""COMPUTED_VALUE"""),3580.0)</f>
        <v>3580</v>
      </c>
      <c r="D49" s="1">
        <f>IFERROR(__xludf.DUMMYFUNCTION("""COMPUTED_VALUE"""),3295.0)</f>
        <v>3295</v>
      </c>
      <c r="E49" s="1">
        <f>IFERROR(__xludf.DUMMYFUNCTION("""COMPUTED_VALUE"""),3515.0)</f>
        <v>3515</v>
      </c>
      <c r="F49" s="1">
        <f>IFERROR(__xludf.DUMMYFUNCTION("""COMPUTED_VALUE"""),123151.0)</f>
        <v>123151</v>
      </c>
    </row>
    <row r="50">
      <c r="A50" s="2">
        <f>IFERROR(__xludf.DUMMYFUNCTION("""COMPUTED_VALUE"""),40981.645833333336)</f>
        <v>40981.64583</v>
      </c>
      <c r="B50" s="1">
        <f>IFERROR(__xludf.DUMMYFUNCTION("""COMPUTED_VALUE"""),3515.0)</f>
        <v>3515</v>
      </c>
      <c r="C50" s="1">
        <f>IFERROR(__xludf.DUMMYFUNCTION("""COMPUTED_VALUE"""),3680.0)</f>
        <v>3680</v>
      </c>
      <c r="D50" s="1">
        <f>IFERROR(__xludf.DUMMYFUNCTION("""COMPUTED_VALUE"""),3425.0)</f>
        <v>3425</v>
      </c>
      <c r="E50" s="1">
        <f>IFERROR(__xludf.DUMMYFUNCTION("""COMPUTED_VALUE"""),3560.0)</f>
        <v>3560</v>
      </c>
      <c r="F50" s="1">
        <f>IFERROR(__xludf.DUMMYFUNCTION("""COMPUTED_VALUE"""),129674.0)</f>
        <v>129674</v>
      </c>
    </row>
    <row r="51">
      <c r="A51" s="2">
        <f>IFERROR(__xludf.DUMMYFUNCTION("""COMPUTED_VALUE"""),40982.645833333336)</f>
        <v>40982.64583</v>
      </c>
      <c r="B51" s="1">
        <f>IFERROR(__xludf.DUMMYFUNCTION("""COMPUTED_VALUE"""),3560.0)</f>
        <v>3560</v>
      </c>
      <c r="C51" s="1">
        <f>IFERROR(__xludf.DUMMYFUNCTION("""COMPUTED_VALUE"""),4090.0)</f>
        <v>4090</v>
      </c>
      <c r="D51" s="1">
        <f>IFERROR(__xludf.DUMMYFUNCTION("""COMPUTED_VALUE"""),3530.0)</f>
        <v>3530</v>
      </c>
      <c r="E51" s="1">
        <f>IFERROR(__xludf.DUMMYFUNCTION("""COMPUTED_VALUE"""),4090.0)</f>
        <v>4090</v>
      </c>
      <c r="F51" s="1">
        <f>IFERROR(__xludf.DUMMYFUNCTION("""COMPUTED_VALUE"""),448943.0)</f>
        <v>448943</v>
      </c>
    </row>
    <row r="52">
      <c r="A52" s="2">
        <f>IFERROR(__xludf.DUMMYFUNCTION("""COMPUTED_VALUE"""),40983.645833333336)</f>
        <v>40983.64583</v>
      </c>
      <c r="B52" s="1">
        <f>IFERROR(__xludf.DUMMYFUNCTION("""COMPUTED_VALUE"""),4250.0)</f>
        <v>4250</v>
      </c>
      <c r="C52" s="1">
        <f>IFERROR(__xludf.DUMMYFUNCTION("""COMPUTED_VALUE"""),4285.0)</f>
        <v>4285</v>
      </c>
      <c r="D52" s="1">
        <f>IFERROR(__xludf.DUMMYFUNCTION("""COMPUTED_VALUE"""),3735.0)</f>
        <v>3735</v>
      </c>
      <c r="E52" s="1">
        <f>IFERROR(__xludf.DUMMYFUNCTION("""COMPUTED_VALUE"""),3790.0)</f>
        <v>3790</v>
      </c>
      <c r="F52" s="1">
        <f>IFERROR(__xludf.DUMMYFUNCTION("""COMPUTED_VALUE"""),348946.0)</f>
        <v>348946</v>
      </c>
    </row>
    <row r="53">
      <c r="A53" s="2">
        <f>IFERROR(__xludf.DUMMYFUNCTION("""COMPUTED_VALUE"""),40984.645833333336)</f>
        <v>40984.64583</v>
      </c>
      <c r="B53" s="1">
        <f>IFERROR(__xludf.DUMMYFUNCTION("""COMPUTED_VALUE"""),3765.0)</f>
        <v>3765</v>
      </c>
      <c r="C53" s="1">
        <f>IFERROR(__xludf.DUMMYFUNCTION("""COMPUTED_VALUE"""),4150.0)</f>
        <v>4150</v>
      </c>
      <c r="D53" s="1">
        <f>IFERROR(__xludf.DUMMYFUNCTION("""COMPUTED_VALUE"""),3600.0)</f>
        <v>3600</v>
      </c>
      <c r="E53" s="1">
        <f>IFERROR(__xludf.DUMMYFUNCTION("""COMPUTED_VALUE"""),4015.0)</f>
        <v>4015</v>
      </c>
      <c r="F53" s="1">
        <f>IFERROR(__xludf.DUMMYFUNCTION("""COMPUTED_VALUE"""),191969.0)</f>
        <v>191969</v>
      </c>
    </row>
    <row r="54">
      <c r="A54" s="2">
        <f>IFERROR(__xludf.DUMMYFUNCTION("""COMPUTED_VALUE"""),41086.645833333336)</f>
        <v>41086.64583</v>
      </c>
      <c r="B54" s="1">
        <f>IFERROR(__xludf.DUMMYFUNCTION("""COMPUTED_VALUE"""),5300.0)</f>
        <v>5300</v>
      </c>
      <c r="C54" s="1">
        <f>IFERROR(__xludf.DUMMYFUNCTION("""COMPUTED_VALUE"""),6000.0)</f>
        <v>6000</v>
      </c>
      <c r="D54" s="1">
        <f>IFERROR(__xludf.DUMMYFUNCTION("""COMPUTED_VALUE"""),4805.0)</f>
        <v>4805</v>
      </c>
      <c r="E54" s="1">
        <f>IFERROR(__xludf.DUMMYFUNCTION("""COMPUTED_VALUE"""),5000.0)</f>
        <v>5000</v>
      </c>
      <c r="F54" s="1">
        <f>IFERROR(__xludf.DUMMYFUNCTION("""COMPUTED_VALUE"""),609880.0)</f>
        <v>609880</v>
      </c>
    </row>
    <row r="55">
      <c r="A55" s="2">
        <f>IFERROR(__xludf.DUMMYFUNCTION("""COMPUTED_VALUE"""),41087.645833333336)</f>
        <v>41087.64583</v>
      </c>
      <c r="B55" s="1">
        <f>IFERROR(__xludf.DUMMYFUNCTION("""COMPUTED_VALUE"""),4735.0)</f>
        <v>4735</v>
      </c>
      <c r="C55" s="1">
        <f>IFERROR(__xludf.DUMMYFUNCTION("""COMPUTED_VALUE"""),5100.0)</f>
        <v>5100</v>
      </c>
      <c r="D55" s="1">
        <f>IFERROR(__xludf.DUMMYFUNCTION("""COMPUTED_VALUE"""),4735.0)</f>
        <v>4735</v>
      </c>
      <c r="E55" s="1">
        <f>IFERROR(__xludf.DUMMYFUNCTION("""COMPUTED_VALUE"""),5060.0)</f>
        <v>5060</v>
      </c>
      <c r="F55" s="1">
        <f>IFERROR(__xludf.DUMMYFUNCTION("""COMPUTED_VALUE"""),196767.0)</f>
        <v>196767</v>
      </c>
    </row>
    <row r="56">
      <c r="A56" s="2">
        <f>IFERROR(__xludf.DUMMYFUNCTION("""COMPUTED_VALUE"""),41088.645833333336)</f>
        <v>41088.64583</v>
      </c>
      <c r="B56" s="1">
        <f>IFERROR(__xludf.DUMMYFUNCTION("""COMPUTED_VALUE"""),4995.0)</f>
        <v>4995</v>
      </c>
      <c r="C56" s="1">
        <f>IFERROR(__xludf.DUMMYFUNCTION("""COMPUTED_VALUE"""),5050.0)</f>
        <v>5050</v>
      </c>
      <c r="D56" s="1">
        <f>IFERROR(__xludf.DUMMYFUNCTION("""COMPUTED_VALUE"""),4865.0)</f>
        <v>4865</v>
      </c>
      <c r="E56" s="1">
        <f>IFERROR(__xludf.DUMMYFUNCTION("""COMPUTED_VALUE"""),4880.0)</f>
        <v>4880</v>
      </c>
      <c r="F56" s="1">
        <f>IFERROR(__xludf.DUMMYFUNCTION("""COMPUTED_VALUE"""),58555.0)</f>
        <v>58555</v>
      </c>
    </row>
    <row r="57">
      <c r="A57" s="2">
        <f>IFERROR(__xludf.DUMMYFUNCTION("""COMPUTED_VALUE"""),41089.645833333336)</f>
        <v>41089.64583</v>
      </c>
      <c r="B57" s="1">
        <f>IFERROR(__xludf.DUMMYFUNCTION("""COMPUTED_VALUE"""),4700.0)</f>
        <v>4700</v>
      </c>
      <c r="C57" s="1">
        <f>IFERROR(__xludf.DUMMYFUNCTION("""COMPUTED_VALUE"""),4860.0)</f>
        <v>4860</v>
      </c>
      <c r="D57" s="1">
        <f>IFERROR(__xludf.DUMMYFUNCTION("""COMPUTED_VALUE"""),4540.0)</f>
        <v>4540</v>
      </c>
      <c r="E57" s="1">
        <f>IFERROR(__xludf.DUMMYFUNCTION("""COMPUTED_VALUE"""),4585.0)</f>
        <v>4585</v>
      </c>
      <c r="F57" s="1">
        <f>IFERROR(__xludf.DUMMYFUNCTION("""COMPUTED_VALUE"""),72015.0)</f>
        <v>72015</v>
      </c>
    </row>
    <row r="58">
      <c r="A58" s="2">
        <f>IFERROR(__xludf.DUMMYFUNCTION("""COMPUTED_VALUE"""),41092.645833333336)</f>
        <v>41092.64583</v>
      </c>
      <c r="B58" s="1">
        <f>IFERROR(__xludf.DUMMYFUNCTION("""COMPUTED_VALUE"""),4585.0)</f>
        <v>4585</v>
      </c>
      <c r="C58" s="1">
        <f>IFERROR(__xludf.DUMMYFUNCTION("""COMPUTED_VALUE"""),4650.0)</f>
        <v>4650</v>
      </c>
      <c r="D58" s="1">
        <f>IFERROR(__xludf.DUMMYFUNCTION("""COMPUTED_VALUE"""),4395.0)</f>
        <v>4395</v>
      </c>
      <c r="E58" s="1">
        <f>IFERROR(__xludf.DUMMYFUNCTION("""COMPUTED_VALUE"""),4470.0)</f>
        <v>4470</v>
      </c>
      <c r="F58" s="1">
        <f>IFERROR(__xludf.DUMMYFUNCTION("""COMPUTED_VALUE"""),73494.0)</f>
        <v>73494</v>
      </c>
    </row>
    <row r="59">
      <c r="A59" s="2">
        <f>IFERROR(__xludf.DUMMYFUNCTION("""COMPUTED_VALUE"""),41093.645833333336)</f>
        <v>41093.64583</v>
      </c>
      <c r="B59" s="1">
        <f>IFERROR(__xludf.DUMMYFUNCTION("""COMPUTED_VALUE"""),4480.0)</f>
        <v>4480</v>
      </c>
      <c r="C59" s="1">
        <f>IFERROR(__xludf.DUMMYFUNCTION("""COMPUTED_VALUE"""),4650.0)</f>
        <v>4650</v>
      </c>
      <c r="D59" s="1">
        <f>IFERROR(__xludf.DUMMYFUNCTION("""COMPUTED_VALUE"""),4415.0)</f>
        <v>4415</v>
      </c>
      <c r="E59" s="1">
        <f>IFERROR(__xludf.DUMMYFUNCTION("""COMPUTED_VALUE"""),4510.0)</f>
        <v>4510</v>
      </c>
      <c r="F59" s="1">
        <f>IFERROR(__xludf.DUMMYFUNCTION("""COMPUTED_VALUE"""),49838.0)</f>
        <v>49838</v>
      </c>
    </row>
    <row r="60">
      <c r="A60" s="2">
        <f>IFERROR(__xludf.DUMMYFUNCTION("""COMPUTED_VALUE"""),41094.645833333336)</f>
        <v>41094.64583</v>
      </c>
      <c r="B60" s="1">
        <f>IFERROR(__xludf.DUMMYFUNCTION("""COMPUTED_VALUE"""),4515.0)</f>
        <v>4515</v>
      </c>
      <c r="C60" s="1">
        <f>IFERROR(__xludf.DUMMYFUNCTION("""COMPUTED_VALUE"""),4940.0)</f>
        <v>4940</v>
      </c>
      <c r="D60" s="1">
        <f>IFERROR(__xludf.DUMMYFUNCTION("""COMPUTED_VALUE"""),4515.0)</f>
        <v>4515</v>
      </c>
      <c r="E60" s="1">
        <f>IFERROR(__xludf.DUMMYFUNCTION("""COMPUTED_VALUE"""),4750.0)</f>
        <v>4750</v>
      </c>
      <c r="F60" s="1">
        <f>IFERROR(__xludf.DUMMYFUNCTION("""COMPUTED_VALUE"""),86746.0)</f>
        <v>86746</v>
      </c>
    </row>
    <row r="61">
      <c r="A61" s="2">
        <f>IFERROR(__xludf.DUMMYFUNCTION("""COMPUTED_VALUE"""),41095.645833333336)</f>
        <v>41095.64583</v>
      </c>
      <c r="B61" s="1">
        <f>IFERROR(__xludf.DUMMYFUNCTION("""COMPUTED_VALUE"""),4555.0)</f>
        <v>4555</v>
      </c>
      <c r="C61" s="1">
        <f>IFERROR(__xludf.DUMMYFUNCTION("""COMPUTED_VALUE"""),4795.0)</f>
        <v>4795</v>
      </c>
      <c r="D61" s="1">
        <f>IFERROR(__xludf.DUMMYFUNCTION("""COMPUTED_VALUE"""),4450.0)</f>
        <v>4450</v>
      </c>
      <c r="E61" s="1">
        <f>IFERROR(__xludf.DUMMYFUNCTION("""COMPUTED_VALUE"""),4590.0)</f>
        <v>4590</v>
      </c>
      <c r="F61" s="1">
        <f>IFERROR(__xludf.DUMMYFUNCTION("""COMPUTED_VALUE"""),53639.0)</f>
        <v>53639</v>
      </c>
    </row>
    <row r="62">
      <c r="A62" s="2">
        <f>IFERROR(__xludf.DUMMYFUNCTION("""COMPUTED_VALUE"""),41096.645833333336)</f>
        <v>41096.64583</v>
      </c>
      <c r="B62" s="1">
        <f>IFERROR(__xludf.DUMMYFUNCTION("""COMPUTED_VALUE"""),4515.0)</f>
        <v>4515</v>
      </c>
      <c r="C62" s="1">
        <f>IFERROR(__xludf.DUMMYFUNCTION("""COMPUTED_VALUE"""),4675.0)</f>
        <v>4675</v>
      </c>
      <c r="D62" s="1">
        <f>IFERROR(__xludf.DUMMYFUNCTION("""COMPUTED_VALUE"""),4420.0)</f>
        <v>4420</v>
      </c>
      <c r="E62" s="1">
        <f>IFERROR(__xludf.DUMMYFUNCTION("""COMPUTED_VALUE"""),4500.0)</f>
        <v>4500</v>
      </c>
      <c r="F62" s="1">
        <f>IFERROR(__xludf.DUMMYFUNCTION("""COMPUTED_VALUE"""),38579.0)</f>
        <v>38579</v>
      </c>
    </row>
    <row r="63">
      <c r="A63" s="2">
        <f>IFERROR(__xludf.DUMMYFUNCTION("""COMPUTED_VALUE"""),41099.645833333336)</f>
        <v>41099.64583</v>
      </c>
      <c r="B63" s="1">
        <f>IFERROR(__xludf.DUMMYFUNCTION("""COMPUTED_VALUE"""),4560.0)</f>
        <v>4560</v>
      </c>
      <c r="C63" s="1">
        <f>IFERROR(__xludf.DUMMYFUNCTION("""COMPUTED_VALUE"""),4560.0)</f>
        <v>4560</v>
      </c>
      <c r="D63" s="1">
        <f>IFERROR(__xludf.DUMMYFUNCTION("""COMPUTED_VALUE"""),4350.0)</f>
        <v>4350</v>
      </c>
      <c r="E63" s="1">
        <f>IFERROR(__xludf.DUMMYFUNCTION("""COMPUTED_VALUE"""),4435.0)</f>
        <v>4435</v>
      </c>
      <c r="F63" s="1">
        <f>IFERROR(__xludf.DUMMYFUNCTION("""COMPUTED_VALUE"""),61082.0)</f>
        <v>61082</v>
      </c>
    </row>
    <row r="64">
      <c r="A64" s="2">
        <f>IFERROR(__xludf.DUMMYFUNCTION("""COMPUTED_VALUE"""),41100.645833333336)</f>
        <v>41100.64583</v>
      </c>
      <c r="B64" s="1">
        <f>IFERROR(__xludf.DUMMYFUNCTION("""COMPUTED_VALUE"""),4490.0)</f>
        <v>4490</v>
      </c>
      <c r="C64" s="1">
        <f>IFERROR(__xludf.DUMMYFUNCTION("""COMPUTED_VALUE"""),4550.0)</f>
        <v>4550</v>
      </c>
      <c r="D64" s="1">
        <f>IFERROR(__xludf.DUMMYFUNCTION("""COMPUTED_VALUE"""),4200.0)</f>
        <v>4200</v>
      </c>
      <c r="E64" s="1">
        <f>IFERROR(__xludf.DUMMYFUNCTION("""COMPUTED_VALUE"""),4430.0)</f>
        <v>4430</v>
      </c>
      <c r="F64" s="1">
        <f>IFERROR(__xludf.DUMMYFUNCTION("""COMPUTED_VALUE"""),79012.0)</f>
        <v>79012</v>
      </c>
    </row>
    <row r="65">
      <c r="A65" s="2">
        <f>IFERROR(__xludf.DUMMYFUNCTION("""COMPUTED_VALUE"""),41101.645833333336)</f>
        <v>41101.64583</v>
      </c>
      <c r="B65" s="1">
        <f>IFERROR(__xludf.DUMMYFUNCTION("""COMPUTED_VALUE"""),4430.0)</f>
        <v>4430</v>
      </c>
      <c r="C65" s="1">
        <f>IFERROR(__xludf.DUMMYFUNCTION("""COMPUTED_VALUE"""),4480.0)</f>
        <v>4480</v>
      </c>
      <c r="D65" s="1">
        <f>IFERROR(__xludf.DUMMYFUNCTION("""COMPUTED_VALUE"""),4300.0)</f>
        <v>4300</v>
      </c>
      <c r="E65" s="1">
        <f>IFERROR(__xludf.DUMMYFUNCTION("""COMPUTED_VALUE"""),4450.0)</f>
        <v>4450</v>
      </c>
      <c r="F65" s="1">
        <f>IFERROR(__xludf.DUMMYFUNCTION("""COMPUTED_VALUE"""),64975.0)</f>
        <v>64975</v>
      </c>
    </row>
    <row r="66">
      <c r="A66" s="2">
        <f>IFERROR(__xludf.DUMMYFUNCTION("""COMPUTED_VALUE"""),41102.645833333336)</f>
        <v>41102.64583</v>
      </c>
      <c r="B66" s="1">
        <f>IFERROR(__xludf.DUMMYFUNCTION("""COMPUTED_VALUE"""),4500.0)</f>
        <v>4500</v>
      </c>
      <c r="C66" s="1">
        <f>IFERROR(__xludf.DUMMYFUNCTION("""COMPUTED_VALUE"""),4550.0)</f>
        <v>4550</v>
      </c>
      <c r="D66" s="1">
        <f>IFERROR(__xludf.DUMMYFUNCTION("""COMPUTED_VALUE"""),4150.0)</f>
        <v>4150</v>
      </c>
      <c r="E66" s="1">
        <f>IFERROR(__xludf.DUMMYFUNCTION("""COMPUTED_VALUE"""),4250.0)</f>
        <v>4250</v>
      </c>
      <c r="F66" s="1">
        <f>IFERROR(__xludf.DUMMYFUNCTION("""COMPUTED_VALUE"""),55407.0)</f>
        <v>55407</v>
      </c>
    </row>
    <row r="67">
      <c r="A67" s="2">
        <f>IFERROR(__xludf.DUMMYFUNCTION("""COMPUTED_VALUE"""),41103.645833333336)</f>
        <v>41103.64583</v>
      </c>
      <c r="B67" s="1">
        <f>IFERROR(__xludf.DUMMYFUNCTION("""COMPUTED_VALUE"""),4250.0)</f>
        <v>4250</v>
      </c>
      <c r="C67" s="1">
        <f>IFERROR(__xludf.DUMMYFUNCTION("""COMPUTED_VALUE"""),4250.0)</f>
        <v>4250</v>
      </c>
      <c r="D67" s="1">
        <f>IFERROR(__xludf.DUMMYFUNCTION("""COMPUTED_VALUE"""),3955.0)</f>
        <v>3955</v>
      </c>
      <c r="E67" s="1">
        <f>IFERROR(__xludf.DUMMYFUNCTION("""COMPUTED_VALUE"""),4250.0)</f>
        <v>4250</v>
      </c>
      <c r="F67" s="1">
        <f>IFERROR(__xludf.DUMMYFUNCTION("""COMPUTED_VALUE"""),41322.0)</f>
        <v>41322</v>
      </c>
    </row>
    <row r="68">
      <c r="A68" s="2">
        <f>IFERROR(__xludf.DUMMYFUNCTION("""COMPUTED_VALUE"""),41106.645833333336)</f>
        <v>41106.64583</v>
      </c>
      <c r="B68" s="1">
        <f>IFERROR(__xludf.DUMMYFUNCTION("""COMPUTED_VALUE"""),4470.0)</f>
        <v>4470</v>
      </c>
      <c r="C68" s="1">
        <f>IFERROR(__xludf.DUMMYFUNCTION("""COMPUTED_VALUE"""),4470.0)</f>
        <v>4470</v>
      </c>
      <c r="D68" s="1">
        <f>IFERROR(__xludf.DUMMYFUNCTION("""COMPUTED_VALUE"""),4145.0)</f>
        <v>4145</v>
      </c>
      <c r="E68" s="1">
        <f>IFERROR(__xludf.DUMMYFUNCTION("""COMPUTED_VALUE"""),4210.0)</f>
        <v>4210</v>
      </c>
      <c r="F68" s="1">
        <f>IFERROR(__xludf.DUMMYFUNCTION("""COMPUTED_VALUE"""),38216.0)</f>
        <v>38216</v>
      </c>
    </row>
    <row r="69">
      <c r="A69" s="2">
        <f>IFERROR(__xludf.DUMMYFUNCTION("""COMPUTED_VALUE"""),41107.645833333336)</f>
        <v>41107.64583</v>
      </c>
      <c r="B69" s="1">
        <f>IFERROR(__xludf.DUMMYFUNCTION("""COMPUTED_VALUE"""),4300.0)</f>
        <v>4300</v>
      </c>
      <c r="C69" s="1">
        <f>IFERROR(__xludf.DUMMYFUNCTION("""COMPUTED_VALUE"""),4300.0)</f>
        <v>4300</v>
      </c>
      <c r="D69" s="1">
        <f>IFERROR(__xludf.DUMMYFUNCTION("""COMPUTED_VALUE"""),4045.0)</f>
        <v>4045</v>
      </c>
      <c r="E69" s="1">
        <f>IFERROR(__xludf.DUMMYFUNCTION("""COMPUTED_VALUE"""),4120.0)</f>
        <v>4120</v>
      </c>
      <c r="F69" s="1">
        <f>IFERROR(__xludf.DUMMYFUNCTION("""COMPUTED_VALUE"""),44587.0)</f>
        <v>44587</v>
      </c>
    </row>
    <row r="70">
      <c r="A70" s="2">
        <f>IFERROR(__xludf.DUMMYFUNCTION("""COMPUTED_VALUE"""),41108.645833333336)</f>
        <v>41108.64583</v>
      </c>
      <c r="B70" s="1">
        <f>IFERROR(__xludf.DUMMYFUNCTION("""COMPUTED_VALUE"""),4110.0)</f>
        <v>4110</v>
      </c>
      <c r="C70" s="1">
        <f>IFERROR(__xludf.DUMMYFUNCTION("""COMPUTED_VALUE"""),4110.0)</f>
        <v>4110</v>
      </c>
      <c r="D70" s="1">
        <f>IFERROR(__xludf.DUMMYFUNCTION("""COMPUTED_VALUE"""),3700.0)</f>
        <v>3700</v>
      </c>
      <c r="E70" s="1">
        <f>IFERROR(__xludf.DUMMYFUNCTION("""COMPUTED_VALUE"""),3970.0)</f>
        <v>3970</v>
      </c>
      <c r="F70" s="1">
        <f>IFERROR(__xludf.DUMMYFUNCTION("""COMPUTED_VALUE"""),115461.0)</f>
        <v>115461</v>
      </c>
    </row>
    <row r="71">
      <c r="A71" s="2">
        <f>IFERROR(__xludf.DUMMYFUNCTION("""COMPUTED_VALUE"""),41109.645833333336)</f>
        <v>41109.64583</v>
      </c>
      <c r="B71" s="1">
        <f>IFERROR(__xludf.DUMMYFUNCTION("""COMPUTED_VALUE"""),4100.0)</f>
        <v>4100</v>
      </c>
      <c r="C71" s="1">
        <f>IFERROR(__xludf.DUMMYFUNCTION("""COMPUTED_VALUE"""),4190.0)</f>
        <v>4190</v>
      </c>
      <c r="D71" s="1">
        <f>IFERROR(__xludf.DUMMYFUNCTION("""COMPUTED_VALUE"""),3915.0)</f>
        <v>3915</v>
      </c>
      <c r="E71" s="1">
        <f>IFERROR(__xludf.DUMMYFUNCTION("""COMPUTED_VALUE"""),4000.0)</f>
        <v>4000</v>
      </c>
      <c r="F71" s="1">
        <f>IFERROR(__xludf.DUMMYFUNCTION("""COMPUTED_VALUE"""),23015.0)</f>
        <v>23015</v>
      </c>
    </row>
    <row r="72">
      <c r="A72" s="2">
        <f>IFERROR(__xludf.DUMMYFUNCTION("""COMPUTED_VALUE"""),41110.645833333336)</f>
        <v>41110.64583</v>
      </c>
      <c r="B72" s="1">
        <f>IFERROR(__xludf.DUMMYFUNCTION("""COMPUTED_VALUE"""),4000.0)</f>
        <v>4000</v>
      </c>
      <c r="C72" s="1">
        <f>IFERROR(__xludf.DUMMYFUNCTION("""COMPUTED_VALUE"""),4300.0)</f>
        <v>4300</v>
      </c>
      <c r="D72" s="1">
        <f>IFERROR(__xludf.DUMMYFUNCTION("""COMPUTED_VALUE"""),3950.0)</f>
        <v>3950</v>
      </c>
      <c r="E72" s="1">
        <f>IFERROR(__xludf.DUMMYFUNCTION("""COMPUTED_VALUE"""),4285.0)</f>
        <v>4285</v>
      </c>
      <c r="F72" s="1">
        <f>IFERROR(__xludf.DUMMYFUNCTION("""COMPUTED_VALUE"""),66245.0)</f>
        <v>66245</v>
      </c>
    </row>
    <row r="73">
      <c r="A73" s="2">
        <f>IFERROR(__xludf.DUMMYFUNCTION("""COMPUTED_VALUE"""),41113.645833333336)</f>
        <v>41113.64583</v>
      </c>
      <c r="B73" s="1">
        <f>IFERROR(__xludf.DUMMYFUNCTION("""COMPUTED_VALUE"""),4390.0)</f>
        <v>4390</v>
      </c>
      <c r="C73" s="1">
        <f>IFERROR(__xludf.DUMMYFUNCTION("""COMPUTED_VALUE"""),4390.0)</f>
        <v>4390</v>
      </c>
      <c r="D73" s="1">
        <f>IFERROR(__xludf.DUMMYFUNCTION("""COMPUTED_VALUE"""),4150.0)</f>
        <v>4150</v>
      </c>
      <c r="E73" s="1">
        <f>IFERROR(__xludf.DUMMYFUNCTION("""COMPUTED_VALUE"""),4240.0)</f>
        <v>4240</v>
      </c>
      <c r="F73" s="1">
        <f>IFERROR(__xludf.DUMMYFUNCTION("""COMPUTED_VALUE"""),16292.0)</f>
        <v>16292</v>
      </c>
    </row>
    <row r="74">
      <c r="A74" s="2">
        <f>IFERROR(__xludf.DUMMYFUNCTION("""COMPUTED_VALUE"""),41114.645833333336)</f>
        <v>41114.64583</v>
      </c>
      <c r="B74" s="1">
        <f>IFERROR(__xludf.DUMMYFUNCTION("""COMPUTED_VALUE"""),4335.0)</f>
        <v>4335</v>
      </c>
      <c r="C74" s="1">
        <f>IFERROR(__xludf.DUMMYFUNCTION("""COMPUTED_VALUE"""),4335.0)</f>
        <v>4335</v>
      </c>
      <c r="D74" s="1">
        <f>IFERROR(__xludf.DUMMYFUNCTION("""COMPUTED_VALUE"""),4000.0)</f>
        <v>4000</v>
      </c>
      <c r="E74" s="1">
        <f>IFERROR(__xludf.DUMMYFUNCTION("""COMPUTED_VALUE"""),4150.0)</f>
        <v>4150</v>
      </c>
      <c r="F74" s="1">
        <f>IFERROR(__xludf.DUMMYFUNCTION("""COMPUTED_VALUE"""),47745.0)</f>
        <v>47745</v>
      </c>
    </row>
    <row r="75">
      <c r="A75" s="2">
        <f>IFERROR(__xludf.DUMMYFUNCTION("""COMPUTED_VALUE"""),41115.645833333336)</f>
        <v>41115.64583</v>
      </c>
      <c r="B75" s="1">
        <f>IFERROR(__xludf.DUMMYFUNCTION("""COMPUTED_VALUE"""),4150.0)</f>
        <v>4150</v>
      </c>
      <c r="C75" s="1">
        <f>IFERROR(__xludf.DUMMYFUNCTION("""COMPUTED_VALUE"""),4195.0)</f>
        <v>4195</v>
      </c>
      <c r="D75" s="1">
        <f>IFERROR(__xludf.DUMMYFUNCTION("""COMPUTED_VALUE"""),4000.0)</f>
        <v>4000</v>
      </c>
      <c r="E75" s="1">
        <f>IFERROR(__xludf.DUMMYFUNCTION("""COMPUTED_VALUE"""),4140.0)</f>
        <v>4140</v>
      </c>
      <c r="F75" s="1">
        <f>IFERROR(__xludf.DUMMYFUNCTION("""COMPUTED_VALUE"""),27471.0)</f>
        <v>27471</v>
      </c>
    </row>
    <row r="76">
      <c r="A76" s="2">
        <f>IFERROR(__xludf.DUMMYFUNCTION("""COMPUTED_VALUE"""),41116.645833333336)</f>
        <v>41116.64583</v>
      </c>
      <c r="B76" s="1">
        <f>IFERROR(__xludf.DUMMYFUNCTION("""COMPUTED_VALUE"""),4260.0)</f>
        <v>4260</v>
      </c>
      <c r="C76" s="1">
        <f>IFERROR(__xludf.DUMMYFUNCTION("""COMPUTED_VALUE"""),4260.0)</f>
        <v>4260</v>
      </c>
      <c r="D76" s="1">
        <f>IFERROR(__xludf.DUMMYFUNCTION("""COMPUTED_VALUE"""),4075.0)</f>
        <v>4075</v>
      </c>
      <c r="E76" s="1">
        <f>IFERROR(__xludf.DUMMYFUNCTION("""COMPUTED_VALUE"""),4080.0)</f>
        <v>4080</v>
      </c>
      <c r="F76" s="1">
        <f>IFERROR(__xludf.DUMMYFUNCTION("""COMPUTED_VALUE"""),16007.0)</f>
        <v>16007</v>
      </c>
    </row>
    <row r="77">
      <c r="A77" s="2">
        <f>IFERROR(__xludf.DUMMYFUNCTION("""COMPUTED_VALUE"""),41117.645833333336)</f>
        <v>41117.64583</v>
      </c>
      <c r="B77" s="1">
        <f>IFERROR(__xludf.DUMMYFUNCTION("""COMPUTED_VALUE"""),4225.0)</f>
        <v>4225</v>
      </c>
      <c r="C77" s="1">
        <f>IFERROR(__xludf.DUMMYFUNCTION("""COMPUTED_VALUE"""),4225.0)</f>
        <v>4225</v>
      </c>
      <c r="D77" s="1">
        <f>IFERROR(__xludf.DUMMYFUNCTION("""COMPUTED_VALUE"""),4000.0)</f>
        <v>4000</v>
      </c>
      <c r="E77" s="1">
        <f>IFERROR(__xludf.DUMMYFUNCTION("""COMPUTED_VALUE"""),4070.0)</f>
        <v>4070</v>
      </c>
      <c r="F77" s="1">
        <f>IFERROR(__xludf.DUMMYFUNCTION("""COMPUTED_VALUE"""),28110.0)</f>
        <v>28110</v>
      </c>
    </row>
    <row r="78">
      <c r="A78" s="2">
        <f>IFERROR(__xludf.DUMMYFUNCTION("""COMPUTED_VALUE"""),41120.645833333336)</f>
        <v>41120.64583</v>
      </c>
      <c r="B78" s="1">
        <f>IFERROR(__xludf.DUMMYFUNCTION("""COMPUTED_VALUE"""),4070.0)</f>
        <v>4070</v>
      </c>
      <c r="C78" s="1">
        <f>IFERROR(__xludf.DUMMYFUNCTION("""COMPUTED_VALUE"""),4150.0)</f>
        <v>4150</v>
      </c>
      <c r="D78" s="1">
        <f>IFERROR(__xludf.DUMMYFUNCTION("""COMPUTED_VALUE"""),3990.0)</f>
        <v>3990</v>
      </c>
      <c r="E78" s="1">
        <f>IFERROR(__xludf.DUMMYFUNCTION("""COMPUTED_VALUE"""),4070.0)</f>
        <v>4070</v>
      </c>
      <c r="F78" s="1">
        <f>IFERROR(__xludf.DUMMYFUNCTION("""COMPUTED_VALUE"""),41079.0)</f>
        <v>41079</v>
      </c>
    </row>
    <row r="79">
      <c r="A79" s="2">
        <f>IFERROR(__xludf.DUMMYFUNCTION("""COMPUTED_VALUE"""),41121.645833333336)</f>
        <v>41121.64583</v>
      </c>
      <c r="B79" s="1">
        <f>IFERROR(__xludf.DUMMYFUNCTION("""COMPUTED_VALUE"""),4090.0)</f>
        <v>4090</v>
      </c>
      <c r="C79" s="1">
        <f>IFERROR(__xludf.DUMMYFUNCTION("""COMPUTED_VALUE"""),4145.0)</f>
        <v>4145</v>
      </c>
      <c r="D79" s="1">
        <f>IFERROR(__xludf.DUMMYFUNCTION("""COMPUTED_VALUE"""),4005.0)</f>
        <v>4005</v>
      </c>
      <c r="E79" s="1">
        <f>IFERROR(__xludf.DUMMYFUNCTION("""COMPUTED_VALUE"""),4140.0)</f>
        <v>4140</v>
      </c>
      <c r="F79" s="1">
        <f>IFERROR(__xludf.DUMMYFUNCTION("""COMPUTED_VALUE"""),28945.0)</f>
        <v>28945</v>
      </c>
    </row>
    <row r="80">
      <c r="A80" s="2">
        <f>IFERROR(__xludf.DUMMYFUNCTION("""COMPUTED_VALUE"""),41122.645833333336)</f>
        <v>41122.64583</v>
      </c>
      <c r="B80" s="1">
        <f>IFERROR(__xludf.DUMMYFUNCTION("""COMPUTED_VALUE"""),4100.0)</f>
        <v>4100</v>
      </c>
      <c r="C80" s="1">
        <f>IFERROR(__xludf.DUMMYFUNCTION("""COMPUTED_VALUE"""),4170.0)</f>
        <v>4170</v>
      </c>
      <c r="D80" s="1">
        <f>IFERROR(__xludf.DUMMYFUNCTION("""COMPUTED_VALUE"""),4030.0)</f>
        <v>4030</v>
      </c>
      <c r="E80" s="1">
        <f>IFERROR(__xludf.DUMMYFUNCTION("""COMPUTED_VALUE"""),4150.0)</f>
        <v>4150</v>
      </c>
      <c r="F80" s="1">
        <f>IFERROR(__xludf.DUMMYFUNCTION("""COMPUTED_VALUE"""),24232.0)</f>
        <v>24232</v>
      </c>
    </row>
    <row r="81">
      <c r="A81" s="2">
        <f>IFERROR(__xludf.DUMMYFUNCTION("""COMPUTED_VALUE"""),41123.645833333336)</f>
        <v>41123.64583</v>
      </c>
      <c r="B81" s="1">
        <f>IFERROR(__xludf.DUMMYFUNCTION("""COMPUTED_VALUE"""),4170.0)</f>
        <v>4170</v>
      </c>
      <c r="C81" s="1">
        <f>IFERROR(__xludf.DUMMYFUNCTION("""COMPUTED_VALUE"""),4170.0)</f>
        <v>4170</v>
      </c>
      <c r="D81" s="1">
        <f>IFERROR(__xludf.DUMMYFUNCTION("""COMPUTED_VALUE"""),4060.0)</f>
        <v>4060</v>
      </c>
      <c r="E81" s="1">
        <f>IFERROR(__xludf.DUMMYFUNCTION("""COMPUTED_VALUE"""),4150.0)</f>
        <v>4150</v>
      </c>
      <c r="F81" s="1">
        <f>IFERROR(__xludf.DUMMYFUNCTION("""COMPUTED_VALUE"""),4409.0)</f>
        <v>4409</v>
      </c>
    </row>
    <row r="82">
      <c r="A82" s="2">
        <f>IFERROR(__xludf.DUMMYFUNCTION("""COMPUTED_VALUE"""),41124.645833333336)</f>
        <v>41124.64583</v>
      </c>
      <c r="B82" s="1">
        <f>IFERROR(__xludf.DUMMYFUNCTION("""COMPUTED_VALUE"""),4150.0)</f>
        <v>4150</v>
      </c>
      <c r="C82" s="1">
        <f>IFERROR(__xludf.DUMMYFUNCTION("""COMPUTED_VALUE"""),4180.0)</f>
        <v>4180</v>
      </c>
      <c r="D82" s="1">
        <f>IFERROR(__xludf.DUMMYFUNCTION("""COMPUTED_VALUE"""),4015.0)</f>
        <v>4015</v>
      </c>
      <c r="E82" s="1">
        <f>IFERROR(__xludf.DUMMYFUNCTION("""COMPUTED_VALUE"""),4080.0)</f>
        <v>4080</v>
      </c>
      <c r="F82" s="1">
        <f>IFERROR(__xludf.DUMMYFUNCTION("""COMPUTED_VALUE"""),13248.0)</f>
        <v>13248</v>
      </c>
    </row>
    <row r="83">
      <c r="A83" s="2">
        <f>IFERROR(__xludf.DUMMYFUNCTION("""COMPUTED_VALUE"""),41127.645833333336)</f>
        <v>41127.64583</v>
      </c>
      <c r="B83" s="1">
        <f>IFERROR(__xludf.DUMMYFUNCTION("""COMPUTED_VALUE"""),4105.0)</f>
        <v>4105</v>
      </c>
      <c r="C83" s="1">
        <f>IFERROR(__xludf.DUMMYFUNCTION("""COMPUTED_VALUE"""),4160.0)</f>
        <v>4160</v>
      </c>
      <c r="D83" s="1">
        <f>IFERROR(__xludf.DUMMYFUNCTION("""COMPUTED_VALUE"""),4040.0)</f>
        <v>4040</v>
      </c>
      <c r="E83" s="1">
        <f>IFERROR(__xludf.DUMMYFUNCTION("""COMPUTED_VALUE"""),4090.0)</f>
        <v>4090</v>
      </c>
      <c r="F83" s="1">
        <f>IFERROR(__xludf.DUMMYFUNCTION("""COMPUTED_VALUE"""),24009.0)</f>
        <v>24009</v>
      </c>
    </row>
    <row r="84">
      <c r="A84" s="2">
        <f>IFERROR(__xludf.DUMMYFUNCTION("""COMPUTED_VALUE"""),41128.645833333336)</f>
        <v>41128.64583</v>
      </c>
      <c r="B84" s="1">
        <f>IFERROR(__xludf.DUMMYFUNCTION("""COMPUTED_VALUE"""),4090.0)</f>
        <v>4090</v>
      </c>
      <c r="C84" s="1">
        <f>IFERROR(__xludf.DUMMYFUNCTION("""COMPUTED_VALUE"""),4160.0)</f>
        <v>4160</v>
      </c>
      <c r="D84" s="1">
        <f>IFERROR(__xludf.DUMMYFUNCTION("""COMPUTED_VALUE"""),4040.0)</f>
        <v>4040</v>
      </c>
      <c r="E84" s="1">
        <f>IFERROR(__xludf.DUMMYFUNCTION("""COMPUTED_VALUE"""),4130.0)</f>
        <v>4130</v>
      </c>
      <c r="F84" s="1">
        <f>IFERROR(__xludf.DUMMYFUNCTION("""COMPUTED_VALUE"""),23597.0)</f>
        <v>23597</v>
      </c>
    </row>
    <row r="85">
      <c r="A85" s="2">
        <f>IFERROR(__xludf.DUMMYFUNCTION("""COMPUTED_VALUE"""),41129.645833333336)</f>
        <v>41129.64583</v>
      </c>
      <c r="B85" s="1">
        <f>IFERROR(__xludf.DUMMYFUNCTION("""COMPUTED_VALUE"""),4160.0)</f>
        <v>4160</v>
      </c>
      <c r="C85" s="1">
        <f>IFERROR(__xludf.DUMMYFUNCTION("""COMPUTED_VALUE"""),4180.0)</f>
        <v>4180</v>
      </c>
      <c r="D85" s="1">
        <f>IFERROR(__xludf.DUMMYFUNCTION("""COMPUTED_VALUE"""),4050.0)</f>
        <v>4050</v>
      </c>
      <c r="E85" s="1">
        <f>IFERROR(__xludf.DUMMYFUNCTION("""COMPUTED_VALUE"""),4075.0)</f>
        <v>4075</v>
      </c>
      <c r="F85" s="1">
        <f>IFERROR(__xludf.DUMMYFUNCTION("""COMPUTED_VALUE"""),46821.0)</f>
        <v>46821</v>
      </c>
    </row>
    <row r="86">
      <c r="A86" s="2">
        <f>IFERROR(__xludf.DUMMYFUNCTION("""COMPUTED_VALUE"""),41130.645833333336)</f>
        <v>41130.64583</v>
      </c>
      <c r="B86" s="1">
        <f>IFERROR(__xludf.DUMMYFUNCTION("""COMPUTED_VALUE"""),4165.0)</f>
        <v>4165</v>
      </c>
      <c r="C86" s="1">
        <f>IFERROR(__xludf.DUMMYFUNCTION("""COMPUTED_VALUE"""),4165.0)</f>
        <v>4165</v>
      </c>
      <c r="D86" s="1">
        <f>IFERROR(__xludf.DUMMYFUNCTION("""COMPUTED_VALUE"""),4050.0)</f>
        <v>4050</v>
      </c>
      <c r="E86" s="1">
        <f>IFERROR(__xludf.DUMMYFUNCTION("""COMPUTED_VALUE"""),4055.0)</f>
        <v>4055</v>
      </c>
      <c r="F86" s="1">
        <f>IFERROR(__xludf.DUMMYFUNCTION("""COMPUTED_VALUE"""),23705.0)</f>
        <v>23705</v>
      </c>
    </row>
    <row r="87">
      <c r="A87" s="2">
        <f>IFERROR(__xludf.DUMMYFUNCTION("""COMPUTED_VALUE"""),41131.645833333336)</f>
        <v>41131.64583</v>
      </c>
      <c r="B87" s="1">
        <f>IFERROR(__xludf.DUMMYFUNCTION("""COMPUTED_VALUE"""),4130.0)</f>
        <v>4130</v>
      </c>
      <c r="C87" s="1">
        <f>IFERROR(__xludf.DUMMYFUNCTION("""COMPUTED_VALUE"""),4150.0)</f>
        <v>4150</v>
      </c>
      <c r="D87" s="1">
        <f>IFERROR(__xludf.DUMMYFUNCTION("""COMPUTED_VALUE"""),4020.0)</f>
        <v>4020</v>
      </c>
      <c r="E87" s="1">
        <f>IFERROR(__xludf.DUMMYFUNCTION("""COMPUTED_VALUE"""),4120.0)</f>
        <v>4120</v>
      </c>
      <c r="F87" s="1">
        <f>IFERROR(__xludf.DUMMYFUNCTION("""COMPUTED_VALUE"""),17740.0)</f>
        <v>17740</v>
      </c>
    </row>
    <row r="88">
      <c r="A88" s="2">
        <f>IFERROR(__xludf.DUMMYFUNCTION("""COMPUTED_VALUE"""),41134.645833333336)</f>
        <v>41134.64583</v>
      </c>
      <c r="B88" s="1">
        <f>IFERROR(__xludf.DUMMYFUNCTION("""COMPUTED_VALUE"""),4120.0)</f>
        <v>4120</v>
      </c>
      <c r="C88" s="1">
        <f>IFERROR(__xludf.DUMMYFUNCTION("""COMPUTED_VALUE"""),4120.0)</f>
        <v>4120</v>
      </c>
      <c r="D88" s="1">
        <f>IFERROR(__xludf.DUMMYFUNCTION("""COMPUTED_VALUE"""),4070.0)</f>
        <v>4070</v>
      </c>
      <c r="E88" s="1">
        <f>IFERROR(__xludf.DUMMYFUNCTION("""COMPUTED_VALUE"""),4110.0)</f>
        <v>4110</v>
      </c>
      <c r="F88" s="1">
        <f>IFERROR(__xludf.DUMMYFUNCTION("""COMPUTED_VALUE"""),7688.0)</f>
        <v>7688</v>
      </c>
    </row>
    <row r="89">
      <c r="A89" s="2">
        <f>IFERROR(__xludf.DUMMYFUNCTION("""COMPUTED_VALUE"""),41135.645833333336)</f>
        <v>41135.64583</v>
      </c>
      <c r="B89" s="1">
        <f>IFERROR(__xludf.DUMMYFUNCTION("""COMPUTED_VALUE"""),4150.0)</f>
        <v>4150</v>
      </c>
      <c r="C89" s="1">
        <f>IFERROR(__xludf.DUMMYFUNCTION("""COMPUTED_VALUE"""),4150.0)</f>
        <v>4150</v>
      </c>
      <c r="D89" s="1">
        <f>IFERROR(__xludf.DUMMYFUNCTION("""COMPUTED_VALUE"""),4060.0)</f>
        <v>4060</v>
      </c>
      <c r="E89" s="1">
        <f>IFERROR(__xludf.DUMMYFUNCTION("""COMPUTED_VALUE"""),4100.0)</f>
        <v>4100</v>
      </c>
      <c r="F89" s="1">
        <f>IFERROR(__xludf.DUMMYFUNCTION("""COMPUTED_VALUE"""),20871.0)</f>
        <v>20871</v>
      </c>
    </row>
    <row r="90">
      <c r="A90" s="2">
        <f>IFERROR(__xludf.DUMMYFUNCTION("""COMPUTED_VALUE"""),41137.645833333336)</f>
        <v>41137.64583</v>
      </c>
      <c r="B90" s="1">
        <f>IFERROR(__xludf.DUMMYFUNCTION("""COMPUTED_VALUE"""),4130.0)</f>
        <v>4130</v>
      </c>
      <c r="C90" s="1">
        <f>IFERROR(__xludf.DUMMYFUNCTION("""COMPUTED_VALUE"""),4130.0)</f>
        <v>4130</v>
      </c>
      <c r="D90" s="1">
        <f>IFERROR(__xludf.DUMMYFUNCTION("""COMPUTED_VALUE"""),4010.0)</f>
        <v>4010</v>
      </c>
      <c r="E90" s="1">
        <f>IFERROR(__xludf.DUMMYFUNCTION("""COMPUTED_VALUE"""),4040.0)</f>
        <v>4040</v>
      </c>
      <c r="F90" s="1">
        <f>IFERROR(__xludf.DUMMYFUNCTION("""COMPUTED_VALUE"""),23249.0)</f>
        <v>23249</v>
      </c>
    </row>
    <row r="91">
      <c r="A91" s="2">
        <f>IFERROR(__xludf.DUMMYFUNCTION("""COMPUTED_VALUE"""),41138.645833333336)</f>
        <v>41138.64583</v>
      </c>
      <c r="B91" s="1">
        <f>IFERROR(__xludf.DUMMYFUNCTION("""COMPUTED_VALUE"""),4040.0)</f>
        <v>4040</v>
      </c>
      <c r="C91" s="1">
        <f>IFERROR(__xludf.DUMMYFUNCTION("""COMPUTED_VALUE"""),4070.0)</f>
        <v>4070</v>
      </c>
      <c r="D91" s="1">
        <f>IFERROR(__xludf.DUMMYFUNCTION("""COMPUTED_VALUE"""),3960.0)</f>
        <v>3960</v>
      </c>
      <c r="E91" s="1">
        <f>IFERROR(__xludf.DUMMYFUNCTION("""COMPUTED_VALUE"""),4015.0)</f>
        <v>4015</v>
      </c>
      <c r="F91" s="1">
        <f>IFERROR(__xludf.DUMMYFUNCTION("""COMPUTED_VALUE"""),30501.0)</f>
        <v>30501</v>
      </c>
    </row>
    <row r="92">
      <c r="A92" s="2">
        <f>IFERROR(__xludf.DUMMYFUNCTION("""COMPUTED_VALUE"""),41141.645833333336)</f>
        <v>41141.64583</v>
      </c>
      <c r="B92" s="1">
        <f>IFERROR(__xludf.DUMMYFUNCTION("""COMPUTED_VALUE"""),4000.0)</f>
        <v>4000</v>
      </c>
      <c r="C92" s="1">
        <f>IFERROR(__xludf.DUMMYFUNCTION("""COMPUTED_VALUE"""),4015.0)</f>
        <v>4015</v>
      </c>
      <c r="D92" s="1">
        <f>IFERROR(__xludf.DUMMYFUNCTION("""COMPUTED_VALUE"""),3955.0)</f>
        <v>3955</v>
      </c>
      <c r="E92" s="1">
        <f>IFERROR(__xludf.DUMMYFUNCTION("""COMPUTED_VALUE"""),3960.0)</f>
        <v>3960</v>
      </c>
      <c r="F92" s="1">
        <f>IFERROR(__xludf.DUMMYFUNCTION("""COMPUTED_VALUE"""),27289.0)</f>
        <v>27289</v>
      </c>
    </row>
    <row r="93">
      <c r="A93" s="2">
        <f>IFERROR(__xludf.DUMMYFUNCTION("""COMPUTED_VALUE"""),41142.645833333336)</f>
        <v>41142.64583</v>
      </c>
      <c r="B93" s="1">
        <f>IFERROR(__xludf.DUMMYFUNCTION("""COMPUTED_VALUE"""),4010.0)</f>
        <v>4010</v>
      </c>
      <c r="C93" s="1">
        <f>IFERROR(__xludf.DUMMYFUNCTION("""COMPUTED_VALUE"""),4010.0)</f>
        <v>4010</v>
      </c>
      <c r="D93" s="1">
        <f>IFERROR(__xludf.DUMMYFUNCTION("""COMPUTED_VALUE"""),3900.0)</f>
        <v>3900</v>
      </c>
      <c r="E93" s="1">
        <f>IFERROR(__xludf.DUMMYFUNCTION("""COMPUTED_VALUE"""),3995.0)</f>
        <v>3995</v>
      </c>
      <c r="F93" s="1">
        <f>IFERROR(__xludf.DUMMYFUNCTION("""COMPUTED_VALUE"""),39960.0)</f>
        <v>39960</v>
      </c>
    </row>
    <row r="94">
      <c r="A94" s="2">
        <f>IFERROR(__xludf.DUMMYFUNCTION("""COMPUTED_VALUE"""),41143.645833333336)</f>
        <v>41143.64583</v>
      </c>
      <c r="B94" s="1">
        <f>IFERROR(__xludf.DUMMYFUNCTION("""COMPUTED_VALUE"""),4030.0)</f>
        <v>4030</v>
      </c>
      <c r="C94" s="1">
        <f>IFERROR(__xludf.DUMMYFUNCTION("""COMPUTED_VALUE"""),4395.0)</f>
        <v>4395</v>
      </c>
      <c r="D94" s="1">
        <f>IFERROR(__xludf.DUMMYFUNCTION("""COMPUTED_VALUE"""),4000.0)</f>
        <v>4000</v>
      </c>
      <c r="E94" s="1">
        <f>IFERROR(__xludf.DUMMYFUNCTION("""COMPUTED_VALUE"""),4300.0)</f>
        <v>4300</v>
      </c>
      <c r="F94" s="1">
        <f>IFERROR(__xludf.DUMMYFUNCTION("""COMPUTED_VALUE"""),89719.0)</f>
        <v>89719</v>
      </c>
    </row>
    <row r="95">
      <c r="A95" s="2">
        <f>IFERROR(__xludf.DUMMYFUNCTION("""COMPUTED_VALUE"""),41144.645833333336)</f>
        <v>41144.64583</v>
      </c>
      <c r="B95" s="1">
        <f>IFERROR(__xludf.DUMMYFUNCTION("""COMPUTED_VALUE"""),4330.0)</f>
        <v>4330</v>
      </c>
      <c r="C95" s="1">
        <f>IFERROR(__xludf.DUMMYFUNCTION("""COMPUTED_VALUE"""),4390.0)</f>
        <v>4390</v>
      </c>
      <c r="D95" s="1">
        <f>IFERROR(__xludf.DUMMYFUNCTION("""COMPUTED_VALUE"""),4190.0)</f>
        <v>4190</v>
      </c>
      <c r="E95" s="1">
        <f>IFERROR(__xludf.DUMMYFUNCTION("""COMPUTED_VALUE"""),4250.0)</f>
        <v>4250</v>
      </c>
      <c r="F95" s="1">
        <f>IFERROR(__xludf.DUMMYFUNCTION("""COMPUTED_VALUE"""),37488.0)</f>
        <v>37488</v>
      </c>
    </row>
    <row r="96">
      <c r="A96" s="2">
        <f>IFERROR(__xludf.DUMMYFUNCTION("""COMPUTED_VALUE"""),41145.645833333336)</f>
        <v>41145.64583</v>
      </c>
      <c r="B96" s="1">
        <f>IFERROR(__xludf.DUMMYFUNCTION("""COMPUTED_VALUE"""),4230.0)</f>
        <v>4230</v>
      </c>
      <c r="C96" s="1">
        <f>IFERROR(__xludf.DUMMYFUNCTION("""COMPUTED_VALUE"""),4250.0)</f>
        <v>4250</v>
      </c>
      <c r="D96" s="1">
        <f>IFERROR(__xludf.DUMMYFUNCTION("""COMPUTED_VALUE"""),4035.0)</f>
        <v>4035</v>
      </c>
      <c r="E96" s="1">
        <f>IFERROR(__xludf.DUMMYFUNCTION("""COMPUTED_VALUE"""),4035.0)</f>
        <v>4035</v>
      </c>
      <c r="F96" s="1">
        <f>IFERROR(__xludf.DUMMYFUNCTION("""COMPUTED_VALUE"""),58489.0)</f>
        <v>58489</v>
      </c>
    </row>
    <row r="97">
      <c r="A97" s="2">
        <f>IFERROR(__xludf.DUMMYFUNCTION("""COMPUTED_VALUE"""),41148.645833333336)</f>
        <v>41148.64583</v>
      </c>
      <c r="B97" s="1">
        <f>IFERROR(__xludf.DUMMYFUNCTION("""COMPUTED_VALUE"""),3990.0)</f>
        <v>3990</v>
      </c>
      <c r="C97" s="1">
        <f>IFERROR(__xludf.DUMMYFUNCTION("""COMPUTED_VALUE"""),4050.0)</f>
        <v>4050</v>
      </c>
      <c r="D97" s="1">
        <f>IFERROR(__xludf.DUMMYFUNCTION("""COMPUTED_VALUE"""),3930.0)</f>
        <v>3930</v>
      </c>
      <c r="E97" s="1">
        <f>IFERROR(__xludf.DUMMYFUNCTION("""COMPUTED_VALUE"""),4050.0)</f>
        <v>4050</v>
      </c>
      <c r="F97" s="1">
        <f>IFERROR(__xludf.DUMMYFUNCTION("""COMPUTED_VALUE"""),38889.0)</f>
        <v>38889</v>
      </c>
    </row>
    <row r="98">
      <c r="A98" s="2">
        <f>IFERROR(__xludf.DUMMYFUNCTION("""COMPUTED_VALUE"""),41149.645833333336)</f>
        <v>41149.64583</v>
      </c>
      <c r="B98" s="1">
        <f>IFERROR(__xludf.DUMMYFUNCTION("""COMPUTED_VALUE"""),4050.0)</f>
        <v>4050</v>
      </c>
      <c r="C98" s="1">
        <f>IFERROR(__xludf.DUMMYFUNCTION("""COMPUTED_VALUE"""),4050.0)</f>
        <v>4050</v>
      </c>
      <c r="D98" s="1">
        <f>IFERROR(__xludf.DUMMYFUNCTION("""COMPUTED_VALUE"""),3965.0)</f>
        <v>3965</v>
      </c>
      <c r="E98" s="1">
        <f>IFERROR(__xludf.DUMMYFUNCTION("""COMPUTED_VALUE"""),4020.0)</f>
        <v>4020</v>
      </c>
      <c r="F98" s="1">
        <f>IFERROR(__xludf.DUMMYFUNCTION("""COMPUTED_VALUE"""),4957.0)</f>
        <v>4957</v>
      </c>
    </row>
    <row r="99">
      <c r="A99" s="2">
        <f>IFERROR(__xludf.DUMMYFUNCTION("""COMPUTED_VALUE"""),41150.645833333336)</f>
        <v>41150.64583</v>
      </c>
      <c r="B99" s="1">
        <f>IFERROR(__xludf.DUMMYFUNCTION("""COMPUTED_VALUE"""),4015.0)</f>
        <v>4015</v>
      </c>
      <c r="C99" s="1">
        <f>IFERROR(__xludf.DUMMYFUNCTION("""COMPUTED_VALUE"""),4020.0)</f>
        <v>4020</v>
      </c>
      <c r="D99" s="1">
        <f>IFERROR(__xludf.DUMMYFUNCTION("""COMPUTED_VALUE"""),3920.0)</f>
        <v>3920</v>
      </c>
      <c r="E99" s="1">
        <f>IFERROR(__xludf.DUMMYFUNCTION("""COMPUTED_VALUE"""),3920.0)</f>
        <v>3920</v>
      </c>
      <c r="F99" s="1">
        <f>IFERROR(__xludf.DUMMYFUNCTION("""COMPUTED_VALUE"""),29667.0)</f>
        <v>29667</v>
      </c>
    </row>
    <row r="100">
      <c r="A100" s="2">
        <f>IFERROR(__xludf.DUMMYFUNCTION("""COMPUTED_VALUE"""),41151.645833333336)</f>
        <v>41151.64583</v>
      </c>
      <c r="B100" s="1">
        <f>IFERROR(__xludf.DUMMYFUNCTION("""COMPUTED_VALUE"""),3995.0)</f>
        <v>3995</v>
      </c>
      <c r="C100" s="1">
        <f>IFERROR(__xludf.DUMMYFUNCTION("""COMPUTED_VALUE"""),4050.0)</f>
        <v>4050</v>
      </c>
      <c r="D100" s="1">
        <f>IFERROR(__xludf.DUMMYFUNCTION("""COMPUTED_VALUE"""),3825.0)</f>
        <v>3825</v>
      </c>
      <c r="E100" s="1">
        <f>IFERROR(__xludf.DUMMYFUNCTION("""COMPUTED_VALUE"""),3850.0)</f>
        <v>3850</v>
      </c>
      <c r="F100" s="1">
        <f>IFERROR(__xludf.DUMMYFUNCTION("""COMPUTED_VALUE"""),27467.0)</f>
        <v>27467</v>
      </c>
    </row>
    <row r="101">
      <c r="A101" s="2">
        <f>IFERROR(__xludf.DUMMYFUNCTION("""COMPUTED_VALUE"""),41152.645833333336)</f>
        <v>41152.64583</v>
      </c>
      <c r="B101" s="1">
        <f>IFERROR(__xludf.DUMMYFUNCTION("""COMPUTED_VALUE"""),3830.0)</f>
        <v>3830</v>
      </c>
      <c r="C101" s="1">
        <f>IFERROR(__xludf.DUMMYFUNCTION("""COMPUTED_VALUE"""),3940.0)</f>
        <v>3940</v>
      </c>
      <c r="D101" s="1">
        <f>IFERROR(__xludf.DUMMYFUNCTION("""COMPUTED_VALUE"""),3730.0)</f>
        <v>3730</v>
      </c>
      <c r="E101" s="1">
        <f>IFERROR(__xludf.DUMMYFUNCTION("""COMPUTED_VALUE"""),3900.0)</f>
        <v>3900</v>
      </c>
      <c r="F101" s="1">
        <f>IFERROR(__xludf.DUMMYFUNCTION("""COMPUTED_VALUE"""),46485.0)</f>
        <v>46485</v>
      </c>
    </row>
    <row r="102">
      <c r="A102" s="2">
        <f>IFERROR(__xludf.DUMMYFUNCTION("""COMPUTED_VALUE"""),41155.645833333336)</f>
        <v>41155.64583</v>
      </c>
      <c r="B102" s="1">
        <f>IFERROR(__xludf.DUMMYFUNCTION("""COMPUTED_VALUE"""),4095.0)</f>
        <v>4095</v>
      </c>
      <c r="C102" s="1">
        <f>IFERROR(__xludf.DUMMYFUNCTION("""COMPUTED_VALUE"""),4095.0)</f>
        <v>4095</v>
      </c>
      <c r="D102" s="1">
        <f>IFERROR(__xludf.DUMMYFUNCTION("""COMPUTED_VALUE"""),3850.0)</f>
        <v>3850</v>
      </c>
      <c r="E102" s="1">
        <f>IFERROR(__xludf.DUMMYFUNCTION("""COMPUTED_VALUE"""),3890.0)</f>
        <v>3890</v>
      </c>
      <c r="F102" s="1">
        <f>IFERROR(__xludf.DUMMYFUNCTION("""COMPUTED_VALUE"""),16104.0)</f>
        <v>16104</v>
      </c>
    </row>
    <row r="103">
      <c r="A103" s="2">
        <f>IFERROR(__xludf.DUMMYFUNCTION("""COMPUTED_VALUE"""),41156.645833333336)</f>
        <v>41156.64583</v>
      </c>
      <c r="B103" s="1">
        <f>IFERROR(__xludf.DUMMYFUNCTION("""COMPUTED_VALUE"""),3905.0)</f>
        <v>3905</v>
      </c>
      <c r="C103" s="1">
        <f>IFERROR(__xludf.DUMMYFUNCTION("""COMPUTED_VALUE"""),4000.0)</f>
        <v>4000</v>
      </c>
      <c r="D103" s="1">
        <f>IFERROR(__xludf.DUMMYFUNCTION("""COMPUTED_VALUE"""),3850.0)</f>
        <v>3850</v>
      </c>
      <c r="E103" s="1">
        <f>IFERROR(__xludf.DUMMYFUNCTION("""COMPUTED_VALUE"""),3940.0)</f>
        <v>3940</v>
      </c>
      <c r="F103" s="1">
        <f>IFERROR(__xludf.DUMMYFUNCTION("""COMPUTED_VALUE"""),17431.0)</f>
        <v>17431</v>
      </c>
    </row>
    <row r="104">
      <c r="A104" s="2">
        <f>IFERROR(__xludf.DUMMYFUNCTION("""COMPUTED_VALUE"""),41157.645833333336)</f>
        <v>41157.64583</v>
      </c>
      <c r="B104" s="1">
        <f>IFERROR(__xludf.DUMMYFUNCTION("""COMPUTED_VALUE"""),4115.0)</f>
        <v>4115</v>
      </c>
      <c r="C104" s="1">
        <f>IFERROR(__xludf.DUMMYFUNCTION("""COMPUTED_VALUE"""),4115.0)</f>
        <v>4115</v>
      </c>
      <c r="D104" s="1">
        <f>IFERROR(__xludf.DUMMYFUNCTION("""COMPUTED_VALUE"""),3910.0)</f>
        <v>3910</v>
      </c>
      <c r="E104" s="1">
        <f>IFERROR(__xludf.DUMMYFUNCTION("""COMPUTED_VALUE"""),3980.0)</f>
        <v>3980</v>
      </c>
      <c r="F104" s="1">
        <f>IFERROR(__xludf.DUMMYFUNCTION("""COMPUTED_VALUE"""),32652.0)</f>
        <v>32652</v>
      </c>
    </row>
    <row r="105">
      <c r="A105" s="2">
        <f>IFERROR(__xludf.DUMMYFUNCTION("""COMPUTED_VALUE"""),41158.645833333336)</f>
        <v>41158.64583</v>
      </c>
      <c r="B105" s="1">
        <f>IFERROR(__xludf.DUMMYFUNCTION("""COMPUTED_VALUE"""),3940.0)</f>
        <v>3940</v>
      </c>
      <c r="C105" s="1">
        <f>IFERROR(__xludf.DUMMYFUNCTION("""COMPUTED_VALUE"""),4160.0)</f>
        <v>4160</v>
      </c>
      <c r="D105" s="1">
        <f>IFERROR(__xludf.DUMMYFUNCTION("""COMPUTED_VALUE"""),3940.0)</f>
        <v>3940</v>
      </c>
      <c r="E105" s="1">
        <f>IFERROR(__xludf.DUMMYFUNCTION("""COMPUTED_VALUE"""),4115.0)</f>
        <v>4115</v>
      </c>
      <c r="F105" s="1">
        <f>IFERROR(__xludf.DUMMYFUNCTION("""COMPUTED_VALUE"""),30616.0)</f>
        <v>30616</v>
      </c>
    </row>
    <row r="106">
      <c r="A106" s="2">
        <f>IFERROR(__xludf.DUMMYFUNCTION("""COMPUTED_VALUE"""),41159.645833333336)</f>
        <v>41159.64583</v>
      </c>
      <c r="B106" s="1">
        <f>IFERROR(__xludf.DUMMYFUNCTION("""COMPUTED_VALUE"""),4115.0)</f>
        <v>4115</v>
      </c>
      <c r="C106" s="1">
        <f>IFERROR(__xludf.DUMMYFUNCTION("""COMPUTED_VALUE"""),4250.0)</f>
        <v>4250</v>
      </c>
      <c r="D106" s="1">
        <f>IFERROR(__xludf.DUMMYFUNCTION("""COMPUTED_VALUE"""),4060.0)</f>
        <v>4060</v>
      </c>
      <c r="E106" s="1">
        <f>IFERROR(__xludf.DUMMYFUNCTION("""COMPUTED_VALUE"""),4210.0)</f>
        <v>4210</v>
      </c>
      <c r="F106" s="1">
        <f>IFERROR(__xludf.DUMMYFUNCTION("""COMPUTED_VALUE"""),66418.0)</f>
        <v>66418</v>
      </c>
    </row>
    <row r="107">
      <c r="A107" s="2">
        <f>IFERROR(__xludf.DUMMYFUNCTION("""COMPUTED_VALUE"""),41162.645833333336)</f>
        <v>41162.64583</v>
      </c>
      <c r="B107" s="1">
        <f>IFERROR(__xludf.DUMMYFUNCTION("""COMPUTED_VALUE"""),4185.0)</f>
        <v>4185</v>
      </c>
      <c r="C107" s="1">
        <f>IFERROR(__xludf.DUMMYFUNCTION("""COMPUTED_VALUE"""),4200.0)</f>
        <v>4200</v>
      </c>
      <c r="D107" s="1">
        <f>IFERROR(__xludf.DUMMYFUNCTION("""COMPUTED_VALUE"""),4080.0)</f>
        <v>4080</v>
      </c>
      <c r="E107" s="1">
        <f>IFERROR(__xludf.DUMMYFUNCTION("""COMPUTED_VALUE"""),4145.0)</f>
        <v>4145</v>
      </c>
      <c r="F107" s="1">
        <f>IFERROR(__xludf.DUMMYFUNCTION("""COMPUTED_VALUE"""),50343.0)</f>
        <v>50343</v>
      </c>
    </row>
    <row r="108">
      <c r="A108" s="2">
        <f>IFERROR(__xludf.DUMMYFUNCTION("""COMPUTED_VALUE"""),41163.645833333336)</f>
        <v>41163.64583</v>
      </c>
      <c r="B108" s="1">
        <f>IFERROR(__xludf.DUMMYFUNCTION("""COMPUTED_VALUE"""),4145.0)</f>
        <v>4145</v>
      </c>
      <c r="C108" s="1">
        <f>IFERROR(__xludf.DUMMYFUNCTION("""COMPUTED_VALUE"""),4145.0)</f>
        <v>4145</v>
      </c>
      <c r="D108" s="1">
        <f>IFERROR(__xludf.DUMMYFUNCTION("""COMPUTED_VALUE"""),3980.0)</f>
        <v>3980</v>
      </c>
      <c r="E108" s="1">
        <f>IFERROR(__xludf.DUMMYFUNCTION("""COMPUTED_VALUE"""),4035.0)</f>
        <v>4035</v>
      </c>
      <c r="F108" s="1">
        <f>IFERROR(__xludf.DUMMYFUNCTION("""COMPUTED_VALUE"""),79861.0)</f>
        <v>79861</v>
      </c>
    </row>
    <row r="109">
      <c r="A109" s="2">
        <f>IFERROR(__xludf.DUMMYFUNCTION("""COMPUTED_VALUE"""),41164.645833333336)</f>
        <v>41164.64583</v>
      </c>
      <c r="B109" s="1">
        <f>IFERROR(__xludf.DUMMYFUNCTION("""COMPUTED_VALUE"""),4035.0)</f>
        <v>4035</v>
      </c>
      <c r="C109" s="1">
        <f>IFERROR(__xludf.DUMMYFUNCTION("""COMPUTED_VALUE"""),4250.0)</f>
        <v>4250</v>
      </c>
      <c r="D109" s="1">
        <f>IFERROR(__xludf.DUMMYFUNCTION("""COMPUTED_VALUE"""),4035.0)</f>
        <v>4035</v>
      </c>
      <c r="E109" s="1">
        <f>IFERROR(__xludf.DUMMYFUNCTION("""COMPUTED_VALUE"""),4165.0)</f>
        <v>4165</v>
      </c>
      <c r="F109" s="1">
        <f>IFERROR(__xludf.DUMMYFUNCTION("""COMPUTED_VALUE"""),79948.0)</f>
        <v>79948</v>
      </c>
    </row>
    <row r="110">
      <c r="A110" s="2">
        <f>IFERROR(__xludf.DUMMYFUNCTION("""COMPUTED_VALUE"""),41165.645833333336)</f>
        <v>41165.64583</v>
      </c>
      <c r="B110" s="1">
        <f>IFERROR(__xludf.DUMMYFUNCTION("""COMPUTED_VALUE"""),4170.0)</f>
        <v>4170</v>
      </c>
      <c r="C110" s="1">
        <f>IFERROR(__xludf.DUMMYFUNCTION("""COMPUTED_VALUE"""),4190.0)</f>
        <v>4190</v>
      </c>
      <c r="D110" s="1">
        <f>IFERROR(__xludf.DUMMYFUNCTION("""COMPUTED_VALUE"""),4090.0)</f>
        <v>4090</v>
      </c>
      <c r="E110" s="1">
        <f>IFERROR(__xludf.DUMMYFUNCTION("""COMPUTED_VALUE"""),4165.0)</f>
        <v>4165</v>
      </c>
      <c r="F110" s="1">
        <f>IFERROR(__xludf.DUMMYFUNCTION("""COMPUTED_VALUE"""),51956.0)</f>
        <v>51956</v>
      </c>
    </row>
    <row r="111">
      <c r="A111" s="2">
        <f>IFERROR(__xludf.DUMMYFUNCTION("""COMPUTED_VALUE"""),41166.645833333336)</f>
        <v>41166.64583</v>
      </c>
      <c r="B111" s="1">
        <f>IFERROR(__xludf.DUMMYFUNCTION("""COMPUTED_VALUE"""),4160.0)</f>
        <v>4160</v>
      </c>
      <c r="C111" s="1">
        <f>IFERROR(__xludf.DUMMYFUNCTION("""COMPUTED_VALUE"""),4165.0)</f>
        <v>4165</v>
      </c>
      <c r="D111" s="1">
        <f>IFERROR(__xludf.DUMMYFUNCTION("""COMPUTED_VALUE"""),4030.0)</f>
        <v>4030</v>
      </c>
      <c r="E111" s="1">
        <f>IFERROR(__xludf.DUMMYFUNCTION("""COMPUTED_VALUE"""),4090.0)</f>
        <v>4090</v>
      </c>
      <c r="F111" s="1">
        <f>IFERROR(__xludf.DUMMYFUNCTION("""COMPUTED_VALUE"""),56009.0)</f>
        <v>56009</v>
      </c>
    </row>
    <row r="112">
      <c r="A112" s="2">
        <f>IFERROR(__xludf.DUMMYFUNCTION("""COMPUTED_VALUE"""),41169.645833333336)</f>
        <v>41169.64583</v>
      </c>
      <c r="B112" s="1">
        <f>IFERROR(__xludf.DUMMYFUNCTION("""COMPUTED_VALUE"""),4045.0)</f>
        <v>4045</v>
      </c>
      <c r="C112" s="1">
        <f>IFERROR(__xludf.DUMMYFUNCTION("""COMPUTED_VALUE"""),4100.0)</f>
        <v>4100</v>
      </c>
      <c r="D112" s="1">
        <f>IFERROR(__xludf.DUMMYFUNCTION("""COMPUTED_VALUE"""),3980.0)</f>
        <v>3980</v>
      </c>
      <c r="E112" s="1">
        <f>IFERROR(__xludf.DUMMYFUNCTION("""COMPUTED_VALUE"""),4020.0)</f>
        <v>4020</v>
      </c>
      <c r="F112" s="1">
        <f>IFERROR(__xludf.DUMMYFUNCTION("""COMPUTED_VALUE"""),46178.0)</f>
        <v>46178</v>
      </c>
    </row>
    <row r="113">
      <c r="A113" s="2">
        <f>IFERROR(__xludf.DUMMYFUNCTION("""COMPUTED_VALUE"""),41170.645833333336)</f>
        <v>41170.64583</v>
      </c>
      <c r="B113" s="1">
        <f>IFERROR(__xludf.DUMMYFUNCTION("""COMPUTED_VALUE"""),4055.0)</f>
        <v>4055</v>
      </c>
      <c r="C113" s="1">
        <f>IFERROR(__xludf.DUMMYFUNCTION("""COMPUTED_VALUE"""),4055.0)</f>
        <v>4055</v>
      </c>
      <c r="D113" s="1">
        <f>IFERROR(__xludf.DUMMYFUNCTION("""COMPUTED_VALUE"""),3945.0)</f>
        <v>3945</v>
      </c>
      <c r="E113" s="1">
        <f>IFERROR(__xludf.DUMMYFUNCTION("""COMPUTED_VALUE"""),4020.0)</f>
        <v>4020</v>
      </c>
      <c r="F113" s="1">
        <f>IFERROR(__xludf.DUMMYFUNCTION("""COMPUTED_VALUE"""),41518.0)</f>
        <v>41518</v>
      </c>
    </row>
    <row r="114">
      <c r="A114" s="2">
        <f>IFERROR(__xludf.DUMMYFUNCTION("""COMPUTED_VALUE"""),41171.645833333336)</f>
        <v>41171.64583</v>
      </c>
      <c r="B114" s="1">
        <f>IFERROR(__xludf.DUMMYFUNCTION("""COMPUTED_VALUE"""),4045.0)</f>
        <v>4045</v>
      </c>
      <c r="C114" s="1">
        <f>IFERROR(__xludf.DUMMYFUNCTION("""COMPUTED_VALUE"""),4045.0)</f>
        <v>4045</v>
      </c>
      <c r="D114" s="1">
        <f>IFERROR(__xludf.DUMMYFUNCTION("""COMPUTED_VALUE"""),3825.0)</f>
        <v>3825</v>
      </c>
      <c r="E114" s="1">
        <f>IFERROR(__xludf.DUMMYFUNCTION("""COMPUTED_VALUE"""),3970.0)</f>
        <v>3970</v>
      </c>
      <c r="F114" s="1">
        <f>IFERROR(__xludf.DUMMYFUNCTION("""COMPUTED_VALUE"""),45459.0)</f>
        <v>45459</v>
      </c>
    </row>
    <row r="115">
      <c r="A115" s="2">
        <f>IFERROR(__xludf.DUMMYFUNCTION("""COMPUTED_VALUE"""),41172.645833333336)</f>
        <v>41172.64583</v>
      </c>
      <c r="B115" s="1">
        <f>IFERROR(__xludf.DUMMYFUNCTION("""COMPUTED_VALUE"""),4020.0)</f>
        <v>4020</v>
      </c>
      <c r="C115" s="1">
        <f>IFERROR(__xludf.DUMMYFUNCTION("""COMPUTED_VALUE"""),4020.0)</f>
        <v>4020</v>
      </c>
      <c r="D115" s="1">
        <f>IFERROR(__xludf.DUMMYFUNCTION("""COMPUTED_VALUE"""),3900.0)</f>
        <v>3900</v>
      </c>
      <c r="E115" s="1">
        <f>IFERROR(__xludf.DUMMYFUNCTION("""COMPUTED_VALUE"""),3990.0)</f>
        <v>3990</v>
      </c>
      <c r="F115" s="1">
        <f>IFERROR(__xludf.DUMMYFUNCTION("""COMPUTED_VALUE"""),17456.0)</f>
        <v>17456</v>
      </c>
    </row>
    <row r="116">
      <c r="A116" s="2">
        <f>IFERROR(__xludf.DUMMYFUNCTION("""COMPUTED_VALUE"""),41173.645833333336)</f>
        <v>41173.64583</v>
      </c>
      <c r="B116" s="1">
        <f>IFERROR(__xludf.DUMMYFUNCTION("""COMPUTED_VALUE"""),4000.0)</f>
        <v>4000</v>
      </c>
      <c r="C116" s="1">
        <f>IFERROR(__xludf.DUMMYFUNCTION("""COMPUTED_VALUE"""),4000.0)</f>
        <v>4000</v>
      </c>
      <c r="D116" s="1">
        <f>IFERROR(__xludf.DUMMYFUNCTION("""COMPUTED_VALUE"""),3855.0)</f>
        <v>3855</v>
      </c>
      <c r="E116" s="1">
        <f>IFERROR(__xludf.DUMMYFUNCTION("""COMPUTED_VALUE"""),4000.0)</f>
        <v>4000</v>
      </c>
      <c r="F116" s="1">
        <f>IFERROR(__xludf.DUMMYFUNCTION("""COMPUTED_VALUE"""),45731.0)</f>
        <v>45731</v>
      </c>
    </row>
    <row r="117">
      <c r="A117" s="2">
        <f>IFERROR(__xludf.DUMMYFUNCTION("""COMPUTED_VALUE"""),41176.645833333336)</f>
        <v>41176.64583</v>
      </c>
      <c r="B117" s="1">
        <f>IFERROR(__xludf.DUMMYFUNCTION("""COMPUTED_VALUE"""),3990.0)</f>
        <v>3990</v>
      </c>
      <c r="C117" s="1">
        <f>IFERROR(__xludf.DUMMYFUNCTION("""COMPUTED_VALUE"""),3990.0)</f>
        <v>3990</v>
      </c>
      <c r="D117" s="1">
        <f>IFERROR(__xludf.DUMMYFUNCTION("""COMPUTED_VALUE"""),3895.0)</f>
        <v>3895</v>
      </c>
      <c r="E117" s="1">
        <f>IFERROR(__xludf.DUMMYFUNCTION("""COMPUTED_VALUE"""),3910.0)</f>
        <v>3910</v>
      </c>
      <c r="F117" s="1">
        <f>IFERROR(__xludf.DUMMYFUNCTION("""COMPUTED_VALUE"""),19787.0)</f>
        <v>19787</v>
      </c>
    </row>
    <row r="118">
      <c r="A118" s="2">
        <f>IFERROR(__xludf.DUMMYFUNCTION("""COMPUTED_VALUE"""),41177.645833333336)</f>
        <v>41177.64583</v>
      </c>
      <c r="B118" s="1">
        <f>IFERROR(__xludf.DUMMYFUNCTION("""COMPUTED_VALUE"""),3980.0)</f>
        <v>3980</v>
      </c>
      <c r="C118" s="1">
        <f>IFERROR(__xludf.DUMMYFUNCTION("""COMPUTED_VALUE"""),3990.0)</f>
        <v>3990</v>
      </c>
      <c r="D118" s="1">
        <f>IFERROR(__xludf.DUMMYFUNCTION("""COMPUTED_VALUE"""),3815.0)</f>
        <v>3815</v>
      </c>
      <c r="E118" s="1">
        <f>IFERROR(__xludf.DUMMYFUNCTION("""COMPUTED_VALUE"""),3915.0)</f>
        <v>3915</v>
      </c>
      <c r="F118" s="1">
        <f>IFERROR(__xludf.DUMMYFUNCTION("""COMPUTED_VALUE"""),21222.0)</f>
        <v>21222</v>
      </c>
    </row>
    <row r="119">
      <c r="A119" s="2">
        <f>IFERROR(__xludf.DUMMYFUNCTION("""COMPUTED_VALUE"""),41178.645833333336)</f>
        <v>41178.64583</v>
      </c>
      <c r="B119" s="1">
        <f>IFERROR(__xludf.DUMMYFUNCTION("""COMPUTED_VALUE"""),3920.0)</f>
        <v>3920</v>
      </c>
      <c r="C119" s="1">
        <f>IFERROR(__xludf.DUMMYFUNCTION("""COMPUTED_VALUE"""),3920.0)</f>
        <v>3920</v>
      </c>
      <c r="D119" s="1">
        <f>IFERROR(__xludf.DUMMYFUNCTION("""COMPUTED_VALUE"""),3790.0)</f>
        <v>3790</v>
      </c>
      <c r="E119" s="1">
        <f>IFERROR(__xludf.DUMMYFUNCTION("""COMPUTED_VALUE"""),3805.0)</f>
        <v>3805</v>
      </c>
      <c r="F119" s="1">
        <f>IFERROR(__xludf.DUMMYFUNCTION("""COMPUTED_VALUE"""),24508.0)</f>
        <v>24508</v>
      </c>
    </row>
    <row r="120">
      <c r="A120" s="2">
        <f>IFERROR(__xludf.DUMMYFUNCTION("""COMPUTED_VALUE"""),41179.645833333336)</f>
        <v>41179.64583</v>
      </c>
      <c r="B120" s="1">
        <f>IFERROR(__xludf.DUMMYFUNCTION("""COMPUTED_VALUE"""),3835.0)</f>
        <v>3835</v>
      </c>
      <c r="C120" s="1">
        <f>IFERROR(__xludf.DUMMYFUNCTION("""COMPUTED_VALUE"""),3835.0)</f>
        <v>3835</v>
      </c>
      <c r="D120" s="1">
        <f>IFERROR(__xludf.DUMMYFUNCTION("""COMPUTED_VALUE"""),3465.0)</f>
        <v>3465</v>
      </c>
      <c r="E120" s="1">
        <f>IFERROR(__xludf.DUMMYFUNCTION("""COMPUTED_VALUE"""),3660.0)</f>
        <v>3660</v>
      </c>
      <c r="F120" s="1">
        <f>IFERROR(__xludf.DUMMYFUNCTION("""COMPUTED_VALUE"""),73829.0)</f>
        <v>73829</v>
      </c>
    </row>
    <row r="121">
      <c r="A121" s="2">
        <f>IFERROR(__xludf.DUMMYFUNCTION("""COMPUTED_VALUE"""),41180.645833333336)</f>
        <v>41180.64583</v>
      </c>
      <c r="B121" s="1">
        <f>IFERROR(__xludf.DUMMYFUNCTION("""COMPUTED_VALUE"""),3660.0)</f>
        <v>3660</v>
      </c>
      <c r="C121" s="1">
        <f>IFERROR(__xludf.DUMMYFUNCTION("""COMPUTED_VALUE"""),3840.0)</f>
        <v>3840</v>
      </c>
      <c r="D121" s="1">
        <f>IFERROR(__xludf.DUMMYFUNCTION("""COMPUTED_VALUE"""),3590.0)</f>
        <v>3590</v>
      </c>
      <c r="E121" s="1">
        <f>IFERROR(__xludf.DUMMYFUNCTION("""COMPUTED_VALUE"""),3730.0)</f>
        <v>3730</v>
      </c>
      <c r="F121" s="1">
        <f>IFERROR(__xludf.DUMMYFUNCTION("""COMPUTED_VALUE"""),35811.0)</f>
        <v>35811</v>
      </c>
    </row>
    <row r="122">
      <c r="A122" s="2">
        <f>IFERROR(__xludf.DUMMYFUNCTION("""COMPUTED_VALUE"""),41184.645833333336)</f>
        <v>41184.64583</v>
      </c>
      <c r="B122" s="1">
        <f>IFERROR(__xludf.DUMMYFUNCTION("""COMPUTED_VALUE"""),3790.0)</f>
        <v>3790</v>
      </c>
      <c r="C122" s="1">
        <f>IFERROR(__xludf.DUMMYFUNCTION("""COMPUTED_VALUE"""),3885.0)</f>
        <v>3885</v>
      </c>
      <c r="D122" s="1">
        <f>IFERROR(__xludf.DUMMYFUNCTION("""COMPUTED_VALUE"""),3600.0)</f>
        <v>3600</v>
      </c>
      <c r="E122" s="1">
        <f>IFERROR(__xludf.DUMMYFUNCTION("""COMPUTED_VALUE"""),3885.0)</f>
        <v>3885</v>
      </c>
      <c r="F122" s="1">
        <f>IFERROR(__xludf.DUMMYFUNCTION("""COMPUTED_VALUE"""),16660.0)</f>
        <v>16660</v>
      </c>
    </row>
    <row r="123">
      <c r="A123" s="2">
        <f>IFERROR(__xludf.DUMMYFUNCTION("""COMPUTED_VALUE"""),41186.645833333336)</f>
        <v>41186.64583</v>
      </c>
      <c r="B123" s="1">
        <f>IFERROR(__xludf.DUMMYFUNCTION("""COMPUTED_VALUE"""),3880.0)</f>
        <v>3880</v>
      </c>
      <c r="C123" s="1">
        <f>IFERROR(__xludf.DUMMYFUNCTION("""COMPUTED_VALUE"""),3880.0)</f>
        <v>3880</v>
      </c>
      <c r="D123" s="1">
        <f>IFERROR(__xludf.DUMMYFUNCTION("""COMPUTED_VALUE"""),3700.0)</f>
        <v>3700</v>
      </c>
      <c r="E123" s="1">
        <f>IFERROR(__xludf.DUMMYFUNCTION("""COMPUTED_VALUE"""),3800.0)</f>
        <v>3800</v>
      </c>
      <c r="F123" s="1">
        <f>IFERROR(__xludf.DUMMYFUNCTION("""COMPUTED_VALUE"""),38524.0)</f>
        <v>38524</v>
      </c>
    </row>
    <row r="124">
      <c r="A124" s="2">
        <f>IFERROR(__xludf.DUMMYFUNCTION("""COMPUTED_VALUE"""),41187.645833333336)</f>
        <v>41187.64583</v>
      </c>
      <c r="B124" s="1">
        <f>IFERROR(__xludf.DUMMYFUNCTION("""COMPUTED_VALUE"""),3800.0)</f>
        <v>3800</v>
      </c>
      <c r="C124" s="1">
        <f>IFERROR(__xludf.DUMMYFUNCTION("""COMPUTED_VALUE"""),3800.0)</f>
        <v>3800</v>
      </c>
      <c r="D124" s="1">
        <f>IFERROR(__xludf.DUMMYFUNCTION("""COMPUTED_VALUE"""),3655.0)</f>
        <v>3655</v>
      </c>
      <c r="E124" s="1">
        <f>IFERROR(__xludf.DUMMYFUNCTION("""COMPUTED_VALUE"""),3695.0)</f>
        <v>3695</v>
      </c>
      <c r="F124" s="1">
        <f>IFERROR(__xludf.DUMMYFUNCTION("""COMPUTED_VALUE"""),22463.0)</f>
        <v>22463</v>
      </c>
    </row>
    <row r="125">
      <c r="A125" s="2">
        <f>IFERROR(__xludf.DUMMYFUNCTION("""COMPUTED_VALUE"""),41190.645833333336)</f>
        <v>41190.64583</v>
      </c>
      <c r="B125" s="1">
        <f>IFERROR(__xludf.DUMMYFUNCTION("""COMPUTED_VALUE"""),3750.0)</f>
        <v>3750</v>
      </c>
      <c r="C125" s="1">
        <f>IFERROR(__xludf.DUMMYFUNCTION("""COMPUTED_VALUE"""),3750.0)</f>
        <v>3750</v>
      </c>
      <c r="D125" s="1">
        <f>IFERROR(__xludf.DUMMYFUNCTION("""COMPUTED_VALUE"""),3560.0)</f>
        <v>3560</v>
      </c>
      <c r="E125" s="1">
        <f>IFERROR(__xludf.DUMMYFUNCTION("""COMPUTED_VALUE"""),3585.0)</f>
        <v>3585</v>
      </c>
      <c r="F125" s="1">
        <f>IFERROR(__xludf.DUMMYFUNCTION("""COMPUTED_VALUE"""),59152.0)</f>
        <v>59152</v>
      </c>
    </row>
    <row r="126">
      <c r="A126" s="2">
        <f>IFERROR(__xludf.DUMMYFUNCTION("""COMPUTED_VALUE"""),41191.645833333336)</f>
        <v>41191.64583</v>
      </c>
      <c r="B126" s="1">
        <f>IFERROR(__xludf.DUMMYFUNCTION("""COMPUTED_VALUE"""),3505.0)</f>
        <v>3505</v>
      </c>
      <c r="C126" s="1">
        <f>IFERROR(__xludf.DUMMYFUNCTION("""COMPUTED_VALUE"""),3550.0)</f>
        <v>3550</v>
      </c>
      <c r="D126" s="1">
        <f>IFERROR(__xludf.DUMMYFUNCTION("""COMPUTED_VALUE"""),3285.0)</f>
        <v>3285</v>
      </c>
      <c r="E126" s="1">
        <f>IFERROR(__xludf.DUMMYFUNCTION("""COMPUTED_VALUE"""),3550.0)</f>
        <v>3550</v>
      </c>
      <c r="F126" s="1">
        <f>IFERROR(__xludf.DUMMYFUNCTION("""COMPUTED_VALUE"""),73543.0)</f>
        <v>73543</v>
      </c>
    </row>
    <row r="127">
      <c r="A127" s="2">
        <f>IFERROR(__xludf.DUMMYFUNCTION("""COMPUTED_VALUE"""),41192.645833333336)</f>
        <v>41192.64583</v>
      </c>
      <c r="B127" s="1">
        <f>IFERROR(__xludf.DUMMYFUNCTION("""COMPUTED_VALUE"""),3680.0)</f>
        <v>3680</v>
      </c>
      <c r="C127" s="1">
        <f>IFERROR(__xludf.DUMMYFUNCTION("""COMPUTED_VALUE"""),3680.0)</f>
        <v>3680</v>
      </c>
      <c r="D127" s="1">
        <f>IFERROR(__xludf.DUMMYFUNCTION("""COMPUTED_VALUE"""),3430.0)</f>
        <v>3430</v>
      </c>
      <c r="E127" s="1">
        <f>IFERROR(__xludf.DUMMYFUNCTION("""COMPUTED_VALUE"""),3590.0)</f>
        <v>3590</v>
      </c>
      <c r="F127" s="1">
        <f>IFERROR(__xludf.DUMMYFUNCTION("""COMPUTED_VALUE"""),28464.0)</f>
        <v>28464</v>
      </c>
    </row>
    <row r="128">
      <c r="A128" s="2">
        <f>IFERROR(__xludf.DUMMYFUNCTION("""COMPUTED_VALUE"""),41193.645833333336)</f>
        <v>41193.64583</v>
      </c>
      <c r="B128" s="1">
        <f>IFERROR(__xludf.DUMMYFUNCTION("""COMPUTED_VALUE"""),3630.0)</f>
        <v>3630</v>
      </c>
      <c r="C128" s="1">
        <f>IFERROR(__xludf.DUMMYFUNCTION("""COMPUTED_VALUE"""),3690.0)</f>
        <v>3690</v>
      </c>
      <c r="D128" s="1">
        <f>IFERROR(__xludf.DUMMYFUNCTION("""COMPUTED_VALUE"""),3530.0)</f>
        <v>3530</v>
      </c>
      <c r="E128" s="1">
        <f>IFERROR(__xludf.DUMMYFUNCTION("""COMPUTED_VALUE"""),3590.0)</f>
        <v>3590</v>
      </c>
      <c r="F128" s="1">
        <f>IFERROR(__xludf.DUMMYFUNCTION("""COMPUTED_VALUE"""),74386.0)</f>
        <v>74386</v>
      </c>
    </row>
    <row r="129">
      <c r="A129" s="2">
        <f>IFERROR(__xludf.DUMMYFUNCTION("""COMPUTED_VALUE"""),41194.645833333336)</f>
        <v>41194.64583</v>
      </c>
      <c r="B129" s="1">
        <f>IFERROR(__xludf.DUMMYFUNCTION("""COMPUTED_VALUE"""),3590.0)</f>
        <v>3590</v>
      </c>
      <c r="C129" s="1">
        <f>IFERROR(__xludf.DUMMYFUNCTION("""COMPUTED_VALUE"""),3825.0)</f>
        <v>3825</v>
      </c>
      <c r="D129" s="1">
        <f>IFERROR(__xludf.DUMMYFUNCTION("""COMPUTED_VALUE"""),3560.0)</f>
        <v>3560</v>
      </c>
      <c r="E129" s="1">
        <f>IFERROR(__xludf.DUMMYFUNCTION("""COMPUTED_VALUE"""),3735.0)</f>
        <v>3735</v>
      </c>
      <c r="F129" s="1">
        <f>IFERROR(__xludf.DUMMYFUNCTION("""COMPUTED_VALUE"""),106091.0)</f>
        <v>106091</v>
      </c>
    </row>
    <row r="130">
      <c r="A130" s="2">
        <f>IFERROR(__xludf.DUMMYFUNCTION("""COMPUTED_VALUE"""),41197.645833333336)</f>
        <v>41197.64583</v>
      </c>
      <c r="B130" s="1">
        <f>IFERROR(__xludf.DUMMYFUNCTION("""COMPUTED_VALUE"""),3845.0)</f>
        <v>3845</v>
      </c>
      <c r="C130" s="1">
        <f>IFERROR(__xludf.DUMMYFUNCTION("""COMPUTED_VALUE"""),3845.0)</f>
        <v>3845</v>
      </c>
      <c r="D130" s="1">
        <f>IFERROR(__xludf.DUMMYFUNCTION("""COMPUTED_VALUE"""),3455.0)</f>
        <v>3455</v>
      </c>
      <c r="E130" s="1">
        <f>IFERROR(__xludf.DUMMYFUNCTION("""COMPUTED_VALUE"""),3490.0)</f>
        <v>3490</v>
      </c>
      <c r="F130" s="1">
        <f>IFERROR(__xludf.DUMMYFUNCTION("""COMPUTED_VALUE"""),60228.0)</f>
        <v>60228</v>
      </c>
    </row>
    <row r="131">
      <c r="A131" s="2">
        <f>IFERROR(__xludf.DUMMYFUNCTION("""COMPUTED_VALUE"""),41198.645833333336)</f>
        <v>41198.64583</v>
      </c>
      <c r="B131" s="1">
        <f>IFERROR(__xludf.DUMMYFUNCTION("""COMPUTED_VALUE"""),3490.0)</f>
        <v>3490</v>
      </c>
      <c r="C131" s="1">
        <f>IFERROR(__xludf.DUMMYFUNCTION("""COMPUTED_VALUE"""),3510.0)</f>
        <v>3510</v>
      </c>
      <c r="D131" s="1">
        <f>IFERROR(__xludf.DUMMYFUNCTION("""COMPUTED_VALUE"""),3380.0)</f>
        <v>3380</v>
      </c>
      <c r="E131" s="1">
        <f>IFERROR(__xludf.DUMMYFUNCTION("""COMPUTED_VALUE"""),3430.0)</f>
        <v>3430</v>
      </c>
      <c r="F131" s="1">
        <f>IFERROR(__xludf.DUMMYFUNCTION("""COMPUTED_VALUE"""),41088.0)</f>
        <v>41088</v>
      </c>
    </row>
    <row r="132">
      <c r="A132" s="2">
        <f>IFERROR(__xludf.DUMMYFUNCTION("""COMPUTED_VALUE"""),41199.645833333336)</f>
        <v>41199.64583</v>
      </c>
      <c r="B132" s="1">
        <f>IFERROR(__xludf.DUMMYFUNCTION("""COMPUTED_VALUE"""),3530.0)</f>
        <v>3530</v>
      </c>
      <c r="C132" s="1">
        <f>IFERROR(__xludf.DUMMYFUNCTION("""COMPUTED_VALUE"""),3940.0)</f>
        <v>3940</v>
      </c>
      <c r="D132" s="1">
        <f>IFERROR(__xludf.DUMMYFUNCTION("""COMPUTED_VALUE"""),3410.0)</f>
        <v>3410</v>
      </c>
      <c r="E132" s="1">
        <f>IFERROR(__xludf.DUMMYFUNCTION("""COMPUTED_VALUE"""),3700.0)</f>
        <v>3700</v>
      </c>
      <c r="F132" s="1">
        <f>IFERROR(__xludf.DUMMYFUNCTION("""COMPUTED_VALUE"""),327712.0)</f>
        <v>327712</v>
      </c>
    </row>
    <row r="133">
      <c r="A133" s="2">
        <f>IFERROR(__xludf.DUMMYFUNCTION("""COMPUTED_VALUE"""),41200.645833333336)</f>
        <v>41200.64583</v>
      </c>
      <c r="B133" s="1">
        <f>IFERROR(__xludf.DUMMYFUNCTION("""COMPUTED_VALUE"""),3805.0)</f>
        <v>3805</v>
      </c>
      <c r="C133" s="1">
        <f>IFERROR(__xludf.DUMMYFUNCTION("""COMPUTED_VALUE"""),3805.0)</f>
        <v>3805</v>
      </c>
      <c r="D133" s="1">
        <f>IFERROR(__xludf.DUMMYFUNCTION("""COMPUTED_VALUE"""),3555.0)</f>
        <v>3555</v>
      </c>
      <c r="E133" s="1">
        <f>IFERROR(__xludf.DUMMYFUNCTION("""COMPUTED_VALUE"""),3630.0)</f>
        <v>3630</v>
      </c>
      <c r="F133" s="1">
        <f>IFERROR(__xludf.DUMMYFUNCTION("""COMPUTED_VALUE"""),86488.0)</f>
        <v>86488</v>
      </c>
    </row>
    <row r="134">
      <c r="A134" s="2">
        <f>IFERROR(__xludf.DUMMYFUNCTION("""COMPUTED_VALUE"""),41201.645833333336)</f>
        <v>41201.64583</v>
      </c>
      <c r="B134" s="1">
        <f>IFERROR(__xludf.DUMMYFUNCTION("""COMPUTED_VALUE"""),3725.0)</f>
        <v>3725</v>
      </c>
      <c r="C134" s="1">
        <f>IFERROR(__xludf.DUMMYFUNCTION("""COMPUTED_VALUE"""),3725.0)</f>
        <v>3725</v>
      </c>
      <c r="D134" s="1">
        <f>IFERROR(__xludf.DUMMYFUNCTION("""COMPUTED_VALUE"""),3535.0)</f>
        <v>3535</v>
      </c>
      <c r="E134" s="1">
        <f>IFERROR(__xludf.DUMMYFUNCTION("""COMPUTED_VALUE"""),3535.0)</f>
        <v>3535</v>
      </c>
      <c r="F134" s="1">
        <f>IFERROR(__xludf.DUMMYFUNCTION("""COMPUTED_VALUE"""),43312.0)</f>
        <v>43312</v>
      </c>
    </row>
    <row r="135">
      <c r="A135" s="2">
        <f>IFERROR(__xludf.DUMMYFUNCTION("""COMPUTED_VALUE"""),41204.645833333336)</f>
        <v>41204.64583</v>
      </c>
      <c r="B135" s="1">
        <f>IFERROR(__xludf.DUMMYFUNCTION("""COMPUTED_VALUE"""),3530.0)</f>
        <v>3530</v>
      </c>
      <c r="C135" s="1">
        <f>IFERROR(__xludf.DUMMYFUNCTION("""COMPUTED_VALUE"""),3530.0)</f>
        <v>3530</v>
      </c>
      <c r="D135" s="1">
        <f>IFERROR(__xludf.DUMMYFUNCTION("""COMPUTED_VALUE"""),3200.0)</f>
        <v>3200</v>
      </c>
      <c r="E135" s="1">
        <f>IFERROR(__xludf.DUMMYFUNCTION("""COMPUTED_VALUE"""),3450.0)</f>
        <v>3450</v>
      </c>
      <c r="F135" s="1">
        <f>IFERROR(__xludf.DUMMYFUNCTION("""COMPUTED_VALUE"""),48947.0)</f>
        <v>48947</v>
      </c>
    </row>
    <row r="136">
      <c r="A136" s="2">
        <f>IFERROR(__xludf.DUMMYFUNCTION("""COMPUTED_VALUE"""),41205.645833333336)</f>
        <v>41205.64583</v>
      </c>
      <c r="B136" s="1">
        <f>IFERROR(__xludf.DUMMYFUNCTION("""COMPUTED_VALUE"""),3450.0)</f>
        <v>3450</v>
      </c>
      <c r="C136" s="1">
        <f>IFERROR(__xludf.DUMMYFUNCTION("""COMPUTED_VALUE"""),3520.0)</f>
        <v>3520</v>
      </c>
      <c r="D136" s="1">
        <f>IFERROR(__xludf.DUMMYFUNCTION("""COMPUTED_VALUE"""),3200.0)</f>
        <v>3200</v>
      </c>
      <c r="E136" s="1">
        <f>IFERROR(__xludf.DUMMYFUNCTION("""COMPUTED_VALUE"""),3300.0)</f>
        <v>3300</v>
      </c>
      <c r="F136" s="1">
        <f>IFERROR(__xludf.DUMMYFUNCTION("""COMPUTED_VALUE"""),70827.0)</f>
        <v>70827</v>
      </c>
    </row>
    <row r="137">
      <c r="A137" s="2">
        <f>IFERROR(__xludf.DUMMYFUNCTION("""COMPUTED_VALUE"""),41206.645833333336)</f>
        <v>41206.64583</v>
      </c>
      <c r="B137" s="1">
        <f>IFERROR(__xludf.DUMMYFUNCTION("""COMPUTED_VALUE"""),3300.0)</f>
        <v>3300</v>
      </c>
      <c r="C137" s="1">
        <f>IFERROR(__xludf.DUMMYFUNCTION("""COMPUTED_VALUE"""),3345.0)</f>
        <v>3345</v>
      </c>
      <c r="D137" s="1">
        <f>IFERROR(__xludf.DUMMYFUNCTION("""COMPUTED_VALUE"""),3200.0)</f>
        <v>3200</v>
      </c>
      <c r="E137" s="1">
        <f>IFERROR(__xludf.DUMMYFUNCTION("""COMPUTED_VALUE"""),3245.0)</f>
        <v>3245</v>
      </c>
      <c r="F137" s="1">
        <f>IFERROR(__xludf.DUMMYFUNCTION("""COMPUTED_VALUE"""),35169.0)</f>
        <v>35169</v>
      </c>
    </row>
    <row r="138">
      <c r="A138" s="2">
        <f>IFERROR(__xludf.DUMMYFUNCTION("""COMPUTED_VALUE"""),41207.645833333336)</f>
        <v>41207.64583</v>
      </c>
      <c r="B138" s="1">
        <f>IFERROR(__xludf.DUMMYFUNCTION("""COMPUTED_VALUE"""),3245.0)</f>
        <v>3245</v>
      </c>
      <c r="C138" s="1">
        <f>IFERROR(__xludf.DUMMYFUNCTION("""COMPUTED_VALUE"""),3375.0)</f>
        <v>3375</v>
      </c>
      <c r="D138" s="1">
        <f>IFERROR(__xludf.DUMMYFUNCTION("""COMPUTED_VALUE"""),3170.0)</f>
        <v>3170</v>
      </c>
      <c r="E138" s="1">
        <f>IFERROR(__xludf.DUMMYFUNCTION("""COMPUTED_VALUE"""),3200.0)</f>
        <v>3200</v>
      </c>
      <c r="F138" s="1">
        <f>IFERROR(__xludf.DUMMYFUNCTION("""COMPUTED_VALUE"""),11193.0)</f>
        <v>11193</v>
      </c>
    </row>
    <row r="139">
      <c r="A139" s="2">
        <f>IFERROR(__xludf.DUMMYFUNCTION("""COMPUTED_VALUE"""),41208.645833333336)</f>
        <v>41208.64583</v>
      </c>
      <c r="B139" s="1">
        <f>IFERROR(__xludf.DUMMYFUNCTION("""COMPUTED_VALUE"""),3165.0)</f>
        <v>3165</v>
      </c>
      <c r="C139" s="1">
        <f>IFERROR(__xludf.DUMMYFUNCTION("""COMPUTED_VALUE"""),3290.0)</f>
        <v>3290</v>
      </c>
      <c r="D139" s="1">
        <f>IFERROR(__xludf.DUMMYFUNCTION("""COMPUTED_VALUE"""),2770.0)</f>
        <v>2770</v>
      </c>
      <c r="E139" s="1">
        <f>IFERROR(__xludf.DUMMYFUNCTION("""COMPUTED_VALUE"""),2810.0)</f>
        <v>2810</v>
      </c>
      <c r="F139" s="1">
        <f>IFERROR(__xludf.DUMMYFUNCTION("""COMPUTED_VALUE"""),178875.0)</f>
        <v>178875</v>
      </c>
    </row>
    <row r="140">
      <c r="A140" s="2">
        <f>IFERROR(__xludf.DUMMYFUNCTION("""COMPUTED_VALUE"""),41211.645833333336)</f>
        <v>41211.64583</v>
      </c>
      <c r="B140" s="1">
        <f>IFERROR(__xludf.DUMMYFUNCTION("""COMPUTED_VALUE"""),2635.0)</f>
        <v>2635</v>
      </c>
      <c r="C140" s="1">
        <f>IFERROR(__xludf.DUMMYFUNCTION("""COMPUTED_VALUE"""),2785.0)</f>
        <v>2785</v>
      </c>
      <c r="D140" s="1">
        <f>IFERROR(__xludf.DUMMYFUNCTION("""COMPUTED_VALUE"""),2390.0)</f>
        <v>2390</v>
      </c>
      <c r="E140" s="1">
        <f>IFERROR(__xludf.DUMMYFUNCTION("""COMPUTED_VALUE"""),2390.0)</f>
        <v>2390</v>
      </c>
      <c r="F140" s="1">
        <f>IFERROR(__xludf.DUMMYFUNCTION("""COMPUTED_VALUE"""),399516.0)</f>
        <v>399516</v>
      </c>
    </row>
    <row r="141">
      <c r="A141" s="2">
        <f>IFERROR(__xludf.DUMMYFUNCTION("""COMPUTED_VALUE"""),41212.645833333336)</f>
        <v>41212.64583</v>
      </c>
      <c r="B141" s="1">
        <f>IFERROR(__xludf.DUMMYFUNCTION("""COMPUTED_VALUE"""),2395.0)</f>
        <v>2395</v>
      </c>
      <c r="C141" s="1">
        <f>IFERROR(__xludf.DUMMYFUNCTION("""COMPUTED_VALUE"""),2450.0)</f>
        <v>2450</v>
      </c>
      <c r="D141" s="1">
        <f>IFERROR(__xludf.DUMMYFUNCTION("""COMPUTED_VALUE"""),2120.0)</f>
        <v>2120</v>
      </c>
      <c r="E141" s="1">
        <f>IFERROR(__xludf.DUMMYFUNCTION("""COMPUTED_VALUE"""),2330.0)</f>
        <v>2330</v>
      </c>
      <c r="F141" s="1">
        <f>IFERROR(__xludf.DUMMYFUNCTION("""COMPUTED_VALUE"""),306675.0)</f>
        <v>306675</v>
      </c>
    </row>
    <row r="142">
      <c r="A142" s="2">
        <f>IFERROR(__xludf.DUMMYFUNCTION("""COMPUTED_VALUE"""),41213.645833333336)</f>
        <v>41213.64583</v>
      </c>
      <c r="B142" s="1">
        <f>IFERROR(__xludf.DUMMYFUNCTION("""COMPUTED_VALUE"""),2305.0)</f>
        <v>2305</v>
      </c>
      <c r="C142" s="1">
        <f>IFERROR(__xludf.DUMMYFUNCTION("""COMPUTED_VALUE"""),2430.0)</f>
        <v>2430</v>
      </c>
      <c r="D142" s="1">
        <f>IFERROR(__xludf.DUMMYFUNCTION("""COMPUTED_VALUE"""),2300.0)</f>
        <v>2300</v>
      </c>
      <c r="E142" s="1">
        <f>IFERROR(__xludf.DUMMYFUNCTION("""COMPUTED_VALUE"""),2390.0)</f>
        <v>2390</v>
      </c>
      <c r="F142" s="1">
        <f>IFERROR(__xludf.DUMMYFUNCTION("""COMPUTED_VALUE"""),76038.0)</f>
        <v>76038</v>
      </c>
    </row>
    <row r="143">
      <c r="A143" s="2">
        <f>IFERROR(__xludf.DUMMYFUNCTION("""COMPUTED_VALUE"""),41214.645833333336)</f>
        <v>41214.64583</v>
      </c>
      <c r="B143" s="1">
        <f>IFERROR(__xludf.DUMMYFUNCTION("""COMPUTED_VALUE"""),2410.0)</f>
        <v>2410</v>
      </c>
      <c r="C143" s="1">
        <f>IFERROR(__xludf.DUMMYFUNCTION("""COMPUTED_VALUE"""),2570.0)</f>
        <v>2570</v>
      </c>
      <c r="D143" s="1">
        <f>IFERROR(__xludf.DUMMYFUNCTION("""COMPUTED_VALUE"""),2335.0)</f>
        <v>2335</v>
      </c>
      <c r="E143" s="1">
        <f>IFERROR(__xludf.DUMMYFUNCTION("""COMPUTED_VALUE"""),2335.0)</f>
        <v>2335</v>
      </c>
      <c r="F143" s="1">
        <f>IFERROR(__xludf.DUMMYFUNCTION("""COMPUTED_VALUE"""),59432.0)</f>
        <v>59432</v>
      </c>
    </row>
    <row r="144">
      <c r="A144" s="2">
        <f>IFERROR(__xludf.DUMMYFUNCTION("""COMPUTED_VALUE"""),41215.645833333336)</f>
        <v>41215.64583</v>
      </c>
      <c r="B144" s="1">
        <f>IFERROR(__xludf.DUMMYFUNCTION("""COMPUTED_VALUE"""),2395.0)</f>
        <v>2395</v>
      </c>
      <c r="C144" s="1">
        <f>IFERROR(__xludf.DUMMYFUNCTION("""COMPUTED_VALUE"""),2465.0)</f>
        <v>2465</v>
      </c>
      <c r="D144" s="1">
        <f>IFERROR(__xludf.DUMMYFUNCTION("""COMPUTED_VALUE"""),2340.0)</f>
        <v>2340</v>
      </c>
      <c r="E144" s="1">
        <f>IFERROR(__xludf.DUMMYFUNCTION("""COMPUTED_VALUE"""),2435.0)</f>
        <v>2435</v>
      </c>
      <c r="F144" s="1">
        <f>IFERROR(__xludf.DUMMYFUNCTION("""COMPUTED_VALUE"""),18119.0)</f>
        <v>18119</v>
      </c>
    </row>
    <row r="145">
      <c r="A145" s="2">
        <f>IFERROR(__xludf.DUMMYFUNCTION("""COMPUTED_VALUE"""),41218.645833333336)</f>
        <v>41218.64583</v>
      </c>
      <c r="B145" s="1">
        <f>IFERROR(__xludf.DUMMYFUNCTION("""COMPUTED_VALUE"""),2445.0)</f>
        <v>2445</v>
      </c>
      <c r="C145" s="1">
        <f>IFERROR(__xludf.DUMMYFUNCTION("""COMPUTED_VALUE"""),2490.0)</f>
        <v>2490</v>
      </c>
      <c r="D145" s="1">
        <f>IFERROR(__xludf.DUMMYFUNCTION("""COMPUTED_VALUE"""),2335.0)</f>
        <v>2335</v>
      </c>
      <c r="E145" s="1">
        <f>IFERROR(__xludf.DUMMYFUNCTION("""COMPUTED_VALUE"""),2390.0)</f>
        <v>2390</v>
      </c>
      <c r="F145" s="1">
        <f>IFERROR(__xludf.DUMMYFUNCTION("""COMPUTED_VALUE"""),27227.0)</f>
        <v>27227</v>
      </c>
    </row>
    <row r="146">
      <c r="A146" s="2">
        <f>IFERROR(__xludf.DUMMYFUNCTION("""COMPUTED_VALUE"""),41219.645833333336)</f>
        <v>41219.64583</v>
      </c>
      <c r="B146" s="1">
        <f>IFERROR(__xludf.DUMMYFUNCTION("""COMPUTED_VALUE"""),2490.0)</f>
        <v>2490</v>
      </c>
      <c r="C146" s="1">
        <f>IFERROR(__xludf.DUMMYFUNCTION("""COMPUTED_VALUE"""),2490.0)</f>
        <v>2490</v>
      </c>
      <c r="D146" s="1">
        <f>IFERROR(__xludf.DUMMYFUNCTION("""COMPUTED_VALUE"""),2330.0)</f>
        <v>2330</v>
      </c>
      <c r="E146" s="1">
        <f>IFERROR(__xludf.DUMMYFUNCTION("""COMPUTED_VALUE"""),2400.0)</f>
        <v>2400</v>
      </c>
      <c r="F146" s="1">
        <f>IFERROR(__xludf.DUMMYFUNCTION("""COMPUTED_VALUE"""),19083.0)</f>
        <v>19083</v>
      </c>
    </row>
    <row r="147">
      <c r="A147" s="2">
        <f>IFERROR(__xludf.DUMMYFUNCTION("""COMPUTED_VALUE"""),41220.645833333336)</f>
        <v>41220.64583</v>
      </c>
      <c r="B147" s="1">
        <f>IFERROR(__xludf.DUMMYFUNCTION("""COMPUTED_VALUE"""),2360.0)</f>
        <v>2360</v>
      </c>
      <c r="C147" s="1">
        <f>IFERROR(__xludf.DUMMYFUNCTION("""COMPUTED_VALUE"""),2455.0)</f>
        <v>2455</v>
      </c>
      <c r="D147" s="1">
        <f>IFERROR(__xludf.DUMMYFUNCTION("""COMPUTED_VALUE"""),2300.0)</f>
        <v>2300</v>
      </c>
      <c r="E147" s="1">
        <f>IFERROR(__xludf.DUMMYFUNCTION("""COMPUTED_VALUE"""),2350.0)</f>
        <v>2350</v>
      </c>
      <c r="F147" s="1">
        <f>IFERROR(__xludf.DUMMYFUNCTION("""COMPUTED_VALUE"""),73028.0)</f>
        <v>73028</v>
      </c>
    </row>
    <row r="148">
      <c r="A148" s="2">
        <f>IFERROR(__xludf.DUMMYFUNCTION("""COMPUTED_VALUE"""),41221.645833333336)</f>
        <v>41221.64583</v>
      </c>
      <c r="B148" s="1">
        <f>IFERROR(__xludf.DUMMYFUNCTION("""COMPUTED_VALUE"""),2310.0)</f>
        <v>2310</v>
      </c>
      <c r="C148" s="1">
        <f>IFERROR(__xludf.DUMMYFUNCTION("""COMPUTED_VALUE"""),2370.0)</f>
        <v>2370</v>
      </c>
      <c r="D148" s="1">
        <f>IFERROR(__xludf.DUMMYFUNCTION("""COMPUTED_VALUE"""),2265.0)</f>
        <v>2265</v>
      </c>
      <c r="E148" s="1">
        <f>IFERROR(__xludf.DUMMYFUNCTION("""COMPUTED_VALUE"""),2300.0)</f>
        <v>2300</v>
      </c>
      <c r="F148" s="1">
        <f>IFERROR(__xludf.DUMMYFUNCTION("""COMPUTED_VALUE"""),44058.0)</f>
        <v>44058</v>
      </c>
    </row>
    <row r="149">
      <c r="A149" s="2">
        <f>IFERROR(__xludf.DUMMYFUNCTION("""COMPUTED_VALUE"""),41222.645833333336)</f>
        <v>41222.64583</v>
      </c>
      <c r="B149" s="1">
        <f>IFERROR(__xludf.DUMMYFUNCTION("""COMPUTED_VALUE"""),2340.0)</f>
        <v>2340</v>
      </c>
      <c r="C149" s="1">
        <f>IFERROR(__xludf.DUMMYFUNCTION("""COMPUTED_VALUE"""),2640.0)</f>
        <v>2640</v>
      </c>
      <c r="D149" s="1">
        <f>IFERROR(__xludf.DUMMYFUNCTION("""COMPUTED_VALUE"""),2300.0)</f>
        <v>2300</v>
      </c>
      <c r="E149" s="1">
        <f>IFERROR(__xludf.DUMMYFUNCTION("""COMPUTED_VALUE"""),2490.0)</f>
        <v>2490</v>
      </c>
      <c r="F149" s="1">
        <f>IFERROR(__xludf.DUMMYFUNCTION("""COMPUTED_VALUE"""),108773.0)</f>
        <v>108773</v>
      </c>
    </row>
    <row r="150">
      <c r="A150" s="2">
        <f>IFERROR(__xludf.DUMMYFUNCTION("""COMPUTED_VALUE"""),41225.645833333336)</f>
        <v>41225.64583</v>
      </c>
      <c r="B150" s="1">
        <f>IFERROR(__xludf.DUMMYFUNCTION("""COMPUTED_VALUE"""),2490.0)</f>
        <v>2490</v>
      </c>
      <c r="C150" s="1">
        <f>IFERROR(__xludf.DUMMYFUNCTION("""COMPUTED_VALUE"""),2575.0)</f>
        <v>2575</v>
      </c>
      <c r="D150" s="1">
        <f>IFERROR(__xludf.DUMMYFUNCTION("""COMPUTED_VALUE"""),2450.0)</f>
        <v>2450</v>
      </c>
      <c r="E150" s="1">
        <f>IFERROR(__xludf.DUMMYFUNCTION("""COMPUTED_VALUE"""),2545.0)</f>
        <v>2545</v>
      </c>
      <c r="F150" s="1">
        <f>IFERROR(__xludf.DUMMYFUNCTION("""COMPUTED_VALUE"""),49199.0)</f>
        <v>49199</v>
      </c>
    </row>
    <row r="151">
      <c r="A151" s="2">
        <f>IFERROR(__xludf.DUMMYFUNCTION("""COMPUTED_VALUE"""),41226.645833333336)</f>
        <v>41226.64583</v>
      </c>
      <c r="B151" s="1">
        <f>IFERROR(__xludf.DUMMYFUNCTION("""COMPUTED_VALUE"""),2535.0)</f>
        <v>2535</v>
      </c>
      <c r="C151" s="1">
        <f>IFERROR(__xludf.DUMMYFUNCTION("""COMPUTED_VALUE"""),2910.0)</f>
        <v>2910</v>
      </c>
      <c r="D151" s="1">
        <f>IFERROR(__xludf.DUMMYFUNCTION("""COMPUTED_VALUE"""),2450.0)</f>
        <v>2450</v>
      </c>
      <c r="E151" s="1">
        <f>IFERROR(__xludf.DUMMYFUNCTION("""COMPUTED_VALUE"""),2910.0)</f>
        <v>2910</v>
      </c>
      <c r="F151" s="1">
        <f>IFERROR(__xludf.DUMMYFUNCTION("""COMPUTED_VALUE"""),156658.0)</f>
        <v>156658</v>
      </c>
    </row>
    <row r="152">
      <c r="A152" s="2">
        <f>IFERROR(__xludf.DUMMYFUNCTION("""COMPUTED_VALUE"""),41227.645833333336)</f>
        <v>41227.64583</v>
      </c>
      <c r="B152" s="1">
        <f>IFERROR(__xludf.DUMMYFUNCTION("""COMPUTED_VALUE"""),3100.0)</f>
        <v>3100</v>
      </c>
      <c r="C152" s="1">
        <f>IFERROR(__xludf.DUMMYFUNCTION("""COMPUTED_VALUE"""),3100.0)</f>
        <v>3100</v>
      </c>
      <c r="D152" s="1">
        <f>IFERROR(__xludf.DUMMYFUNCTION("""COMPUTED_VALUE"""),2530.0)</f>
        <v>2530</v>
      </c>
      <c r="E152" s="1">
        <f>IFERROR(__xludf.DUMMYFUNCTION("""COMPUTED_VALUE"""),3000.0)</f>
        <v>3000</v>
      </c>
      <c r="F152" s="1">
        <f>IFERROR(__xludf.DUMMYFUNCTION("""COMPUTED_VALUE"""),109714.0)</f>
        <v>109714</v>
      </c>
    </row>
    <row r="153">
      <c r="A153" s="2">
        <f>IFERROR(__xludf.DUMMYFUNCTION("""COMPUTED_VALUE"""),41228.645833333336)</f>
        <v>41228.64583</v>
      </c>
      <c r="B153" s="1">
        <f>IFERROR(__xludf.DUMMYFUNCTION("""COMPUTED_VALUE"""),3000.0)</f>
        <v>3000</v>
      </c>
      <c r="C153" s="1">
        <f>IFERROR(__xludf.DUMMYFUNCTION("""COMPUTED_VALUE"""),3000.0)</f>
        <v>3000</v>
      </c>
      <c r="D153" s="1">
        <f>IFERROR(__xludf.DUMMYFUNCTION("""COMPUTED_VALUE"""),2820.0)</f>
        <v>2820</v>
      </c>
      <c r="E153" s="1">
        <f>IFERROR(__xludf.DUMMYFUNCTION("""COMPUTED_VALUE"""),2890.0)</f>
        <v>2890</v>
      </c>
      <c r="F153" s="1">
        <f>IFERROR(__xludf.DUMMYFUNCTION("""COMPUTED_VALUE"""),22135.0)</f>
        <v>22135</v>
      </c>
    </row>
    <row r="154">
      <c r="A154" s="2">
        <f>IFERROR(__xludf.DUMMYFUNCTION("""COMPUTED_VALUE"""),41229.645833333336)</f>
        <v>41229.64583</v>
      </c>
      <c r="B154" s="1">
        <f>IFERROR(__xludf.DUMMYFUNCTION("""COMPUTED_VALUE"""),2840.0)</f>
        <v>2840</v>
      </c>
      <c r="C154" s="1">
        <f>IFERROR(__xludf.DUMMYFUNCTION("""COMPUTED_VALUE"""),2990.0)</f>
        <v>2990</v>
      </c>
      <c r="D154" s="1">
        <f>IFERROR(__xludf.DUMMYFUNCTION("""COMPUTED_VALUE"""),2810.0)</f>
        <v>2810</v>
      </c>
      <c r="E154" s="1">
        <f>IFERROR(__xludf.DUMMYFUNCTION("""COMPUTED_VALUE"""),2880.0)</f>
        <v>2880</v>
      </c>
      <c r="F154" s="1">
        <f>IFERROR(__xludf.DUMMYFUNCTION("""COMPUTED_VALUE"""),20548.0)</f>
        <v>20548</v>
      </c>
    </row>
    <row r="155">
      <c r="A155" s="2">
        <f>IFERROR(__xludf.DUMMYFUNCTION("""COMPUTED_VALUE"""),41232.645833333336)</f>
        <v>41232.64583</v>
      </c>
      <c r="B155" s="1">
        <f>IFERROR(__xludf.DUMMYFUNCTION("""COMPUTED_VALUE"""),2880.0)</f>
        <v>2880</v>
      </c>
      <c r="C155" s="1">
        <f>IFERROR(__xludf.DUMMYFUNCTION("""COMPUTED_VALUE"""),3290.0)</f>
        <v>3290</v>
      </c>
      <c r="D155" s="1">
        <f>IFERROR(__xludf.DUMMYFUNCTION("""COMPUTED_VALUE"""),2800.0)</f>
        <v>2800</v>
      </c>
      <c r="E155" s="1">
        <f>IFERROR(__xludf.DUMMYFUNCTION("""COMPUTED_VALUE"""),3015.0)</f>
        <v>3015</v>
      </c>
      <c r="F155" s="1">
        <f>IFERROR(__xludf.DUMMYFUNCTION("""COMPUTED_VALUE"""),65579.0)</f>
        <v>65579</v>
      </c>
    </row>
    <row r="156">
      <c r="A156" s="2">
        <f>IFERROR(__xludf.DUMMYFUNCTION("""COMPUTED_VALUE"""),41233.645833333336)</f>
        <v>41233.64583</v>
      </c>
      <c r="B156" s="1">
        <f>IFERROR(__xludf.DUMMYFUNCTION("""COMPUTED_VALUE"""),3040.0)</f>
        <v>3040</v>
      </c>
      <c r="C156" s="1">
        <f>IFERROR(__xludf.DUMMYFUNCTION("""COMPUTED_VALUE"""),3095.0)</f>
        <v>3095</v>
      </c>
      <c r="D156" s="1">
        <f>IFERROR(__xludf.DUMMYFUNCTION("""COMPUTED_VALUE"""),2895.0)</f>
        <v>2895</v>
      </c>
      <c r="E156" s="1">
        <f>IFERROR(__xludf.DUMMYFUNCTION("""COMPUTED_VALUE"""),2895.0)</f>
        <v>2895</v>
      </c>
      <c r="F156" s="1">
        <f>IFERROR(__xludf.DUMMYFUNCTION("""COMPUTED_VALUE"""),56894.0)</f>
        <v>56894</v>
      </c>
    </row>
    <row r="157">
      <c r="A157" s="2">
        <f>IFERROR(__xludf.DUMMYFUNCTION("""COMPUTED_VALUE"""),41234.645833333336)</f>
        <v>41234.64583</v>
      </c>
      <c r="B157" s="1">
        <f>IFERROR(__xludf.DUMMYFUNCTION("""COMPUTED_VALUE"""),2905.0)</f>
        <v>2905</v>
      </c>
      <c r="C157" s="1">
        <f>IFERROR(__xludf.DUMMYFUNCTION("""COMPUTED_VALUE"""),2985.0)</f>
        <v>2985</v>
      </c>
      <c r="D157" s="1">
        <f>IFERROR(__xludf.DUMMYFUNCTION("""COMPUTED_VALUE"""),2805.0)</f>
        <v>2805</v>
      </c>
      <c r="E157" s="1">
        <f>IFERROR(__xludf.DUMMYFUNCTION("""COMPUTED_VALUE"""),2810.0)</f>
        <v>2810</v>
      </c>
      <c r="F157" s="1">
        <f>IFERROR(__xludf.DUMMYFUNCTION("""COMPUTED_VALUE"""),26018.0)</f>
        <v>26018</v>
      </c>
    </row>
    <row r="158">
      <c r="A158" s="2">
        <f>IFERROR(__xludf.DUMMYFUNCTION("""COMPUTED_VALUE"""),41235.645833333336)</f>
        <v>41235.64583</v>
      </c>
      <c r="B158" s="1">
        <f>IFERROR(__xludf.DUMMYFUNCTION("""COMPUTED_VALUE"""),2880.0)</f>
        <v>2880</v>
      </c>
      <c r="C158" s="1">
        <f>IFERROR(__xludf.DUMMYFUNCTION("""COMPUTED_VALUE"""),2950.0)</f>
        <v>2950</v>
      </c>
      <c r="D158" s="1">
        <f>IFERROR(__xludf.DUMMYFUNCTION("""COMPUTED_VALUE"""),2810.0)</f>
        <v>2810</v>
      </c>
      <c r="E158" s="1">
        <f>IFERROR(__xludf.DUMMYFUNCTION("""COMPUTED_VALUE"""),2935.0)</f>
        <v>2935</v>
      </c>
      <c r="F158" s="1">
        <f>IFERROR(__xludf.DUMMYFUNCTION("""COMPUTED_VALUE"""),11908.0)</f>
        <v>11908</v>
      </c>
    </row>
    <row r="159">
      <c r="A159" s="2">
        <f>IFERROR(__xludf.DUMMYFUNCTION("""COMPUTED_VALUE"""),41236.645833333336)</f>
        <v>41236.64583</v>
      </c>
      <c r="B159" s="1">
        <f>IFERROR(__xludf.DUMMYFUNCTION("""COMPUTED_VALUE"""),2925.0)</f>
        <v>2925</v>
      </c>
      <c r="C159" s="1">
        <f>IFERROR(__xludf.DUMMYFUNCTION("""COMPUTED_VALUE"""),2925.0)</f>
        <v>2925</v>
      </c>
      <c r="D159" s="1">
        <f>IFERROR(__xludf.DUMMYFUNCTION("""COMPUTED_VALUE"""),2850.0)</f>
        <v>2850</v>
      </c>
      <c r="E159" s="1">
        <f>IFERROR(__xludf.DUMMYFUNCTION("""COMPUTED_VALUE"""),2850.0)</f>
        <v>2850</v>
      </c>
      <c r="F159" s="1">
        <f>IFERROR(__xludf.DUMMYFUNCTION("""COMPUTED_VALUE"""),7522.0)</f>
        <v>7522</v>
      </c>
    </row>
    <row r="160">
      <c r="A160" s="2">
        <f>IFERROR(__xludf.DUMMYFUNCTION("""COMPUTED_VALUE"""),41239.645833333336)</f>
        <v>41239.64583</v>
      </c>
      <c r="B160" s="1">
        <f>IFERROR(__xludf.DUMMYFUNCTION("""COMPUTED_VALUE"""),2850.0)</f>
        <v>2850</v>
      </c>
      <c r="C160" s="1">
        <f>IFERROR(__xludf.DUMMYFUNCTION("""COMPUTED_VALUE"""),3150.0)</f>
        <v>3150</v>
      </c>
      <c r="D160" s="1">
        <f>IFERROR(__xludf.DUMMYFUNCTION("""COMPUTED_VALUE"""),2850.0)</f>
        <v>2850</v>
      </c>
      <c r="E160" s="1">
        <f>IFERROR(__xludf.DUMMYFUNCTION("""COMPUTED_VALUE"""),3150.0)</f>
        <v>3150</v>
      </c>
      <c r="F160" s="1">
        <f>IFERROR(__xludf.DUMMYFUNCTION("""COMPUTED_VALUE"""),73408.0)</f>
        <v>73408</v>
      </c>
    </row>
    <row r="161">
      <c r="A161" s="2">
        <f>IFERROR(__xludf.DUMMYFUNCTION("""COMPUTED_VALUE"""),41240.645833333336)</f>
        <v>41240.64583</v>
      </c>
      <c r="B161" s="1">
        <f>IFERROR(__xludf.DUMMYFUNCTION("""COMPUTED_VALUE"""),3010.0)</f>
        <v>3010</v>
      </c>
      <c r="C161" s="1">
        <f>IFERROR(__xludf.DUMMYFUNCTION("""COMPUTED_VALUE"""),3150.0)</f>
        <v>3150</v>
      </c>
      <c r="D161" s="1">
        <f>IFERROR(__xludf.DUMMYFUNCTION("""COMPUTED_VALUE"""),3005.0)</f>
        <v>3005</v>
      </c>
      <c r="E161" s="1">
        <f>IFERROR(__xludf.DUMMYFUNCTION("""COMPUTED_VALUE"""),3090.0)</f>
        <v>3090</v>
      </c>
      <c r="F161" s="1">
        <f>IFERROR(__xludf.DUMMYFUNCTION("""COMPUTED_VALUE"""),14807.0)</f>
        <v>14807</v>
      </c>
    </row>
    <row r="162">
      <c r="A162" s="2">
        <f>IFERROR(__xludf.DUMMYFUNCTION("""COMPUTED_VALUE"""),41241.645833333336)</f>
        <v>41241.64583</v>
      </c>
      <c r="B162" s="1">
        <f>IFERROR(__xludf.DUMMYFUNCTION("""COMPUTED_VALUE"""),3090.0)</f>
        <v>3090</v>
      </c>
      <c r="C162" s="1">
        <f>IFERROR(__xludf.DUMMYFUNCTION("""COMPUTED_VALUE"""),3200.0)</f>
        <v>3200</v>
      </c>
      <c r="D162" s="1">
        <f>IFERROR(__xludf.DUMMYFUNCTION("""COMPUTED_VALUE"""),3040.0)</f>
        <v>3040</v>
      </c>
      <c r="E162" s="1">
        <f>IFERROR(__xludf.DUMMYFUNCTION("""COMPUTED_VALUE"""),3175.0)</f>
        <v>3175</v>
      </c>
      <c r="F162" s="1">
        <f>IFERROR(__xludf.DUMMYFUNCTION("""COMPUTED_VALUE"""),35040.0)</f>
        <v>35040</v>
      </c>
    </row>
    <row r="163">
      <c r="A163" s="2">
        <f>IFERROR(__xludf.DUMMYFUNCTION("""COMPUTED_VALUE"""),41242.645833333336)</f>
        <v>41242.64583</v>
      </c>
      <c r="B163" s="1">
        <f>IFERROR(__xludf.DUMMYFUNCTION("""COMPUTED_VALUE"""),3110.0)</f>
        <v>3110</v>
      </c>
      <c r="C163" s="1">
        <f>IFERROR(__xludf.DUMMYFUNCTION("""COMPUTED_VALUE"""),3200.0)</f>
        <v>3200</v>
      </c>
      <c r="D163" s="1">
        <f>IFERROR(__xludf.DUMMYFUNCTION("""COMPUTED_VALUE"""),3090.0)</f>
        <v>3090</v>
      </c>
      <c r="E163" s="1">
        <f>IFERROR(__xludf.DUMMYFUNCTION("""COMPUTED_VALUE"""),3190.0)</f>
        <v>3190</v>
      </c>
      <c r="F163" s="1">
        <f>IFERROR(__xludf.DUMMYFUNCTION("""COMPUTED_VALUE"""),14834.0)</f>
        <v>14834</v>
      </c>
    </row>
    <row r="164">
      <c r="A164" s="2">
        <f>IFERROR(__xludf.DUMMYFUNCTION("""COMPUTED_VALUE"""),41243.645833333336)</f>
        <v>41243.64583</v>
      </c>
      <c r="B164" s="1">
        <f>IFERROR(__xludf.DUMMYFUNCTION("""COMPUTED_VALUE"""),3190.0)</f>
        <v>3190</v>
      </c>
      <c r="C164" s="1">
        <f>IFERROR(__xludf.DUMMYFUNCTION("""COMPUTED_VALUE"""),3290.0)</f>
        <v>3290</v>
      </c>
      <c r="D164" s="1">
        <f>IFERROR(__xludf.DUMMYFUNCTION("""COMPUTED_VALUE"""),3190.0)</f>
        <v>3190</v>
      </c>
      <c r="E164" s="1">
        <f>IFERROR(__xludf.DUMMYFUNCTION("""COMPUTED_VALUE"""),3250.0)</f>
        <v>3250</v>
      </c>
      <c r="F164" s="1">
        <f>IFERROR(__xludf.DUMMYFUNCTION("""COMPUTED_VALUE"""),21644.0)</f>
        <v>21644</v>
      </c>
    </row>
    <row r="165">
      <c r="A165" s="2">
        <f>IFERROR(__xludf.DUMMYFUNCTION("""COMPUTED_VALUE"""),41246.645833333336)</f>
        <v>41246.64583</v>
      </c>
      <c r="B165" s="1">
        <f>IFERROR(__xludf.DUMMYFUNCTION("""COMPUTED_VALUE"""),3345.0)</f>
        <v>3345</v>
      </c>
      <c r="C165" s="1">
        <f>IFERROR(__xludf.DUMMYFUNCTION("""COMPUTED_VALUE"""),3345.0)</f>
        <v>3345</v>
      </c>
      <c r="D165" s="1">
        <f>IFERROR(__xludf.DUMMYFUNCTION("""COMPUTED_VALUE"""),3135.0)</f>
        <v>3135</v>
      </c>
      <c r="E165" s="1">
        <f>IFERROR(__xludf.DUMMYFUNCTION("""COMPUTED_VALUE"""),3200.0)</f>
        <v>3200</v>
      </c>
      <c r="F165" s="1">
        <f>IFERROR(__xludf.DUMMYFUNCTION("""COMPUTED_VALUE"""),11618.0)</f>
        <v>11618</v>
      </c>
    </row>
    <row r="166">
      <c r="A166" s="2">
        <f>IFERROR(__xludf.DUMMYFUNCTION("""COMPUTED_VALUE"""),41247.645833333336)</f>
        <v>41247.64583</v>
      </c>
      <c r="B166" s="1">
        <f>IFERROR(__xludf.DUMMYFUNCTION("""COMPUTED_VALUE"""),3280.0)</f>
        <v>3280</v>
      </c>
      <c r="C166" s="1">
        <f>IFERROR(__xludf.DUMMYFUNCTION("""COMPUTED_VALUE"""),3285.0)</f>
        <v>3285</v>
      </c>
      <c r="D166" s="1">
        <f>IFERROR(__xludf.DUMMYFUNCTION("""COMPUTED_VALUE"""),3010.0)</f>
        <v>3010</v>
      </c>
      <c r="E166" s="1">
        <f>IFERROR(__xludf.DUMMYFUNCTION("""COMPUTED_VALUE"""),3140.0)</f>
        <v>3140</v>
      </c>
      <c r="F166" s="1">
        <f>IFERROR(__xludf.DUMMYFUNCTION("""COMPUTED_VALUE"""),23183.0)</f>
        <v>23183</v>
      </c>
    </row>
    <row r="167">
      <c r="A167" s="2">
        <f>IFERROR(__xludf.DUMMYFUNCTION("""COMPUTED_VALUE"""),41248.645833333336)</f>
        <v>41248.64583</v>
      </c>
      <c r="B167" s="1">
        <f>IFERROR(__xludf.DUMMYFUNCTION("""COMPUTED_VALUE"""),3110.0)</f>
        <v>3110</v>
      </c>
      <c r="C167" s="1">
        <f>IFERROR(__xludf.DUMMYFUNCTION("""COMPUTED_VALUE"""),3190.0)</f>
        <v>3190</v>
      </c>
      <c r="D167" s="1">
        <f>IFERROR(__xludf.DUMMYFUNCTION("""COMPUTED_VALUE"""),3015.0)</f>
        <v>3015</v>
      </c>
      <c r="E167" s="1">
        <f>IFERROR(__xludf.DUMMYFUNCTION("""COMPUTED_VALUE"""),3125.0)</f>
        <v>3125</v>
      </c>
      <c r="F167" s="1">
        <f>IFERROR(__xludf.DUMMYFUNCTION("""COMPUTED_VALUE"""),8213.0)</f>
        <v>8213</v>
      </c>
    </row>
    <row r="168">
      <c r="A168" s="2">
        <f>IFERROR(__xludf.DUMMYFUNCTION("""COMPUTED_VALUE"""),41249.645833333336)</f>
        <v>41249.64583</v>
      </c>
      <c r="B168" s="1">
        <f>IFERROR(__xludf.DUMMYFUNCTION("""COMPUTED_VALUE"""),3250.0)</f>
        <v>3250</v>
      </c>
      <c r="C168" s="1">
        <f>IFERROR(__xludf.DUMMYFUNCTION("""COMPUTED_VALUE"""),3250.0)</f>
        <v>3250</v>
      </c>
      <c r="D168" s="1">
        <f>IFERROR(__xludf.DUMMYFUNCTION("""COMPUTED_VALUE"""),2980.0)</f>
        <v>2980</v>
      </c>
      <c r="E168" s="1">
        <f>IFERROR(__xludf.DUMMYFUNCTION("""COMPUTED_VALUE"""),3045.0)</f>
        <v>3045</v>
      </c>
      <c r="F168" s="1">
        <f>IFERROR(__xludf.DUMMYFUNCTION("""COMPUTED_VALUE"""),12954.0)</f>
        <v>12954</v>
      </c>
    </row>
    <row r="169">
      <c r="A169" s="2">
        <f>IFERROR(__xludf.DUMMYFUNCTION("""COMPUTED_VALUE"""),41250.645833333336)</f>
        <v>41250.64583</v>
      </c>
      <c r="B169" s="1">
        <f>IFERROR(__xludf.DUMMYFUNCTION("""COMPUTED_VALUE"""),3190.0)</f>
        <v>3190</v>
      </c>
      <c r="C169" s="1">
        <f>IFERROR(__xludf.DUMMYFUNCTION("""COMPUTED_VALUE"""),3190.0)</f>
        <v>3190</v>
      </c>
      <c r="D169" s="1">
        <f>IFERROR(__xludf.DUMMYFUNCTION("""COMPUTED_VALUE"""),2950.0)</f>
        <v>2950</v>
      </c>
      <c r="E169" s="1">
        <f>IFERROR(__xludf.DUMMYFUNCTION("""COMPUTED_VALUE"""),2950.0)</f>
        <v>2950</v>
      </c>
      <c r="F169" s="1">
        <f>IFERROR(__xludf.DUMMYFUNCTION("""COMPUTED_VALUE"""),10464.0)</f>
        <v>10464</v>
      </c>
    </row>
    <row r="170">
      <c r="A170" s="2">
        <f>IFERROR(__xludf.DUMMYFUNCTION("""COMPUTED_VALUE"""),41253.645833333336)</f>
        <v>41253.64583</v>
      </c>
      <c r="B170" s="1">
        <f>IFERROR(__xludf.DUMMYFUNCTION("""COMPUTED_VALUE"""),3040.0)</f>
        <v>3040</v>
      </c>
      <c r="C170" s="1">
        <f>IFERROR(__xludf.DUMMYFUNCTION("""COMPUTED_VALUE"""),3130.0)</f>
        <v>3130</v>
      </c>
      <c r="D170" s="1">
        <f>IFERROR(__xludf.DUMMYFUNCTION("""COMPUTED_VALUE"""),2865.0)</f>
        <v>2865</v>
      </c>
      <c r="E170" s="1">
        <f>IFERROR(__xludf.DUMMYFUNCTION("""COMPUTED_VALUE"""),2940.0)</f>
        <v>2940</v>
      </c>
      <c r="F170" s="1">
        <f>IFERROR(__xludf.DUMMYFUNCTION("""COMPUTED_VALUE"""),10887.0)</f>
        <v>10887</v>
      </c>
    </row>
    <row r="171">
      <c r="A171" s="2">
        <f>IFERROR(__xludf.DUMMYFUNCTION("""COMPUTED_VALUE"""),41254.645833333336)</f>
        <v>41254.64583</v>
      </c>
      <c r="B171" s="1">
        <f>IFERROR(__xludf.DUMMYFUNCTION("""COMPUTED_VALUE"""),3055.0)</f>
        <v>3055</v>
      </c>
      <c r="C171" s="1">
        <f>IFERROR(__xludf.DUMMYFUNCTION("""COMPUTED_VALUE"""),3150.0)</f>
        <v>3150</v>
      </c>
      <c r="D171" s="1">
        <f>IFERROR(__xludf.DUMMYFUNCTION("""COMPUTED_VALUE"""),2855.0)</f>
        <v>2855</v>
      </c>
      <c r="E171" s="1">
        <f>IFERROR(__xludf.DUMMYFUNCTION("""COMPUTED_VALUE"""),2965.0)</f>
        <v>2965</v>
      </c>
      <c r="F171" s="1">
        <f>IFERROR(__xludf.DUMMYFUNCTION("""COMPUTED_VALUE"""),65440.0)</f>
        <v>65440</v>
      </c>
    </row>
    <row r="172">
      <c r="A172" s="2">
        <f>IFERROR(__xludf.DUMMYFUNCTION("""COMPUTED_VALUE"""),41255.645833333336)</f>
        <v>41255.64583</v>
      </c>
      <c r="B172" s="1">
        <f>IFERROR(__xludf.DUMMYFUNCTION("""COMPUTED_VALUE"""),2965.0)</f>
        <v>2965</v>
      </c>
      <c r="C172" s="1">
        <f>IFERROR(__xludf.DUMMYFUNCTION("""COMPUTED_VALUE"""),2965.0)</f>
        <v>2965</v>
      </c>
      <c r="D172" s="1">
        <f>IFERROR(__xludf.DUMMYFUNCTION("""COMPUTED_VALUE"""),2810.0)</f>
        <v>2810</v>
      </c>
      <c r="E172" s="1">
        <f>IFERROR(__xludf.DUMMYFUNCTION("""COMPUTED_VALUE"""),2890.0)</f>
        <v>2890</v>
      </c>
      <c r="F172" s="1">
        <f>IFERROR(__xludf.DUMMYFUNCTION("""COMPUTED_VALUE"""),10824.0)</f>
        <v>10824</v>
      </c>
    </row>
    <row r="173">
      <c r="A173" s="2">
        <f>IFERROR(__xludf.DUMMYFUNCTION("""COMPUTED_VALUE"""),41256.645833333336)</f>
        <v>41256.64583</v>
      </c>
      <c r="B173" s="1">
        <f>IFERROR(__xludf.DUMMYFUNCTION("""COMPUTED_VALUE"""),3090.0)</f>
        <v>3090</v>
      </c>
      <c r="C173" s="1">
        <f>IFERROR(__xludf.DUMMYFUNCTION("""COMPUTED_VALUE"""),3090.0)</f>
        <v>3090</v>
      </c>
      <c r="D173" s="1">
        <f>IFERROR(__xludf.DUMMYFUNCTION("""COMPUTED_VALUE"""),2870.0)</f>
        <v>2870</v>
      </c>
      <c r="E173" s="1">
        <f>IFERROR(__xludf.DUMMYFUNCTION("""COMPUTED_VALUE"""),2925.0)</f>
        <v>2925</v>
      </c>
      <c r="F173" s="1">
        <f>IFERROR(__xludf.DUMMYFUNCTION("""COMPUTED_VALUE"""),23847.0)</f>
        <v>23847</v>
      </c>
    </row>
    <row r="174">
      <c r="A174" s="2">
        <f>IFERROR(__xludf.DUMMYFUNCTION("""COMPUTED_VALUE"""),41257.645833333336)</f>
        <v>41257.64583</v>
      </c>
      <c r="B174" s="1">
        <f>IFERROR(__xludf.DUMMYFUNCTION("""COMPUTED_VALUE"""),3045.0)</f>
        <v>3045</v>
      </c>
      <c r="C174" s="1">
        <f>IFERROR(__xludf.DUMMYFUNCTION("""COMPUTED_VALUE"""),3045.0)</f>
        <v>3045</v>
      </c>
      <c r="D174" s="1">
        <f>IFERROR(__xludf.DUMMYFUNCTION("""COMPUTED_VALUE"""),2880.0)</f>
        <v>2880</v>
      </c>
      <c r="E174" s="1">
        <f>IFERROR(__xludf.DUMMYFUNCTION("""COMPUTED_VALUE"""),2930.0)</f>
        <v>2930</v>
      </c>
      <c r="F174" s="1">
        <f>IFERROR(__xludf.DUMMYFUNCTION("""COMPUTED_VALUE"""),12664.0)</f>
        <v>12664</v>
      </c>
    </row>
    <row r="175">
      <c r="A175" s="2">
        <f>IFERROR(__xludf.DUMMYFUNCTION("""COMPUTED_VALUE"""),41260.645833333336)</f>
        <v>41260.64583</v>
      </c>
      <c r="B175" s="1">
        <f>IFERROR(__xludf.DUMMYFUNCTION("""COMPUTED_VALUE"""),3100.0)</f>
        <v>3100</v>
      </c>
      <c r="C175" s="1">
        <f>IFERROR(__xludf.DUMMYFUNCTION("""COMPUTED_VALUE"""),3100.0)</f>
        <v>3100</v>
      </c>
      <c r="D175" s="1">
        <f>IFERROR(__xludf.DUMMYFUNCTION("""COMPUTED_VALUE"""),2815.0)</f>
        <v>2815</v>
      </c>
      <c r="E175" s="1">
        <f>IFERROR(__xludf.DUMMYFUNCTION("""COMPUTED_VALUE"""),2890.0)</f>
        <v>2890</v>
      </c>
      <c r="F175" s="1">
        <f>IFERROR(__xludf.DUMMYFUNCTION("""COMPUTED_VALUE"""),13467.0)</f>
        <v>13467</v>
      </c>
    </row>
    <row r="176">
      <c r="A176" s="2">
        <f>IFERROR(__xludf.DUMMYFUNCTION("""COMPUTED_VALUE"""),41261.645833333336)</f>
        <v>41261.64583</v>
      </c>
      <c r="B176" s="1">
        <f>IFERROR(__xludf.DUMMYFUNCTION("""COMPUTED_VALUE"""),2805.0)</f>
        <v>2805</v>
      </c>
      <c r="C176" s="1">
        <f>IFERROR(__xludf.DUMMYFUNCTION("""COMPUTED_VALUE"""),2940.0)</f>
        <v>2940</v>
      </c>
      <c r="D176" s="1">
        <f>IFERROR(__xludf.DUMMYFUNCTION("""COMPUTED_VALUE"""),2660.0)</f>
        <v>2660</v>
      </c>
      <c r="E176" s="1">
        <f>IFERROR(__xludf.DUMMYFUNCTION("""COMPUTED_VALUE"""),2900.0)</f>
        <v>2900</v>
      </c>
      <c r="F176" s="1">
        <f>IFERROR(__xludf.DUMMYFUNCTION("""COMPUTED_VALUE"""),24946.0)</f>
        <v>24946</v>
      </c>
    </row>
    <row r="177">
      <c r="A177" s="2">
        <f>IFERROR(__xludf.DUMMYFUNCTION("""COMPUTED_VALUE"""),41263.645833333336)</f>
        <v>41263.64583</v>
      </c>
      <c r="B177" s="1">
        <f>IFERROR(__xludf.DUMMYFUNCTION("""COMPUTED_VALUE"""),2900.0)</f>
        <v>2900</v>
      </c>
      <c r="C177" s="1">
        <f>IFERROR(__xludf.DUMMYFUNCTION("""COMPUTED_VALUE"""),2915.0)</f>
        <v>2915</v>
      </c>
      <c r="D177" s="1">
        <f>IFERROR(__xludf.DUMMYFUNCTION("""COMPUTED_VALUE"""),2780.0)</f>
        <v>2780</v>
      </c>
      <c r="E177" s="1">
        <f>IFERROR(__xludf.DUMMYFUNCTION("""COMPUTED_VALUE"""),2835.0)</f>
        <v>2835</v>
      </c>
      <c r="F177" s="1">
        <f>IFERROR(__xludf.DUMMYFUNCTION("""COMPUTED_VALUE"""),23375.0)</f>
        <v>23375</v>
      </c>
    </row>
    <row r="178">
      <c r="A178" s="2">
        <f>IFERROR(__xludf.DUMMYFUNCTION("""COMPUTED_VALUE"""),41264.645833333336)</f>
        <v>41264.64583</v>
      </c>
      <c r="B178" s="1">
        <f>IFERROR(__xludf.DUMMYFUNCTION("""COMPUTED_VALUE"""),2895.0)</f>
        <v>2895</v>
      </c>
      <c r="C178" s="1">
        <f>IFERROR(__xludf.DUMMYFUNCTION("""COMPUTED_VALUE"""),2895.0)</f>
        <v>2895</v>
      </c>
      <c r="D178" s="1">
        <f>IFERROR(__xludf.DUMMYFUNCTION("""COMPUTED_VALUE"""),2680.0)</f>
        <v>2680</v>
      </c>
      <c r="E178" s="1">
        <f>IFERROR(__xludf.DUMMYFUNCTION("""COMPUTED_VALUE"""),2695.0)</f>
        <v>2695</v>
      </c>
      <c r="F178" s="1">
        <f>IFERROR(__xludf.DUMMYFUNCTION("""COMPUTED_VALUE"""),35402.0)</f>
        <v>35402</v>
      </c>
    </row>
    <row r="179">
      <c r="A179" s="2">
        <f>IFERROR(__xludf.DUMMYFUNCTION("""COMPUTED_VALUE"""),41267.645833333336)</f>
        <v>41267.64583</v>
      </c>
      <c r="B179" s="1">
        <f>IFERROR(__xludf.DUMMYFUNCTION("""COMPUTED_VALUE"""),2695.0)</f>
        <v>2695</v>
      </c>
      <c r="C179" s="1">
        <f>IFERROR(__xludf.DUMMYFUNCTION("""COMPUTED_VALUE"""),2740.0)</f>
        <v>2740</v>
      </c>
      <c r="D179" s="1">
        <f>IFERROR(__xludf.DUMMYFUNCTION("""COMPUTED_VALUE"""),2600.0)</f>
        <v>2600</v>
      </c>
      <c r="E179" s="1">
        <f>IFERROR(__xludf.DUMMYFUNCTION("""COMPUTED_VALUE"""),2650.0)</f>
        <v>2650</v>
      </c>
      <c r="F179" s="1">
        <f>IFERROR(__xludf.DUMMYFUNCTION("""COMPUTED_VALUE"""),18735.0)</f>
        <v>18735</v>
      </c>
    </row>
    <row r="180">
      <c r="A180" s="2">
        <f>IFERROR(__xludf.DUMMYFUNCTION("""COMPUTED_VALUE"""),41269.645833333336)</f>
        <v>41269.64583</v>
      </c>
      <c r="B180" s="1">
        <f>IFERROR(__xludf.DUMMYFUNCTION("""COMPUTED_VALUE"""),2730.0)</f>
        <v>2730</v>
      </c>
      <c r="C180" s="1">
        <f>IFERROR(__xludf.DUMMYFUNCTION("""COMPUTED_VALUE"""),3045.0)</f>
        <v>3045</v>
      </c>
      <c r="D180" s="1">
        <f>IFERROR(__xludf.DUMMYFUNCTION("""COMPUTED_VALUE"""),2720.0)</f>
        <v>2720</v>
      </c>
      <c r="E180" s="1">
        <f>IFERROR(__xludf.DUMMYFUNCTION("""COMPUTED_VALUE"""),2785.0)</f>
        <v>2785</v>
      </c>
      <c r="F180" s="1">
        <f>IFERROR(__xludf.DUMMYFUNCTION("""COMPUTED_VALUE"""),99865.0)</f>
        <v>99865</v>
      </c>
    </row>
    <row r="181">
      <c r="A181" s="2">
        <f>IFERROR(__xludf.DUMMYFUNCTION("""COMPUTED_VALUE"""),41270.645833333336)</f>
        <v>41270.64583</v>
      </c>
      <c r="B181" s="1">
        <f>IFERROR(__xludf.DUMMYFUNCTION("""COMPUTED_VALUE"""),2800.0)</f>
        <v>2800</v>
      </c>
      <c r="C181" s="1">
        <f>IFERROR(__xludf.DUMMYFUNCTION("""COMPUTED_VALUE"""),2800.0)</f>
        <v>2800</v>
      </c>
      <c r="D181" s="1">
        <f>IFERROR(__xludf.DUMMYFUNCTION("""COMPUTED_VALUE"""),2675.0)</f>
        <v>2675</v>
      </c>
      <c r="E181" s="1">
        <f>IFERROR(__xludf.DUMMYFUNCTION("""COMPUTED_VALUE"""),2730.0)</f>
        <v>2730</v>
      </c>
      <c r="F181" s="1">
        <f>IFERROR(__xludf.DUMMYFUNCTION("""COMPUTED_VALUE"""),25229.0)</f>
        <v>25229</v>
      </c>
    </row>
    <row r="182">
      <c r="A182" s="2">
        <f>IFERROR(__xludf.DUMMYFUNCTION("""COMPUTED_VALUE"""),41271.645833333336)</f>
        <v>41271.64583</v>
      </c>
      <c r="B182" s="1">
        <f>IFERROR(__xludf.DUMMYFUNCTION("""COMPUTED_VALUE"""),2760.0)</f>
        <v>2760</v>
      </c>
      <c r="C182" s="1">
        <f>IFERROR(__xludf.DUMMYFUNCTION("""COMPUTED_VALUE"""),2760.0)</f>
        <v>2760</v>
      </c>
      <c r="D182" s="1">
        <f>IFERROR(__xludf.DUMMYFUNCTION("""COMPUTED_VALUE"""),2560.0)</f>
        <v>2560</v>
      </c>
      <c r="E182" s="1">
        <f>IFERROR(__xludf.DUMMYFUNCTION("""COMPUTED_VALUE"""),2650.0)</f>
        <v>2650</v>
      </c>
      <c r="F182" s="1">
        <f>IFERROR(__xludf.DUMMYFUNCTION("""COMPUTED_VALUE"""),35824.0)</f>
        <v>35824</v>
      </c>
    </row>
    <row r="183">
      <c r="A183" s="2">
        <f>IFERROR(__xludf.DUMMYFUNCTION("""COMPUTED_VALUE"""),41276.645833333336)</f>
        <v>41276.64583</v>
      </c>
      <c r="B183" s="1">
        <f>IFERROR(__xludf.DUMMYFUNCTION("""COMPUTED_VALUE"""),2720.0)</f>
        <v>2720</v>
      </c>
      <c r="C183" s="1">
        <f>IFERROR(__xludf.DUMMYFUNCTION("""COMPUTED_VALUE"""),2720.0)</f>
        <v>2720</v>
      </c>
      <c r="D183" s="1">
        <f>IFERROR(__xludf.DUMMYFUNCTION("""COMPUTED_VALUE"""),2570.0)</f>
        <v>2570</v>
      </c>
      <c r="E183" s="1">
        <f>IFERROR(__xludf.DUMMYFUNCTION("""COMPUTED_VALUE"""),2600.0)</f>
        <v>2600</v>
      </c>
      <c r="F183" s="1">
        <f>IFERROR(__xludf.DUMMYFUNCTION("""COMPUTED_VALUE"""),23656.0)</f>
        <v>23656</v>
      </c>
    </row>
    <row r="184">
      <c r="A184" s="2">
        <f>IFERROR(__xludf.DUMMYFUNCTION("""COMPUTED_VALUE"""),41277.645833333336)</f>
        <v>41277.64583</v>
      </c>
      <c r="B184" s="1">
        <f>IFERROR(__xludf.DUMMYFUNCTION("""COMPUTED_VALUE"""),2645.0)</f>
        <v>2645</v>
      </c>
      <c r="C184" s="1">
        <f>IFERROR(__xludf.DUMMYFUNCTION("""COMPUTED_VALUE"""),2720.0)</f>
        <v>2720</v>
      </c>
      <c r="D184" s="1">
        <f>IFERROR(__xludf.DUMMYFUNCTION("""COMPUTED_VALUE"""),2600.0)</f>
        <v>2600</v>
      </c>
      <c r="E184" s="1">
        <f>IFERROR(__xludf.DUMMYFUNCTION("""COMPUTED_VALUE"""),2630.0)</f>
        <v>2630</v>
      </c>
      <c r="F184" s="1">
        <f>IFERROR(__xludf.DUMMYFUNCTION("""COMPUTED_VALUE"""),49653.0)</f>
        <v>49653</v>
      </c>
    </row>
    <row r="185">
      <c r="A185" s="2">
        <f>IFERROR(__xludf.DUMMYFUNCTION("""COMPUTED_VALUE"""),41278.645833333336)</f>
        <v>41278.64583</v>
      </c>
      <c r="B185" s="1">
        <f>IFERROR(__xludf.DUMMYFUNCTION("""COMPUTED_VALUE"""),2650.0)</f>
        <v>2650</v>
      </c>
      <c r="C185" s="1">
        <f>IFERROR(__xludf.DUMMYFUNCTION("""COMPUTED_VALUE"""),2670.0)</f>
        <v>2670</v>
      </c>
      <c r="D185" s="1">
        <f>IFERROR(__xludf.DUMMYFUNCTION("""COMPUTED_VALUE"""),2585.0)</f>
        <v>2585</v>
      </c>
      <c r="E185" s="1">
        <f>IFERROR(__xludf.DUMMYFUNCTION("""COMPUTED_VALUE"""),2640.0)</f>
        <v>2640</v>
      </c>
      <c r="F185" s="1">
        <f>IFERROR(__xludf.DUMMYFUNCTION("""COMPUTED_VALUE"""),38121.0)</f>
        <v>38121</v>
      </c>
    </row>
    <row r="186">
      <c r="A186" s="2">
        <f>IFERROR(__xludf.DUMMYFUNCTION("""COMPUTED_VALUE"""),41281.645833333336)</f>
        <v>41281.64583</v>
      </c>
      <c r="B186" s="1">
        <f>IFERROR(__xludf.DUMMYFUNCTION("""COMPUTED_VALUE"""),2650.0)</f>
        <v>2650</v>
      </c>
      <c r="C186" s="1">
        <f>IFERROR(__xludf.DUMMYFUNCTION("""COMPUTED_VALUE"""),2660.0)</f>
        <v>2660</v>
      </c>
      <c r="D186" s="1">
        <f>IFERROR(__xludf.DUMMYFUNCTION("""COMPUTED_VALUE"""),2600.0)</f>
        <v>2600</v>
      </c>
      <c r="E186" s="1">
        <f>IFERROR(__xludf.DUMMYFUNCTION("""COMPUTED_VALUE"""),2635.0)</f>
        <v>2635</v>
      </c>
      <c r="F186" s="1">
        <f>IFERROR(__xludf.DUMMYFUNCTION("""COMPUTED_VALUE"""),26296.0)</f>
        <v>26296</v>
      </c>
    </row>
    <row r="187">
      <c r="A187" s="2">
        <f>IFERROR(__xludf.DUMMYFUNCTION("""COMPUTED_VALUE"""),41282.645833333336)</f>
        <v>41282.64583</v>
      </c>
      <c r="B187" s="1">
        <f>IFERROR(__xludf.DUMMYFUNCTION("""COMPUTED_VALUE"""),2615.0)</f>
        <v>2615</v>
      </c>
      <c r="C187" s="1">
        <f>IFERROR(__xludf.DUMMYFUNCTION("""COMPUTED_VALUE"""),2695.0)</f>
        <v>2695</v>
      </c>
      <c r="D187" s="1">
        <f>IFERROR(__xludf.DUMMYFUNCTION("""COMPUTED_VALUE"""),2600.0)</f>
        <v>2600</v>
      </c>
      <c r="E187" s="1">
        <f>IFERROR(__xludf.DUMMYFUNCTION("""COMPUTED_VALUE"""),2620.0)</f>
        <v>2620</v>
      </c>
      <c r="F187" s="1">
        <f>IFERROR(__xludf.DUMMYFUNCTION("""COMPUTED_VALUE"""),64877.0)</f>
        <v>64877</v>
      </c>
    </row>
    <row r="188">
      <c r="A188" s="2">
        <f>IFERROR(__xludf.DUMMYFUNCTION("""COMPUTED_VALUE"""),41283.645833333336)</f>
        <v>41283.64583</v>
      </c>
      <c r="B188" s="1">
        <f>IFERROR(__xludf.DUMMYFUNCTION("""COMPUTED_VALUE"""),2620.0)</f>
        <v>2620</v>
      </c>
      <c r="C188" s="1">
        <f>IFERROR(__xludf.DUMMYFUNCTION("""COMPUTED_VALUE"""),2620.0)</f>
        <v>2620</v>
      </c>
      <c r="D188" s="1">
        <f>IFERROR(__xludf.DUMMYFUNCTION("""COMPUTED_VALUE"""),2385.0)</f>
        <v>2385</v>
      </c>
      <c r="E188" s="1">
        <f>IFERROR(__xludf.DUMMYFUNCTION("""COMPUTED_VALUE"""),2400.0)</f>
        <v>2400</v>
      </c>
      <c r="F188" s="1">
        <f>IFERROR(__xludf.DUMMYFUNCTION("""COMPUTED_VALUE"""),143339.0)</f>
        <v>143339</v>
      </c>
    </row>
    <row r="189">
      <c r="A189" s="2">
        <f>IFERROR(__xludf.DUMMYFUNCTION("""COMPUTED_VALUE"""),41284.645833333336)</f>
        <v>41284.64583</v>
      </c>
      <c r="B189" s="1">
        <f>IFERROR(__xludf.DUMMYFUNCTION("""COMPUTED_VALUE"""),2090.0)</f>
        <v>2090</v>
      </c>
      <c r="C189" s="1">
        <f>IFERROR(__xludf.DUMMYFUNCTION("""COMPUTED_VALUE"""),2315.0)</f>
        <v>2315</v>
      </c>
      <c r="D189" s="1">
        <f>IFERROR(__xludf.DUMMYFUNCTION("""COMPUTED_VALUE"""),2040.0)</f>
        <v>2040</v>
      </c>
      <c r="E189" s="1">
        <f>IFERROR(__xludf.DUMMYFUNCTION("""COMPUTED_VALUE"""),2040.0)</f>
        <v>2040</v>
      </c>
      <c r="F189" s="1">
        <f>IFERROR(__xludf.DUMMYFUNCTION("""COMPUTED_VALUE"""),433745.0)</f>
        <v>433745</v>
      </c>
    </row>
    <row r="190">
      <c r="A190" s="2">
        <f>IFERROR(__xludf.DUMMYFUNCTION("""COMPUTED_VALUE"""),41285.645833333336)</f>
        <v>41285.64583</v>
      </c>
      <c r="B190" s="1">
        <f>IFERROR(__xludf.DUMMYFUNCTION("""COMPUTED_VALUE"""),1820.0)</f>
        <v>1820</v>
      </c>
      <c r="C190" s="1">
        <f>IFERROR(__xludf.DUMMYFUNCTION("""COMPUTED_VALUE"""),2090.0)</f>
        <v>2090</v>
      </c>
      <c r="D190" s="1">
        <f>IFERROR(__xludf.DUMMYFUNCTION("""COMPUTED_VALUE"""),1765.0)</f>
        <v>1765</v>
      </c>
      <c r="E190" s="1">
        <f>IFERROR(__xludf.DUMMYFUNCTION("""COMPUTED_VALUE"""),1965.0)</f>
        <v>1965</v>
      </c>
      <c r="F190" s="1">
        <f>IFERROR(__xludf.DUMMYFUNCTION("""COMPUTED_VALUE"""),999742.0)</f>
        <v>999742</v>
      </c>
    </row>
    <row r="191">
      <c r="A191" s="2">
        <f>IFERROR(__xludf.DUMMYFUNCTION("""COMPUTED_VALUE"""),41288.645833333336)</f>
        <v>41288.64583</v>
      </c>
      <c r="B191" s="1">
        <f>IFERROR(__xludf.DUMMYFUNCTION("""COMPUTED_VALUE"""),1965.0)</f>
        <v>1965</v>
      </c>
      <c r="C191" s="1">
        <f>IFERROR(__xludf.DUMMYFUNCTION("""COMPUTED_VALUE"""),2045.0)</f>
        <v>2045</v>
      </c>
      <c r="D191" s="1">
        <f>IFERROR(__xludf.DUMMYFUNCTION("""COMPUTED_VALUE"""),1870.0)</f>
        <v>1870</v>
      </c>
      <c r="E191" s="1">
        <f>IFERROR(__xludf.DUMMYFUNCTION("""COMPUTED_VALUE"""),1880.0)</f>
        <v>1880</v>
      </c>
      <c r="F191" s="1">
        <f>IFERROR(__xludf.DUMMYFUNCTION("""COMPUTED_VALUE"""),258152.0)</f>
        <v>258152</v>
      </c>
    </row>
    <row r="192">
      <c r="A192" s="2">
        <f>IFERROR(__xludf.DUMMYFUNCTION("""COMPUTED_VALUE"""),41289.645833333336)</f>
        <v>41289.64583</v>
      </c>
      <c r="B192" s="1">
        <f>IFERROR(__xludf.DUMMYFUNCTION("""COMPUTED_VALUE"""),1900.0)</f>
        <v>1900</v>
      </c>
      <c r="C192" s="1">
        <f>IFERROR(__xludf.DUMMYFUNCTION("""COMPUTED_VALUE"""),1980.0)</f>
        <v>1980</v>
      </c>
      <c r="D192" s="1">
        <f>IFERROR(__xludf.DUMMYFUNCTION("""COMPUTED_VALUE"""),1750.0)</f>
        <v>1750</v>
      </c>
      <c r="E192" s="1">
        <f>IFERROR(__xludf.DUMMYFUNCTION("""COMPUTED_VALUE"""),1780.0)</f>
        <v>1780</v>
      </c>
      <c r="F192" s="1">
        <f>IFERROR(__xludf.DUMMYFUNCTION("""COMPUTED_VALUE"""),361618.0)</f>
        <v>361618</v>
      </c>
    </row>
    <row r="193">
      <c r="A193" s="2">
        <f>IFERROR(__xludf.DUMMYFUNCTION("""COMPUTED_VALUE"""),41290.645833333336)</f>
        <v>41290.64583</v>
      </c>
      <c r="B193" s="1">
        <f>IFERROR(__xludf.DUMMYFUNCTION("""COMPUTED_VALUE"""),1780.0)</f>
        <v>1780</v>
      </c>
      <c r="C193" s="1">
        <f>IFERROR(__xludf.DUMMYFUNCTION("""COMPUTED_VALUE"""),2045.0)</f>
        <v>2045</v>
      </c>
      <c r="D193" s="1">
        <f>IFERROR(__xludf.DUMMYFUNCTION("""COMPUTED_VALUE"""),1780.0)</f>
        <v>1780</v>
      </c>
      <c r="E193" s="1">
        <f>IFERROR(__xludf.DUMMYFUNCTION("""COMPUTED_VALUE"""),2045.0)</f>
        <v>2045</v>
      </c>
      <c r="F193" s="1">
        <f>IFERROR(__xludf.DUMMYFUNCTION("""COMPUTED_VALUE"""),704878.0)</f>
        <v>704878</v>
      </c>
    </row>
    <row r="194">
      <c r="A194" s="2">
        <f>IFERROR(__xludf.DUMMYFUNCTION("""COMPUTED_VALUE"""),41460.645833333336)</f>
        <v>41460.64583</v>
      </c>
      <c r="B194" s="1">
        <f>IFERROR(__xludf.DUMMYFUNCTION("""COMPUTED_VALUE"""),4000.0)</f>
        <v>4000</v>
      </c>
      <c r="C194" s="1">
        <f>IFERROR(__xludf.DUMMYFUNCTION("""COMPUTED_VALUE"""),4090.0)</f>
        <v>4090</v>
      </c>
      <c r="D194" s="1">
        <f>IFERROR(__xludf.DUMMYFUNCTION("""COMPUTED_VALUE"""),3400.0)</f>
        <v>3400</v>
      </c>
      <c r="E194" s="1">
        <f>IFERROR(__xludf.DUMMYFUNCTION("""COMPUTED_VALUE"""),3410.0)</f>
        <v>3410</v>
      </c>
      <c r="F194" s="1">
        <f>IFERROR(__xludf.DUMMYFUNCTION("""COMPUTED_VALUE"""),1229599.0)</f>
        <v>1229599</v>
      </c>
    </row>
    <row r="195">
      <c r="A195" s="2">
        <f>IFERROR(__xludf.DUMMYFUNCTION("""COMPUTED_VALUE"""),41463.645833333336)</f>
        <v>41463.64583</v>
      </c>
      <c r="B195" s="1">
        <f>IFERROR(__xludf.DUMMYFUNCTION("""COMPUTED_VALUE"""),3225.0)</f>
        <v>3225</v>
      </c>
      <c r="C195" s="1">
        <f>IFERROR(__xludf.DUMMYFUNCTION("""COMPUTED_VALUE"""),3485.0)</f>
        <v>3485</v>
      </c>
      <c r="D195" s="1">
        <f>IFERROR(__xludf.DUMMYFUNCTION("""COMPUTED_VALUE"""),3040.0)</f>
        <v>3040</v>
      </c>
      <c r="E195" s="1">
        <f>IFERROR(__xludf.DUMMYFUNCTION("""COMPUTED_VALUE"""),3180.0)</f>
        <v>3180</v>
      </c>
      <c r="F195" s="1">
        <f>IFERROR(__xludf.DUMMYFUNCTION("""COMPUTED_VALUE"""),294834.0)</f>
        <v>294834</v>
      </c>
    </row>
    <row r="196">
      <c r="A196" s="2">
        <f>IFERROR(__xludf.DUMMYFUNCTION("""COMPUTED_VALUE"""),41464.645833333336)</f>
        <v>41464.64583</v>
      </c>
      <c r="B196" s="1">
        <f>IFERROR(__xludf.DUMMYFUNCTION("""COMPUTED_VALUE"""),3185.0)</f>
        <v>3185</v>
      </c>
      <c r="C196" s="1">
        <f>IFERROR(__xludf.DUMMYFUNCTION("""COMPUTED_VALUE"""),3280.0)</f>
        <v>3280</v>
      </c>
      <c r="D196" s="1">
        <f>IFERROR(__xludf.DUMMYFUNCTION("""COMPUTED_VALUE"""),3080.0)</f>
        <v>3080</v>
      </c>
      <c r="E196" s="1">
        <f>IFERROR(__xludf.DUMMYFUNCTION("""COMPUTED_VALUE"""),3190.0)</f>
        <v>3190</v>
      </c>
      <c r="F196" s="1">
        <f>IFERROR(__xludf.DUMMYFUNCTION("""COMPUTED_VALUE"""),85918.0)</f>
        <v>85918</v>
      </c>
    </row>
    <row r="197">
      <c r="A197" s="2">
        <f>IFERROR(__xludf.DUMMYFUNCTION("""COMPUTED_VALUE"""),41465.645833333336)</f>
        <v>41465.64583</v>
      </c>
      <c r="B197" s="1">
        <f>IFERROR(__xludf.DUMMYFUNCTION("""COMPUTED_VALUE"""),3280.0)</f>
        <v>3280</v>
      </c>
      <c r="C197" s="1">
        <f>IFERROR(__xludf.DUMMYFUNCTION("""COMPUTED_VALUE"""),3280.0)</f>
        <v>3280</v>
      </c>
      <c r="D197" s="1">
        <f>IFERROR(__xludf.DUMMYFUNCTION("""COMPUTED_VALUE"""),2850.0)</f>
        <v>2850</v>
      </c>
      <c r="E197" s="1">
        <f>IFERROR(__xludf.DUMMYFUNCTION("""COMPUTED_VALUE"""),2930.0)</f>
        <v>2930</v>
      </c>
      <c r="F197" s="1">
        <f>IFERROR(__xludf.DUMMYFUNCTION("""COMPUTED_VALUE"""),156372.0)</f>
        <v>156372</v>
      </c>
    </row>
    <row r="198">
      <c r="A198" s="2">
        <f>IFERROR(__xludf.DUMMYFUNCTION("""COMPUTED_VALUE"""),41466.645833333336)</f>
        <v>41466.64583</v>
      </c>
      <c r="B198" s="1">
        <f>IFERROR(__xludf.DUMMYFUNCTION("""COMPUTED_VALUE"""),2930.0)</f>
        <v>2930</v>
      </c>
      <c r="C198" s="1">
        <f>IFERROR(__xludf.DUMMYFUNCTION("""COMPUTED_VALUE"""),3270.0)</f>
        <v>3270</v>
      </c>
      <c r="D198" s="1">
        <f>IFERROR(__xludf.DUMMYFUNCTION("""COMPUTED_VALUE"""),2865.0)</f>
        <v>2865</v>
      </c>
      <c r="E198" s="1">
        <f>IFERROR(__xludf.DUMMYFUNCTION("""COMPUTED_VALUE"""),3105.0)</f>
        <v>3105</v>
      </c>
      <c r="F198" s="1">
        <f>IFERROR(__xludf.DUMMYFUNCTION("""COMPUTED_VALUE"""),110575.0)</f>
        <v>110575</v>
      </c>
    </row>
    <row r="199">
      <c r="A199" s="2">
        <f>IFERROR(__xludf.DUMMYFUNCTION("""COMPUTED_VALUE"""),41467.645833333336)</f>
        <v>41467.64583</v>
      </c>
      <c r="B199" s="1">
        <f>IFERROR(__xludf.DUMMYFUNCTION("""COMPUTED_VALUE"""),3050.0)</f>
        <v>3050</v>
      </c>
      <c r="C199" s="1">
        <f>IFERROR(__xludf.DUMMYFUNCTION("""COMPUTED_VALUE"""),3145.0)</f>
        <v>3145</v>
      </c>
      <c r="D199" s="1">
        <f>IFERROR(__xludf.DUMMYFUNCTION("""COMPUTED_VALUE"""),2975.0)</f>
        <v>2975</v>
      </c>
      <c r="E199" s="1">
        <f>IFERROR(__xludf.DUMMYFUNCTION("""COMPUTED_VALUE"""),3085.0)</f>
        <v>3085</v>
      </c>
      <c r="F199" s="1">
        <f>IFERROR(__xludf.DUMMYFUNCTION("""COMPUTED_VALUE"""),63441.0)</f>
        <v>63441</v>
      </c>
    </row>
    <row r="200">
      <c r="A200" s="2">
        <f>IFERROR(__xludf.DUMMYFUNCTION("""COMPUTED_VALUE"""),41470.645833333336)</f>
        <v>41470.64583</v>
      </c>
      <c r="B200" s="1">
        <f>IFERROR(__xludf.DUMMYFUNCTION("""COMPUTED_VALUE"""),3100.0)</f>
        <v>3100</v>
      </c>
      <c r="C200" s="1">
        <f>IFERROR(__xludf.DUMMYFUNCTION("""COMPUTED_VALUE"""),3520.0)</f>
        <v>3520</v>
      </c>
      <c r="D200" s="1">
        <f>IFERROR(__xludf.DUMMYFUNCTION("""COMPUTED_VALUE"""),3080.0)</f>
        <v>3080</v>
      </c>
      <c r="E200" s="1">
        <f>IFERROR(__xludf.DUMMYFUNCTION("""COMPUTED_VALUE"""),3400.0)</f>
        <v>3400</v>
      </c>
      <c r="F200" s="1">
        <f>IFERROR(__xludf.DUMMYFUNCTION("""COMPUTED_VALUE"""),226304.0)</f>
        <v>226304</v>
      </c>
    </row>
    <row r="201">
      <c r="A201" s="2">
        <f>IFERROR(__xludf.DUMMYFUNCTION("""COMPUTED_VALUE"""),41471.645833333336)</f>
        <v>41471.64583</v>
      </c>
      <c r="B201" s="1">
        <f>IFERROR(__xludf.DUMMYFUNCTION("""COMPUTED_VALUE"""),3320.0)</f>
        <v>3320</v>
      </c>
      <c r="C201" s="1">
        <f>IFERROR(__xludf.DUMMYFUNCTION("""COMPUTED_VALUE"""),3510.0)</f>
        <v>3510</v>
      </c>
      <c r="D201" s="1">
        <f>IFERROR(__xludf.DUMMYFUNCTION("""COMPUTED_VALUE"""),3220.0)</f>
        <v>3220</v>
      </c>
      <c r="E201" s="1">
        <f>IFERROR(__xludf.DUMMYFUNCTION("""COMPUTED_VALUE"""),3385.0)</f>
        <v>3385</v>
      </c>
      <c r="F201" s="1">
        <f>IFERROR(__xludf.DUMMYFUNCTION("""COMPUTED_VALUE"""),95612.0)</f>
        <v>95612</v>
      </c>
    </row>
    <row r="202">
      <c r="A202" s="2">
        <f>IFERROR(__xludf.DUMMYFUNCTION("""COMPUTED_VALUE"""),41472.645833333336)</f>
        <v>41472.64583</v>
      </c>
      <c r="B202" s="1">
        <f>IFERROR(__xludf.DUMMYFUNCTION("""COMPUTED_VALUE"""),3360.0)</f>
        <v>3360</v>
      </c>
      <c r="C202" s="1">
        <f>IFERROR(__xludf.DUMMYFUNCTION("""COMPUTED_VALUE"""),3390.0)</f>
        <v>3390</v>
      </c>
      <c r="D202" s="1">
        <f>IFERROR(__xludf.DUMMYFUNCTION("""COMPUTED_VALUE"""),3255.0)</f>
        <v>3255</v>
      </c>
      <c r="E202" s="1">
        <f>IFERROR(__xludf.DUMMYFUNCTION("""COMPUTED_VALUE"""),3295.0)</f>
        <v>3295</v>
      </c>
      <c r="F202" s="1">
        <f>IFERROR(__xludf.DUMMYFUNCTION("""COMPUTED_VALUE"""),61287.0)</f>
        <v>61287</v>
      </c>
    </row>
    <row r="203">
      <c r="A203" s="2">
        <f>IFERROR(__xludf.DUMMYFUNCTION("""COMPUTED_VALUE"""),41473.645833333336)</f>
        <v>41473.64583</v>
      </c>
      <c r="B203" s="1">
        <f>IFERROR(__xludf.DUMMYFUNCTION("""COMPUTED_VALUE"""),3340.0)</f>
        <v>3340</v>
      </c>
      <c r="C203" s="1">
        <f>IFERROR(__xludf.DUMMYFUNCTION("""COMPUTED_VALUE"""),3340.0)</f>
        <v>3340</v>
      </c>
      <c r="D203" s="1">
        <f>IFERROR(__xludf.DUMMYFUNCTION("""COMPUTED_VALUE"""),3090.0)</f>
        <v>3090</v>
      </c>
      <c r="E203" s="1">
        <f>IFERROR(__xludf.DUMMYFUNCTION("""COMPUTED_VALUE"""),3145.0)</f>
        <v>3145</v>
      </c>
      <c r="F203" s="1">
        <f>IFERROR(__xludf.DUMMYFUNCTION("""COMPUTED_VALUE"""),93941.0)</f>
        <v>93941</v>
      </c>
    </row>
    <row r="204">
      <c r="A204" s="2">
        <f>IFERROR(__xludf.DUMMYFUNCTION("""COMPUTED_VALUE"""),41474.645833333336)</f>
        <v>41474.64583</v>
      </c>
      <c r="B204" s="1">
        <f>IFERROR(__xludf.DUMMYFUNCTION("""COMPUTED_VALUE"""),3140.0)</f>
        <v>3140</v>
      </c>
      <c r="C204" s="1">
        <f>IFERROR(__xludf.DUMMYFUNCTION("""COMPUTED_VALUE"""),3245.0)</f>
        <v>3245</v>
      </c>
      <c r="D204" s="1">
        <f>IFERROR(__xludf.DUMMYFUNCTION("""COMPUTED_VALUE"""),3060.0)</f>
        <v>3060</v>
      </c>
      <c r="E204" s="1">
        <f>IFERROR(__xludf.DUMMYFUNCTION("""COMPUTED_VALUE"""),3170.0)</f>
        <v>3170</v>
      </c>
      <c r="F204" s="1">
        <f>IFERROR(__xludf.DUMMYFUNCTION("""COMPUTED_VALUE"""),25279.0)</f>
        <v>25279</v>
      </c>
    </row>
    <row r="205">
      <c r="A205" s="2">
        <f>IFERROR(__xludf.DUMMYFUNCTION("""COMPUTED_VALUE"""),41477.645833333336)</f>
        <v>41477.64583</v>
      </c>
      <c r="B205" s="1">
        <f>IFERROR(__xludf.DUMMYFUNCTION("""COMPUTED_VALUE"""),3170.0)</f>
        <v>3170</v>
      </c>
      <c r="C205" s="1">
        <f>IFERROR(__xludf.DUMMYFUNCTION("""COMPUTED_VALUE"""),3200.0)</f>
        <v>3200</v>
      </c>
      <c r="D205" s="1">
        <f>IFERROR(__xludf.DUMMYFUNCTION("""COMPUTED_VALUE"""),3105.0)</f>
        <v>3105</v>
      </c>
      <c r="E205" s="1">
        <f>IFERROR(__xludf.DUMMYFUNCTION("""COMPUTED_VALUE"""),3175.0)</f>
        <v>3175</v>
      </c>
      <c r="F205" s="1">
        <f>IFERROR(__xludf.DUMMYFUNCTION("""COMPUTED_VALUE"""),17904.0)</f>
        <v>17904</v>
      </c>
    </row>
    <row r="206">
      <c r="A206" s="2">
        <f>IFERROR(__xludf.DUMMYFUNCTION("""COMPUTED_VALUE"""),41478.645833333336)</f>
        <v>41478.64583</v>
      </c>
      <c r="B206" s="1">
        <f>IFERROR(__xludf.DUMMYFUNCTION("""COMPUTED_VALUE"""),3250.0)</f>
        <v>3250</v>
      </c>
      <c r="C206" s="1">
        <f>IFERROR(__xludf.DUMMYFUNCTION("""COMPUTED_VALUE"""),3310.0)</f>
        <v>3310</v>
      </c>
      <c r="D206" s="1">
        <f>IFERROR(__xludf.DUMMYFUNCTION("""COMPUTED_VALUE"""),3155.0)</f>
        <v>3155</v>
      </c>
      <c r="E206" s="1">
        <f>IFERROR(__xludf.DUMMYFUNCTION("""COMPUTED_VALUE"""),3285.0)</f>
        <v>3285</v>
      </c>
      <c r="F206" s="1">
        <f>IFERROR(__xludf.DUMMYFUNCTION("""COMPUTED_VALUE"""),79901.0)</f>
        <v>79901</v>
      </c>
    </row>
    <row r="207">
      <c r="A207" s="2">
        <f>IFERROR(__xludf.DUMMYFUNCTION("""COMPUTED_VALUE"""),41479.645833333336)</f>
        <v>41479.64583</v>
      </c>
      <c r="B207" s="1">
        <f>IFERROR(__xludf.DUMMYFUNCTION("""COMPUTED_VALUE"""),3300.0)</f>
        <v>3300</v>
      </c>
      <c r="C207" s="1">
        <f>IFERROR(__xludf.DUMMYFUNCTION("""COMPUTED_VALUE"""),3580.0)</f>
        <v>3580</v>
      </c>
      <c r="D207" s="1">
        <f>IFERROR(__xludf.DUMMYFUNCTION("""COMPUTED_VALUE"""),3280.0)</f>
        <v>3280</v>
      </c>
      <c r="E207" s="1">
        <f>IFERROR(__xludf.DUMMYFUNCTION("""COMPUTED_VALUE"""),3490.0)</f>
        <v>3490</v>
      </c>
      <c r="F207" s="1">
        <f>IFERROR(__xludf.DUMMYFUNCTION("""COMPUTED_VALUE"""),110524.0)</f>
        <v>110524</v>
      </c>
    </row>
    <row r="208">
      <c r="A208" s="2">
        <f>IFERROR(__xludf.DUMMYFUNCTION("""COMPUTED_VALUE"""),41480.645833333336)</f>
        <v>41480.64583</v>
      </c>
      <c r="B208" s="1">
        <f>IFERROR(__xludf.DUMMYFUNCTION("""COMPUTED_VALUE"""),3585.0)</f>
        <v>3585</v>
      </c>
      <c r="C208" s="1">
        <f>IFERROR(__xludf.DUMMYFUNCTION("""COMPUTED_VALUE"""),3585.0)</f>
        <v>3585</v>
      </c>
      <c r="D208" s="1">
        <f>IFERROR(__xludf.DUMMYFUNCTION("""COMPUTED_VALUE"""),3450.0)</f>
        <v>3450</v>
      </c>
      <c r="E208" s="1">
        <f>IFERROR(__xludf.DUMMYFUNCTION("""COMPUTED_VALUE"""),3510.0)</f>
        <v>3510</v>
      </c>
      <c r="F208" s="1">
        <f>IFERROR(__xludf.DUMMYFUNCTION("""COMPUTED_VALUE"""),73641.0)</f>
        <v>73641</v>
      </c>
    </row>
    <row r="209">
      <c r="A209" s="2">
        <f>IFERROR(__xludf.DUMMYFUNCTION("""COMPUTED_VALUE"""),41481.645833333336)</f>
        <v>41481.64583</v>
      </c>
      <c r="B209" s="1">
        <f>IFERROR(__xludf.DUMMYFUNCTION("""COMPUTED_VALUE"""),3600.0)</f>
        <v>3600</v>
      </c>
      <c r="C209" s="1">
        <f>IFERROR(__xludf.DUMMYFUNCTION("""COMPUTED_VALUE"""),3635.0)</f>
        <v>3635</v>
      </c>
      <c r="D209" s="1">
        <f>IFERROR(__xludf.DUMMYFUNCTION("""COMPUTED_VALUE"""),3490.0)</f>
        <v>3490</v>
      </c>
      <c r="E209" s="1">
        <f>IFERROR(__xludf.DUMMYFUNCTION("""COMPUTED_VALUE"""),3515.0)</f>
        <v>3515</v>
      </c>
      <c r="F209" s="1">
        <f>IFERROR(__xludf.DUMMYFUNCTION("""COMPUTED_VALUE"""),55412.0)</f>
        <v>55412</v>
      </c>
    </row>
    <row r="210">
      <c r="A210" s="2">
        <f>IFERROR(__xludf.DUMMYFUNCTION("""COMPUTED_VALUE"""),41484.645833333336)</f>
        <v>41484.64583</v>
      </c>
      <c r="B210" s="1">
        <f>IFERROR(__xludf.DUMMYFUNCTION("""COMPUTED_VALUE"""),3630.0)</f>
        <v>3630</v>
      </c>
      <c r="C210" s="1">
        <f>IFERROR(__xludf.DUMMYFUNCTION("""COMPUTED_VALUE"""),3630.0)</f>
        <v>3630</v>
      </c>
      <c r="D210" s="1">
        <f>IFERROR(__xludf.DUMMYFUNCTION("""COMPUTED_VALUE"""),3450.0)</f>
        <v>3450</v>
      </c>
      <c r="E210" s="1">
        <f>IFERROR(__xludf.DUMMYFUNCTION("""COMPUTED_VALUE"""),3505.0)</f>
        <v>3505</v>
      </c>
      <c r="F210" s="1">
        <f>IFERROR(__xludf.DUMMYFUNCTION("""COMPUTED_VALUE"""),16701.0)</f>
        <v>16701</v>
      </c>
    </row>
    <row r="211">
      <c r="A211" s="2">
        <f>IFERROR(__xludf.DUMMYFUNCTION("""COMPUTED_VALUE"""),41485.645833333336)</f>
        <v>41485.64583</v>
      </c>
      <c r="B211" s="1">
        <f>IFERROR(__xludf.DUMMYFUNCTION("""COMPUTED_VALUE"""),3595.0)</f>
        <v>3595</v>
      </c>
      <c r="C211" s="1">
        <f>IFERROR(__xludf.DUMMYFUNCTION("""COMPUTED_VALUE"""),3595.0)</f>
        <v>3595</v>
      </c>
      <c r="D211" s="1">
        <f>IFERROR(__xludf.DUMMYFUNCTION("""COMPUTED_VALUE"""),3445.0)</f>
        <v>3445</v>
      </c>
      <c r="E211" s="1">
        <f>IFERROR(__xludf.DUMMYFUNCTION("""COMPUTED_VALUE"""),3525.0)</f>
        <v>3525</v>
      </c>
      <c r="F211" s="1">
        <f>IFERROR(__xludf.DUMMYFUNCTION("""COMPUTED_VALUE"""),35861.0)</f>
        <v>35861</v>
      </c>
    </row>
    <row r="212">
      <c r="A212" s="2">
        <f>IFERROR(__xludf.DUMMYFUNCTION("""COMPUTED_VALUE"""),41486.645833333336)</f>
        <v>41486.64583</v>
      </c>
      <c r="B212" s="1">
        <f>IFERROR(__xludf.DUMMYFUNCTION("""COMPUTED_VALUE"""),3555.0)</f>
        <v>3555</v>
      </c>
      <c r="C212" s="1">
        <f>IFERROR(__xludf.DUMMYFUNCTION("""COMPUTED_VALUE"""),3555.0)</f>
        <v>3555</v>
      </c>
      <c r="D212" s="1">
        <f>IFERROR(__xludf.DUMMYFUNCTION("""COMPUTED_VALUE"""),3450.0)</f>
        <v>3450</v>
      </c>
      <c r="E212" s="1">
        <f>IFERROR(__xludf.DUMMYFUNCTION("""COMPUTED_VALUE"""),3555.0)</f>
        <v>3555</v>
      </c>
      <c r="F212" s="1">
        <f>IFERROR(__xludf.DUMMYFUNCTION("""COMPUTED_VALUE"""),52703.0)</f>
        <v>52703</v>
      </c>
    </row>
    <row r="213">
      <c r="A213" s="2">
        <f>IFERROR(__xludf.DUMMYFUNCTION("""COMPUTED_VALUE"""),41487.645833333336)</f>
        <v>41487.64583</v>
      </c>
      <c r="B213" s="1">
        <f>IFERROR(__xludf.DUMMYFUNCTION("""COMPUTED_VALUE"""),3590.0)</f>
        <v>3590</v>
      </c>
      <c r="C213" s="1">
        <f>IFERROR(__xludf.DUMMYFUNCTION("""COMPUTED_VALUE"""),3680.0)</f>
        <v>3680</v>
      </c>
      <c r="D213" s="1">
        <f>IFERROR(__xludf.DUMMYFUNCTION("""COMPUTED_VALUE"""),3500.0)</f>
        <v>3500</v>
      </c>
      <c r="E213" s="1">
        <f>IFERROR(__xludf.DUMMYFUNCTION("""COMPUTED_VALUE"""),3645.0)</f>
        <v>3645</v>
      </c>
      <c r="F213" s="1">
        <f>IFERROR(__xludf.DUMMYFUNCTION("""COMPUTED_VALUE"""),40284.0)</f>
        <v>40284</v>
      </c>
    </row>
    <row r="214">
      <c r="A214" s="2">
        <f>IFERROR(__xludf.DUMMYFUNCTION("""COMPUTED_VALUE"""),41488.645833333336)</f>
        <v>41488.64583</v>
      </c>
      <c r="B214" s="1">
        <f>IFERROR(__xludf.DUMMYFUNCTION("""COMPUTED_VALUE"""),3630.0)</f>
        <v>3630</v>
      </c>
      <c r="C214" s="1">
        <f>IFERROR(__xludf.DUMMYFUNCTION("""COMPUTED_VALUE"""),3865.0)</f>
        <v>3865</v>
      </c>
      <c r="D214" s="1">
        <f>IFERROR(__xludf.DUMMYFUNCTION("""COMPUTED_VALUE"""),3625.0)</f>
        <v>3625</v>
      </c>
      <c r="E214" s="1">
        <f>IFERROR(__xludf.DUMMYFUNCTION("""COMPUTED_VALUE"""),3820.0)</f>
        <v>3820</v>
      </c>
      <c r="F214" s="1">
        <f>IFERROR(__xludf.DUMMYFUNCTION("""COMPUTED_VALUE"""),37571.0)</f>
        <v>37571</v>
      </c>
    </row>
    <row r="215">
      <c r="A215" s="2">
        <f>IFERROR(__xludf.DUMMYFUNCTION("""COMPUTED_VALUE"""),41491.645833333336)</f>
        <v>41491.64583</v>
      </c>
      <c r="B215" s="1">
        <f>IFERROR(__xludf.DUMMYFUNCTION("""COMPUTED_VALUE"""),4200.0)</f>
        <v>4200</v>
      </c>
      <c r="C215" s="1">
        <f>IFERROR(__xludf.DUMMYFUNCTION("""COMPUTED_VALUE"""),4200.0)</f>
        <v>4200</v>
      </c>
      <c r="D215" s="1">
        <f>IFERROR(__xludf.DUMMYFUNCTION("""COMPUTED_VALUE"""),3860.0)</f>
        <v>3860</v>
      </c>
      <c r="E215" s="1">
        <f>IFERROR(__xludf.DUMMYFUNCTION("""COMPUTED_VALUE"""),4020.0)</f>
        <v>4020</v>
      </c>
      <c r="F215" s="1">
        <f>IFERROR(__xludf.DUMMYFUNCTION("""COMPUTED_VALUE"""),87428.0)</f>
        <v>87428</v>
      </c>
    </row>
    <row r="216">
      <c r="A216" s="2">
        <f>IFERROR(__xludf.DUMMYFUNCTION("""COMPUTED_VALUE"""),41492.645833333336)</f>
        <v>41492.64583</v>
      </c>
      <c r="B216" s="1">
        <f>IFERROR(__xludf.DUMMYFUNCTION("""COMPUTED_VALUE"""),3995.0)</f>
        <v>3995</v>
      </c>
      <c r="C216" s="1">
        <f>IFERROR(__xludf.DUMMYFUNCTION("""COMPUTED_VALUE"""),4125.0)</f>
        <v>4125</v>
      </c>
      <c r="D216" s="1">
        <f>IFERROR(__xludf.DUMMYFUNCTION("""COMPUTED_VALUE"""),3960.0)</f>
        <v>3960</v>
      </c>
      <c r="E216" s="1">
        <f>IFERROR(__xludf.DUMMYFUNCTION("""COMPUTED_VALUE"""),4020.0)</f>
        <v>4020</v>
      </c>
      <c r="F216" s="1">
        <f>IFERROR(__xludf.DUMMYFUNCTION("""COMPUTED_VALUE"""),42112.0)</f>
        <v>42112</v>
      </c>
    </row>
    <row r="217">
      <c r="A217" s="2">
        <f>IFERROR(__xludf.DUMMYFUNCTION("""COMPUTED_VALUE"""),41493.645833333336)</f>
        <v>41493.64583</v>
      </c>
      <c r="B217" s="1">
        <f>IFERROR(__xludf.DUMMYFUNCTION("""COMPUTED_VALUE"""),4020.0)</f>
        <v>4020</v>
      </c>
      <c r="C217" s="1">
        <f>IFERROR(__xludf.DUMMYFUNCTION("""COMPUTED_VALUE"""),4055.0)</f>
        <v>4055</v>
      </c>
      <c r="D217" s="1">
        <f>IFERROR(__xludf.DUMMYFUNCTION("""COMPUTED_VALUE"""),3885.0)</f>
        <v>3885</v>
      </c>
      <c r="E217" s="1">
        <f>IFERROR(__xludf.DUMMYFUNCTION("""COMPUTED_VALUE"""),3940.0)</f>
        <v>3940</v>
      </c>
      <c r="F217" s="1">
        <f>IFERROR(__xludf.DUMMYFUNCTION("""COMPUTED_VALUE"""),42584.0)</f>
        <v>42584</v>
      </c>
    </row>
    <row r="218">
      <c r="A218" s="2">
        <f>IFERROR(__xludf.DUMMYFUNCTION("""COMPUTED_VALUE"""),41494.645833333336)</f>
        <v>41494.64583</v>
      </c>
      <c r="B218" s="1">
        <f>IFERROR(__xludf.DUMMYFUNCTION("""COMPUTED_VALUE"""),3950.0)</f>
        <v>3950</v>
      </c>
      <c r="C218" s="1">
        <f>IFERROR(__xludf.DUMMYFUNCTION("""COMPUTED_VALUE"""),3950.0)</f>
        <v>3950</v>
      </c>
      <c r="D218" s="1">
        <f>IFERROR(__xludf.DUMMYFUNCTION("""COMPUTED_VALUE"""),3800.0)</f>
        <v>3800</v>
      </c>
      <c r="E218" s="1">
        <f>IFERROR(__xludf.DUMMYFUNCTION("""COMPUTED_VALUE"""),3935.0)</f>
        <v>3935</v>
      </c>
      <c r="F218" s="1">
        <f>IFERROR(__xludf.DUMMYFUNCTION("""COMPUTED_VALUE"""),21228.0)</f>
        <v>21228</v>
      </c>
    </row>
    <row r="219">
      <c r="A219" s="2">
        <f>IFERROR(__xludf.DUMMYFUNCTION("""COMPUTED_VALUE"""),41495.645833333336)</f>
        <v>41495.64583</v>
      </c>
      <c r="B219" s="1">
        <f>IFERROR(__xludf.DUMMYFUNCTION("""COMPUTED_VALUE"""),3975.0)</f>
        <v>3975</v>
      </c>
      <c r="C219" s="1">
        <f>IFERROR(__xludf.DUMMYFUNCTION("""COMPUTED_VALUE"""),4000.0)</f>
        <v>4000</v>
      </c>
      <c r="D219" s="1">
        <f>IFERROR(__xludf.DUMMYFUNCTION("""COMPUTED_VALUE"""),3780.0)</f>
        <v>3780</v>
      </c>
      <c r="E219" s="1">
        <f>IFERROR(__xludf.DUMMYFUNCTION("""COMPUTED_VALUE"""),3940.0)</f>
        <v>3940</v>
      </c>
      <c r="F219" s="1">
        <f>IFERROR(__xludf.DUMMYFUNCTION("""COMPUTED_VALUE"""),60248.0)</f>
        <v>60248</v>
      </c>
    </row>
    <row r="220">
      <c r="A220" s="2">
        <f>IFERROR(__xludf.DUMMYFUNCTION("""COMPUTED_VALUE"""),41498.645833333336)</f>
        <v>41498.64583</v>
      </c>
      <c r="B220" s="1">
        <f>IFERROR(__xludf.DUMMYFUNCTION("""COMPUTED_VALUE"""),3925.0)</f>
        <v>3925</v>
      </c>
      <c r="C220" s="1">
        <f>IFERROR(__xludf.DUMMYFUNCTION("""COMPUTED_VALUE"""),3930.0)</f>
        <v>3930</v>
      </c>
      <c r="D220" s="1">
        <f>IFERROR(__xludf.DUMMYFUNCTION("""COMPUTED_VALUE"""),3795.0)</f>
        <v>3795</v>
      </c>
      <c r="E220" s="1">
        <f>IFERROR(__xludf.DUMMYFUNCTION("""COMPUTED_VALUE"""),3830.0)</f>
        <v>3830</v>
      </c>
      <c r="F220" s="1">
        <f>IFERROR(__xludf.DUMMYFUNCTION("""COMPUTED_VALUE"""),26482.0)</f>
        <v>26482</v>
      </c>
    </row>
    <row r="221">
      <c r="A221" s="2">
        <f>IFERROR(__xludf.DUMMYFUNCTION("""COMPUTED_VALUE"""),41499.645833333336)</f>
        <v>41499.64583</v>
      </c>
      <c r="B221" s="1">
        <f>IFERROR(__xludf.DUMMYFUNCTION("""COMPUTED_VALUE"""),3860.0)</f>
        <v>3860</v>
      </c>
      <c r="C221" s="1">
        <f>IFERROR(__xludf.DUMMYFUNCTION("""COMPUTED_VALUE"""),3860.0)</f>
        <v>3860</v>
      </c>
      <c r="D221" s="1">
        <f>IFERROR(__xludf.DUMMYFUNCTION("""COMPUTED_VALUE"""),3700.0)</f>
        <v>3700</v>
      </c>
      <c r="E221" s="1">
        <f>IFERROR(__xludf.DUMMYFUNCTION("""COMPUTED_VALUE"""),3790.0)</f>
        <v>3790</v>
      </c>
      <c r="F221" s="1">
        <f>IFERROR(__xludf.DUMMYFUNCTION("""COMPUTED_VALUE"""),26943.0)</f>
        <v>26943</v>
      </c>
    </row>
    <row r="222">
      <c r="A222" s="2">
        <f>IFERROR(__xludf.DUMMYFUNCTION("""COMPUTED_VALUE"""),41500.645833333336)</f>
        <v>41500.64583</v>
      </c>
      <c r="B222" s="1">
        <f>IFERROR(__xludf.DUMMYFUNCTION("""COMPUTED_VALUE"""),3860.0)</f>
        <v>3860</v>
      </c>
      <c r="C222" s="1">
        <f>IFERROR(__xludf.DUMMYFUNCTION("""COMPUTED_VALUE"""),3860.0)</f>
        <v>3860</v>
      </c>
      <c r="D222" s="1">
        <f>IFERROR(__xludf.DUMMYFUNCTION("""COMPUTED_VALUE"""),3665.0)</f>
        <v>3665</v>
      </c>
      <c r="E222" s="1">
        <f>IFERROR(__xludf.DUMMYFUNCTION("""COMPUTED_VALUE"""),3785.0)</f>
        <v>3785</v>
      </c>
      <c r="F222" s="1">
        <f>IFERROR(__xludf.DUMMYFUNCTION("""COMPUTED_VALUE"""),26518.0)</f>
        <v>26518</v>
      </c>
    </row>
    <row r="223">
      <c r="A223" s="2">
        <f>IFERROR(__xludf.DUMMYFUNCTION("""COMPUTED_VALUE"""),41502.645833333336)</f>
        <v>41502.64583</v>
      </c>
      <c r="B223" s="1">
        <f>IFERROR(__xludf.DUMMYFUNCTION("""COMPUTED_VALUE"""),3735.0)</f>
        <v>3735</v>
      </c>
      <c r="C223" s="1">
        <f>IFERROR(__xludf.DUMMYFUNCTION("""COMPUTED_VALUE"""),3815.0)</f>
        <v>3815</v>
      </c>
      <c r="D223" s="1">
        <f>IFERROR(__xludf.DUMMYFUNCTION("""COMPUTED_VALUE"""),3735.0)</f>
        <v>3735</v>
      </c>
      <c r="E223" s="1">
        <f>IFERROR(__xludf.DUMMYFUNCTION("""COMPUTED_VALUE"""),3785.0)</f>
        <v>3785</v>
      </c>
      <c r="F223" s="1">
        <f>IFERROR(__xludf.DUMMYFUNCTION("""COMPUTED_VALUE"""),9749.0)</f>
        <v>9749</v>
      </c>
    </row>
    <row r="224">
      <c r="A224" s="2">
        <f>IFERROR(__xludf.DUMMYFUNCTION("""COMPUTED_VALUE"""),41505.645833333336)</f>
        <v>41505.64583</v>
      </c>
      <c r="B224" s="1">
        <f>IFERROR(__xludf.DUMMYFUNCTION("""COMPUTED_VALUE"""),3790.0)</f>
        <v>3790</v>
      </c>
      <c r="C224" s="1">
        <f>IFERROR(__xludf.DUMMYFUNCTION("""COMPUTED_VALUE"""),3860.0)</f>
        <v>3860</v>
      </c>
      <c r="D224" s="1">
        <f>IFERROR(__xludf.DUMMYFUNCTION("""COMPUTED_VALUE"""),3705.0)</f>
        <v>3705</v>
      </c>
      <c r="E224" s="1">
        <f>IFERROR(__xludf.DUMMYFUNCTION("""COMPUTED_VALUE"""),3755.0)</f>
        <v>3755</v>
      </c>
      <c r="F224" s="1">
        <f>IFERROR(__xludf.DUMMYFUNCTION("""COMPUTED_VALUE"""),10100.0)</f>
        <v>10100</v>
      </c>
    </row>
    <row r="225">
      <c r="A225" s="2">
        <f>IFERROR(__xludf.DUMMYFUNCTION("""COMPUTED_VALUE"""),41506.645833333336)</f>
        <v>41506.64583</v>
      </c>
      <c r="B225" s="1">
        <f>IFERROR(__xludf.DUMMYFUNCTION("""COMPUTED_VALUE"""),3720.0)</f>
        <v>3720</v>
      </c>
      <c r="C225" s="1">
        <f>IFERROR(__xludf.DUMMYFUNCTION("""COMPUTED_VALUE"""),3815.0)</f>
        <v>3815</v>
      </c>
      <c r="D225" s="1">
        <f>IFERROR(__xludf.DUMMYFUNCTION("""COMPUTED_VALUE"""),3665.0)</f>
        <v>3665</v>
      </c>
      <c r="E225" s="1">
        <f>IFERROR(__xludf.DUMMYFUNCTION("""COMPUTED_VALUE"""),3755.0)</f>
        <v>3755</v>
      </c>
      <c r="F225" s="1">
        <f>IFERROR(__xludf.DUMMYFUNCTION("""COMPUTED_VALUE"""),32279.0)</f>
        <v>32279</v>
      </c>
    </row>
    <row r="226">
      <c r="A226" s="2">
        <f>IFERROR(__xludf.DUMMYFUNCTION("""COMPUTED_VALUE"""),41507.645833333336)</f>
        <v>41507.64583</v>
      </c>
      <c r="B226" s="1">
        <f>IFERROR(__xludf.DUMMYFUNCTION("""COMPUTED_VALUE"""),3800.0)</f>
        <v>3800</v>
      </c>
      <c r="C226" s="1">
        <f>IFERROR(__xludf.DUMMYFUNCTION("""COMPUTED_VALUE"""),3800.0)</f>
        <v>3800</v>
      </c>
      <c r="D226" s="1">
        <f>IFERROR(__xludf.DUMMYFUNCTION("""COMPUTED_VALUE"""),3645.0)</f>
        <v>3645</v>
      </c>
      <c r="E226" s="1">
        <f>IFERROR(__xludf.DUMMYFUNCTION("""COMPUTED_VALUE"""),3755.0)</f>
        <v>3755</v>
      </c>
      <c r="F226" s="1">
        <f>IFERROR(__xludf.DUMMYFUNCTION("""COMPUTED_VALUE"""),23310.0)</f>
        <v>23310</v>
      </c>
    </row>
    <row r="227">
      <c r="A227" s="2">
        <f>IFERROR(__xludf.DUMMYFUNCTION("""COMPUTED_VALUE"""),41508.645833333336)</f>
        <v>41508.64583</v>
      </c>
      <c r="B227" s="1">
        <f>IFERROR(__xludf.DUMMYFUNCTION("""COMPUTED_VALUE"""),3630.0)</f>
        <v>3630</v>
      </c>
      <c r="C227" s="1">
        <f>IFERROR(__xludf.DUMMYFUNCTION("""COMPUTED_VALUE"""),3700.0)</f>
        <v>3700</v>
      </c>
      <c r="D227" s="1">
        <f>IFERROR(__xludf.DUMMYFUNCTION("""COMPUTED_VALUE"""),3590.0)</f>
        <v>3590</v>
      </c>
      <c r="E227" s="1">
        <f>IFERROR(__xludf.DUMMYFUNCTION("""COMPUTED_VALUE"""),3685.0)</f>
        <v>3685</v>
      </c>
      <c r="F227" s="1">
        <f>IFERROR(__xludf.DUMMYFUNCTION("""COMPUTED_VALUE"""),28042.0)</f>
        <v>28042</v>
      </c>
    </row>
    <row r="228">
      <c r="A228" s="2">
        <f>IFERROR(__xludf.DUMMYFUNCTION("""COMPUTED_VALUE"""),41509.645833333336)</f>
        <v>41509.64583</v>
      </c>
      <c r="B228" s="1">
        <f>IFERROR(__xludf.DUMMYFUNCTION("""COMPUTED_VALUE"""),3700.0)</f>
        <v>3700</v>
      </c>
      <c r="C228" s="1">
        <f>IFERROR(__xludf.DUMMYFUNCTION("""COMPUTED_VALUE"""),3750.0)</f>
        <v>3750</v>
      </c>
      <c r="D228" s="1">
        <f>IFERROR(__xludf.DUMMYFUNCTION("""COMPUTED_VALUE"""),3630.0)</f>
        <v>3630</v>
      </c>
      <c r="E228" s="1">
        <f>IFERROR(__xludf.DUMMYFUNCTION("""COMPUTED_VALUE"""),3690.0)</f>
        <v>3690</v>
      </c>
      <c r="F228" s="1">
        <f>IFERROR(__xludf.DUMMYFUNCTION("""COMPUTED_VALUE"""),33223.0)</f>
        <v>33223</v>
      </c>
    </row>
    <row r="229">
      <c r="A229" s="2">
        <f>IFERROR(__xludf.DUMMYFUNCTION("""COMPUTED_VALUE"""),41512.645833333336)</f>
        <v>41512.64583</v>
      </c>
      <c r="B229" s="1">
        <f>IFERROR(__xludf.DUMMYFUNCTION("""COMPUTED_VALUE"""),3750.0)</f>
        <v>3750</v>
      </c>
      <c r="C229" s="1">
        <f>IFERROR(__xludf.DUMMYFUNCTION("""COMPUTED_VALUE"""),3890.0)</f>
        <v>3890</v>
      </c>
      <c r="D229" s="1">
        <f>IFERROR(__xludf.DUMMYFUNCTION("""COMPUTED_VALUE"""),3700.0)</f>
        <v>3700</v>
      </c>
      <c r="E229" s="1">
        <f>IFERROR(__xludf.DUMMYFUNCTION("""COMPUTED_VALUE"""),3790.0)</f>
        <v>3790</v>
      </c>
      <c r="F229" s="1">
        <f>IFERROR(__xludf.DUMMYFUNCTION("""COMPUTED_VALUE"""),42651.0)</f>
        <v>42651</v>
      </c>
    </row>
    <row r="230">
      <c r="A230" s="2">
        <f>IFERROR(__xludf.DUMMYFUNCTION("""COMPUTED_VALUE"""),41513.645833333336)</f>
        <v>41513.64583</v>
      </c>
      <c r="B230" s="1">
        <f>IFERROR(__xludf.DUMMYFUNCTION("""COMPUTED_VALUE"""),3770.0)</f>
        <v>3770</v>
      </c>
      <c r="C230" s="1">
        <f>IFERROR(__xludf.DUMMYFUNCTION("""COMPUTED_VALUE"""),3795.0)</f>
        <v>3795</v>
      </c>
      <c r="D230" s="1">
        <f>IFERROR(__xludf.DUMMYFUNCTION("""COMPUTED_VALUE"""),3690.0)</f>
        <v>3690</v>
      </c>
      <c r="E230" s="1">
        <f>IFERROR(__xludf.DUMMYFUNCTION("""COMPUTED_VALUE"""),3775.0)</f>
        <v>3775</v>
      </c>
      <c r="F230" s="1">
        <f>IFERROR(__xludf.DUMMYFUNCTION("""COMPUTED_VALUE"""),20446.0)</f>
        <v>20446</v>
      </c>
    </row>
    <row r="231">
      <c r="A231" s="2">
        <f>IFERROR(__xludf.DUMMYFUNCTION("""COMPUTED_VALUE"""),41514.645833333336)</f>
        <v>41514.64583</v>
      </c>
      <c r="B231" s="1">
        <f>IFERROR(__xludf.DUMMYFUNCTION("""COMPUTED_VALUE"""),3770.0)</f>
        <v>3770</v>
      </c>
      <c r="C231" s="1">
        <f>IFERROR(__xludf.DUMMYFUNCTION("""COMPUTED_VALUE"""),3770.0)</f>
        <v>3770</v>
      </c>
      <c r="D231" s="1">
        <f>IFERROR(__xludf.DUMMYFUNCTION("""COMPUTED_VALUE"""),3670.0)</f>
        <v>3670</v>
      </c>
      <c r="E231" s="1">
        <f>IFERROR(__xludf.DUMMYFUNCTION("""COMPUTED_VALUE"""),3700.0)</f>
        <v>3700</v>
      </c>
      <c r="F231" s="1">
        <f>IFERROR(__xludf.DUMMYFUNCTION("""COMPUTED_VALUE"""),6801.0)</f>
        <v>6801</v>
      </c>
    </row>
    <row r="232">
      <c r="A232" s="2">
        <f>IFERROR(__xludf.DUMMYFUNCTION("""COMPUTED_VALUE"""),41515.645833333336)</f>
        <v>41515.64583</v>
      </c>
      <c r="B232" s="1">
        <f>IFERROR(__xludf.DUMMYFUNCTION("""COMPUTED_VALUE"""),3700.0)</f>
        <v>3700</v>
      </c>
      <c r="C232" s="1">
        <f>IFERROR(__xludf.DUMMYFUNCTION("""COMPUTED_VALUE"""),3760.0)</f>
        <v>3760</v>
      </c>
      <c r="D232" s="1">
        <f>IFERROR(__xludf.DUMMYFUNCTION("""COMPUTED_VALUE"""),3610.0)</f>
        <v>3610</v>
      </c>
      <c r="E232" s="1">
        <f>IFERROR(__xludf.DUMMYFUNCTION("""COMPUTED_VALUE"""),3690.0)</f>
        <v>3690</v>
      </c>
      <c r="F232" s="1">
        <f>IFERROR(__xludf.DUMMYFUNCTION("""COMPUTED_VALUE"""),7499.0)</f>
        <v>7499</v>
      </c>
    </row>
    <row r="233">
      <c r="A233" s="2">
        <f>IFERROR(__xludf.DUMMYFUNCTION("""COMPUTED_VALUE"""),41516.645833333336)</f>
        <v>41516.64583</v>
      </c>
      <c r="B233" s="1">
        <f>IFERROR(__xludf.DUMMYFUNCTION("""COMPUTED_VALUE"""),3670.0)</f>
        <v>3670</v>
      </c>
      <c r="C233" s="1">
        <f>IFERROR(__xludf.DUMMYFUNCTION("""COMPUTED_VALUE"""),3780.0)</f>
        <v>3780</v>
      </c>
      <c r="D233" s="1">
        <f>IFERROR(__xludf.DUMMYFUNCTION("""COMPUTED_VALUE"""),3620.0)</f>
        <v>3620</v>
      </c>
      <c r="E233" s="1">
        <f>IFERROR(__xludf.DUMMYFUNCTION("""COMPUTED_VALUE"""),3750.0)</f>
        <v>3750</v>
      </c>
      <c r="F233" s="1">
        <f>IFERROR(__xludf.DUMMYFUNCTION("""COMPUTED_VALUE"""),23495.0)</f>
        <v>23495</v>
      </c>
    </row>
    <row r="234">
      <c r="A234" s="2">
        <f>IFERROR(__xludf.DUMMYFUNCTION("""COMPUTED_VALUE"""),41519.645833333336)</f>
        <v>41519.64583</v>
      </c>
      <c r="B234" s="1">
        <f>IFERROR(__xludf.DUMMYFUNCTION("""COMPUTED_VALUE"""),3700.0)</f>
        <v>3700</v>
      </c>
      <c r="C234" s="1">
        <f>IFERROR(__xludf.DUMMYFUNCTION("""COMPUTED_VALUE"""),3790.0)</f>
        <v>3790</v>
      </c>
      <c r="D234" s="1">
        <f>IFERROR(__xludf.DUMMYFUNCTION("""COMPUTED_VALUE"""),3680.0)</f>
        <v>3680</v>
      </c>
      <c r="E234" s="1">
        <f>IFERROR(__xludf.DUMMYFUNCTION("""COMPUTED_VALUE"""),3745.0)</f>
        <v>3745</v>
      </c>
      <c r="F234" s="1">
        <f>IFERROR(__xludf.DUMMYFUNCTION("""COMPUTED_VALUE"""),22271.0)</f>
        <v>22271</v>
      </c>
    </row>
    <row r="235">
      <c r="A235" s="2">
        <f>IFERROR(__xludf.DUMMYFUNCTION("""COMPUTED_VALUE"""),41520.645833333336)</f>
        <v>41520.64583</v>
      </c>
      <c r="B235" s="1">
        <f>IFERROR(__xludf.DUMMYFUNCTION("""COMPUTED_VALUE"""),3745.0)</f>
        <v>3745</v>
      </c>
      <c r="C235" s="1">
        <f>IFERROR(__xludf.DUMMYFUNCTION("""COMPUTED_VALUE"""),3780.0)</f>
        <v>3780</v>
      </c>
      <c r="D235" s="1">
        <f>IFERROR(__xludf.DUMMYFUNCTION("""COMPUTED_VALUE"""),3685.0)</f>
        <v>3685</v>
      </c>
      <c r="E235" s="1">
        <f>IFERROR(__xludf.DUMMYFUNCTION("""COMPUTED_VALUE"""),3765.0)</f>
        <v>3765</v>
      </c>
      <c r="F235" s="1">
        <f>IFERROR(__xludf.DUMMYFUNCTION("""COMPUTED_VALUE"""),8510.0)</f>
        <v>8510</v>
      </c>
    </row>
    <row r="236">
      <c r="A236" s="2">
        <f>IFERROR(__xludf.DUMMYFUNCTION("""COMPUTED_VALUE"""),41521.645833333336)</f>
        <v>41521.64583</v>
      </c>
      <c r="B236" s="1">
        <f>IFERROR(__xludf.DUMMYFUNCTION("""COMPUTED_VALUE"""),3765.0)</f>
        <v>3765</v>
      </c>
      <c r="C236" s="1">
        <f>IFERROR(__xludf.DUMMYFUNCTION("""COMPUTED_VALUE"""),3800.0)</f>
        <v>3800</v>
      </c>
      <c r="D236" s="1">
        <f>IFERROR(__xludf.DUMMYFUNCTION("""COMPUTED_VALUE"""),3685.0)</f>
        <v>3685</v>
      </c>
      <c r="E236" s="1">
        <f>IFERROR(__xludf.DUMMYFUNCTION("""COMPUTED_VALUE"""),3720.0)</f>
        <v>3720</v>
      </c>
      <c r="F236" s="1">
        <f>IFERROR(__xludf.DUMMYFUNCTION("""COMPUTED_VALUE"""),11257.0)</f>
        <v>11257</v>
      </c>
    </row>
    <row r="237">
      <c r="A237" s="2">
        <f>IFERROR(__xludf.DUMMYFUNCTION("""COMPUTED_VALUE"""),41522.645833333336)</f>
        <v>41522.64583</v>
      </c>
      <c r="B237" s="1">
        <f>IFERROR(__xludf.DUMMYFUNCTION("""COMPUTED_VALUE"""),3830.0)</f>
        <v>3830</v>
      </c>
      <c r="C237" s="1">
        <f>IFERROR(__xludf.DUMMYFUNCTION("""COMPUTED_VALUE"""),3830.0)</f>
        <v>3830</v>
      </c>
      <c r="D237" s="1">
        <f>IFERROR(__xludf.DUMMYFUNCTION("""COMPUTED_VALUE"""),3625.0)</f>
        <v>3625</v>
      </c>
      <c r="E237" s="1">
        <f>IFERROR(__xludf.DUMMYFUNCTION("""COMPUTED_VALUE"""),3700.0)</f>
        <v>3700</v>
      </c>
      <c r="F237" s="1">
        <f>IFERROR(__xludf.DUMMYFUNCTION("""COMPUTED_VALUE"""),19383.0)</f>
        <v>19383</v>
      </c>
    </row>
    <row r="238">
      <c r="A238" s="2">
        <f>IFERROR(__xludf.DUMMYFUNCTION("""COMPUTED_VALUE"""),41523.645833333336)</f>
        <v>41523.64583</v>
      </c>
      <c r="B238" s="1">
        <f>IFERROR(__xludf.DUMMYFUNCTION("""COMPUTED_VALUE"""),3780.0)</f>
        <v>3780</v>
      </c>
      <c r="C238" s="1">
        <f>IFERROR(__xludf.DUMMYFUNCTION("""COMPUTED_VALUE"""),3780.0)</f>
        <v>3780</v>
      </c>
      <c r="D238" s="1">
        <f>IFERROR(__xludf.DUMMYFUNCTION("""COMPUTED_VALUE"""),3670.0)</f>
        <v>3670</v>
      </c>
      <c r="E238" s="1">
        <f>IFERROR(__xludf.DUMMYFUNCTION("""COMPUTED_VALUE"""),3730.0)</f>
        <v>3730</v>
      </c>
      <c r="F238" s="1">
        <f>IFERROR(__xludf.DUMMYFUNCTION("""COMPUTED_VALUE"""),23996.0)</f>
        <v>23996</v>
      </c>
    </row>
    <row r="239">
      <c r="A239" s="2">
        <f>IFERROR(__xludf.DUMMYFUNCTION("""COMPUTED_VALUE"""),41526.645833333336)</f>
        <v>41526.64583</v>
      </c>
      <c r="B239" s="1">
        <f>IFERROR(__xludf.DUMMYFUNCTION("""COMPUTED_VALUE"""),3750.0)</f>
        <v>3750</v>
      </c>
      <c r="C239" s="1">
        <f>IFERROR(__xludf.DUMMYFUNCTION("""COMPUTED_VALUE"""),3750.0)</f>
        <v>3750</v>
      </c>
      <c r="D239" s="1">
        <f>IFERROR(__xludf.DUMMYFUNCTION("""COMPUTED_VALUE"""),3675.0)</f>
        <v>3675</v>
      </c>
      <c r="E239" s="1">
        <f>IFERROR(__xludf.DUMMYFUNCTION("""COMPUTED_VALUE"""),3700.0)</f>
        <v>3700</v>
      </c>
      <c r="F239" s="1">
        <f>IFERROR(__xludf.DUMMYFUNCTION("""COMPUTED_VALUE"""),18640.0)</f>
        <v>18640</v>
      </c>
    </row>
    <row r="240">
      <c r="A240" s="2">
        <f>IFERROR(__xludf.DUMMYFUNCTION("""COMPUTED_VALUE"""),41527.645833333336)</f>
        <v>41527.64583</v>
      </c>
      <c r="B240" s="1">
        <f>IFERROR(__xludf.DUMMYFUNCTION("""COMPUTED_VALUE"""),3765.0)</f>
        <v>3765</v>
      </c>
      <c r="C240" s="1">
        <f>IFERROR(__xludf.DUMMYFUNCTION("""COMPUTED_VALUE"""),3765.0)</f>
        <v>3765</v>
      </c>
      <c r="D240" s="1">
        <f>IFERROR(__xludf.DUMMYFUNCTION("""COMPUTED_VALUE"""),3600.0)</f>
        <v>3600</v>
      </c>
      <c r="E240" s="1">
        <f>IFERROR(__xludf.DUMMYFUNCTION("""COMPUTED_VALUE"""),3600.0)</f>
        <v>3600</v>
      </c>
      <c r="F240" s="1">
        <f>IFERROR(__xludf.DUMMYFUNCTION("""COMPUTED_VALUE"""),19141.0)</f>
        <v>19141</v>
      </c>
    </row>
    <row r="241">
      <c r="A241" s="2">
        <f>IFERROR(__xludf.DUMMYFUNCTION("""COMPUTED_VALUE"""),41528.645833333336)</f>
        <v>41528.64583</v>
      </c>
      <c r="B241" s="1">
        <f>IFERROR(__xludf.DUMMYFUNCTION("""COMPUTED_VALUE"""),3690.0)</f>
        <v>3690</v>
      </c>
      <c r="C241" s="1">
        <f>IFERROR(__xludf.DUMMYFUNCTION("""COMPUTED_VALUE"""),3950.0)</f>
        <v>3950</v>
      </c>
      <c r="D241" s="1">
        <f>IFERROR(__xludf.DUMMYFUNCTION("""COMPUTED_VALUE"""),3670.0)</f>
        <v>3670</v>
      </c>
      <c r="E241" s="1">
        <f>IFERROR(__xludf.DUMMYFUNCTION("""COMPUTED_VALUE"""),3795.0)</f>
        <v>3795</v>
      </c>
      <c r="F241" s="1">
        <f>IFERROR(__xludf.DUMMYFUNCTION("""COMPUTED_VALUE"""),36025.0)</f>
        <v>36025</v>
      </c>
    </row>
    <row r="242">
      <c r="A242" s="2">
        <f>IFERROR(__xludf.DUMMYFUNCTION("""COMPUTED_VALUE"""),41529.645833333336)</f>
        <v>41529.64583</v>
      </c>
      <c r="B242" s="1">
        <f>IFERROR(__xludf.DUMMYFUNCTION("""COMPUTED_VALUE"""),3840.0)</f>
        <v>3840</v>
      </c>
      <c r="C242" s="1">
        <f>IFERROR(__xludf.DUMMYFUNCTION("""COMPUTED_VALUE"""),3920.0)</f>
        <v>3920</v>
      </c>
      <c r="D242" s="1">
        <f>IFERROR(__xludf.DUMMYFUNCTION("""COMPUTED_VALUE"""),3730.0)</f>
        <v>3730</v>
      </c>
      <c r="E242" s="1">
        <f>IFERROR(__xludf.DUMMYFUNCTION("""COMPUTED_VALUE"""),3800.0)</f>
        <v>3800</v>
      </c>
      <c r="F242" s="1">
        <f>IFERROR(__xludf.DUMMYFUNCTION("""COMPUTED_VALUE"""),14623.0)</f>
        <v>14623</v>
      </c>
    </row>
    <row r="243">
      <c r="A243" s="2">
        <f>IFERROR(__xludf.DUMMYFUNCTION("""COMPUTED_VALUE"""),41530.645833333336)</f>
        <v>41530.64583</v>
      </c>
      <c r="B243" s="1">
        <f>IFERROR(__xludf.DUMMYFUNCTION("""COMPUTED_VALUE"""),3885.0)</f>
        <v>3885</v>
      </c>
      <c r="C243" s="1">
        <f>IFERROR(__xludf.DUMMYFUNCTION("""COMPUTED_VALUE"""),3885.0)</f>
        <v>3885</v>
      </c>
      <c r="D243" s="1">
        <f>IFERROR(__xludf.DUMMYFUNCTION("""COMPUTED_VALUE"""),3750.0)</f>
        <v>3750</v>
      </c>
      <c r="E243" s="1">
        <f>IFERROR(__xludf.DUMMYFUNCTION("""COMPUTED_VALUE"""),3800.0)</f>
        <v>3800</v>
      </c>
      <c r="F243" s="1">
        <f>IFERROR(__xludf.DUMMYFUNCTION("""COMPUTED_VALUE"""),15534.0)</f>
        <v>15534</v>
      </c>
    </row>
    <row r="244">
      <c r="A244" s="2">
        <f>IFERROR(__xludf.DUMMYFUNCTION("""COMPUTED_VALUE"""),41533.645833333336)</f>
        <v>41533.64583</v>
      </c>
      <c r="B244" s="1">
        <f>IFERROR(__xludf.DUMMYFUNCTION("""COMPUTED_VALUE"""),3800.0)</f>
        <v>3800</v>
      </c>
      <c r="C244" s="1">
        <f>IFERROR(__xludf.DUMMYFUNCTION("""COMPUTED_VALUE"""),3830.0)</f>
        <v>3830</v>
      </c>
      <c r="D244" s="1">
        <f>IFERROR(__xludf.DUMMYFUNCTION("""COMPUTED_VALUE"""),3695.0)</f>
        <v>3695</v>
      </c>
      <c r="E244" s="1">
        <f>IFERROR(__xludf.DUMMYFUNCTION("""COMPUTED_VALUE"""),3695.0)</f>
        <v>3695</v>
      </c>
      <c r="F244" s="1">
        <f>IFERROR(__xludf.DUMMYFUNCTION("""COMPUTED_VALUE"""),26182.0)</f>
        <v>26182</v>
      </c>
    </row>
    <row r="245">
      <c r="A245" s="2">
        <f>IFERROR(__xludf.DUMMYFUNCTION("""COMPUTED_VALUE"""),41534.645833333336)</f>
        <v>41534.64583</v>
      </c>
      <c r="B245" s="1">
        <f>IFERROR(__xludf.DUMMYFUNCTION("""COMPUTED_VALUE"""),3850.0)</f>
        <v>3850</v>
      </c>
      <c r="C245" s="1">
        <f>IFERROR(__xludf.DUMMYFUNCTION("""COMPUTED_VALUE"""),3850.0)</f>
        <v>3850</v>
      </c>
      <c r="D245" s="1">
        <f>IFERROR(__xludf.DUMMYFUNCTION("""COMPUTED_VALUE"""),3700.0)</f>
        <v>3700</v>
      </c>
      <c r="E245" s="1">
        <f>IFERROR(__xludf.DUMMYFUNCTION("""COMPUTED_VALUE"""),3765.0)</f>
        <v>3765</v>
      </c>
      <c r="F245" s="1">
        <f>IFERROR(__xludf.DUMMYFUNCTION("""COMPUTED_VALUE"""),7697.0)</f>
        <v>7697</v>
      </c>
    </row>
    <row r="246">
      <c r="A246" s="2">
        <f>IFERROR(__xludf.DUMMYFUNCTION("""COMPUTED_VALUE"""),41540.645833333336)</f>
        <v>41540.64583</v>
      </c>
      <c r="B246" s="1">
        <f>IFERROR(__xludf.DUMMYFUNCTION("""COMPUTED_VALUE"""),3850.0)</f>
        <v>3850</v>
      </c>
      <c r="C246" s="1">
        <f>IFERROR(__xludf.DUMMYFUNCTION("""COMPUTED_VALUE"""),3850.0)</f>
        <v>3850</v>
      </c>
      <c r="D246" s="1">
        <f>IFERROR(__xludf.DUMMYFUNCTION("""COMPUTED_VALUE"""),3760.0)</f>
        <v>3760</v>
      </c>
      <c r="E246" s="1">
        <f>IFERROR(__xludf.DUMMYFUNCTION("""COMPUTED_VALUE"""),3780.0)</f>
        <v>3780</v>
      </c>
      <c r="F246" s="1">
        <f>IFERROR(__xludf.DUMMYFUNCTION("""COMPUTED_VALUE"""),5132.0)</f>
        <v>5132</v>
      </c>
    </row>
    <row r="247">
      <c r="A247" s="2">
        <f>IFERROR(__xludf.DUMMYFUNCTION("""COMPUTED_VALUE"""),41541.645833333336)</f>
        <v>41541.64583</v>
      </c>
      <c r="B247" s="1">
        <f>IFERROR(__xludf.DUMMYFUNCTION("""COMPUTED_VALUE"""),3795.0)</f>
        <v>3795</v>
      </c>
      <c r="C247" s="1">
        <f>IFERROR(__xludf.DUMMYFUNCTION("""COMPUTED_VALUE"""),3795.0)</f>
        <v>3795</v>
      </c>
      <c r="D247" s="1">
        <f>IFERROR(__xludf.DUMMYFUNCTION("""COMPUTED_VALUE"""),3740.0)</f>
        <v>3740</v>
      </c>
      <c r="E247" s="1">
        <f>IFERROR(__xludf.DUMMYFUNCTION("""COMPUTED_VALUE"""),3750.0)</f>
        <v>3750</v>
      </c>
      <c r="F247" s="1">
        <f>IFERROR(__xludf.DUMMYFUNCTION("""COMPUTED_VALUE"""),6100.0)</f>
        <v>6100</v>
      </c>
    </row>
    <row r="248">
      <c r="A248" s="2">
        <f>IFERROR(__xludf.DUMMYFUNCTION("""COMPUTED_VALUE"""),41542.645833333336)</f>
        <v>41542.64583</v>
      </c>
      <c r="B248" s="1">
        <f>IFERROR(__xludf.DUMMYFUNCTION("""COMPUTED_VALUE"""),3610.0)</f>
        <v>3610</v>
      </c>
      <c r="C248" s="1">
        <f>IFERROR(__xludf.DUMMYFUNCTION("""COMPUTED_VALUE"""),3650.0)</f>
        <v>3650</v>
      </c>
      <c r="D248" s="1">
        <f>IFERROR(__xludf.DUMMYFUNCTION("""COMPUTED_VALUE"""),3315.0)</f>
        <v>3315</v>
      </c>
      <c r="E248" s="1">
        <f>IFERROR(__xludf.DUMMYFUNCTION("""COMPUTED_VALUE"""),3540.0)</f>
        <v>3540</v>
      </c>
      <c r="F248" s="1">
        <f>IFERROR(__xludf.DUMMYFUNCTION("""COMPUTED_VALUE"""),133127.0)</f>
        <v>133127</v>
      </c>
    </row>
    <row r="249">
      <c r="A249" s="2">
        <f>IFERROR(__xludf.DUMMYFUNCTION("""COMPUTED_VALUE"""),41543.645833333336)</f>
        <v>41543.64583</v>
      </c>
      <c r="B249" s="1">
        <f>IFERROR(__xludf.DUMMYFUNCTION("""COMPUTED_VALUE"""),3470.0)</f>
        <v>3470</v>
      </c>
      <c r="C249" s="1">
        <f>IFERROR(__xludf.DUMMYFUNCTION("""COMPUTED_VALUE"""),3480.0)</f>
        <v>3480</v>
      </c>
      <c r="D249" s="1">
        <f>IFERROR(__xludf.DUMMYFUNCTION("""COMPUTED_VALUE"""),3360.0)</f>
        <v>3360</v>
      </c>
      <c r="E249" s="1">
        <f>IFERROR(__xludf.DUMMYFUNCTION("""COMPUTED_VALUE"""),3480.0)</f>
        <v>3480</v>
      </c>
      <c r="F249" s="1">
        <f>IFERROR(__xludf.DUMMYFUNCTION("""COMPUTED_VALUE"""),21437.0)</f>
        <v>21437</v>
      </c>
    </row>
    <row r="250">
      <c r="A250" s="2">
        <f>IFERROR(__xludf.DUMMYFUNCTION("""COMPUTED_VALUE"""),41544.645833333336)</f>
        <v>41544.64583</v>
      </c>
      <c r="B250" s="1">
        <f>IFERROR(__xludf.DUMMYFUNCTION("""COMPUTED_VALUE"""),3480.0)</f>
        <v>3480</v>
      </c>
      <c r="C250" s="1">
        <f>IFERROR(__xludf.DUMMYFUNCTION("""COMPUTED_VALUE"""),3580.0)</f>
        <v>3580</v>
      </c>
      <c r="D250" s="1">
        <f>IFERROR(__xludf.DUMMYFUNCTION("""COMPUTED_VALUE"""),3460.0)</f>
        <v>3460</v>
      </c>
      <c r="E250" s="1">
        <f>IFERROR(__xludf.DUMMYFUNCTION("""COMPUTED_VALUE"""),3495.0)</f>
        <v>3495</v>
      </c>
      <c r="F250" s="1">
        <f>IFERROR(__xludf.DUMMYFUNCTION("""COMPUTED_VALUE"""),15476.0)</f>
        <v>15476</v>
      </c>
    </row>
    <row r="251">
      <c r="A251" s="2">
        <f>IFERROR(__xludf.DUMMYFUNCTION("""COMPUTED_VALUE"""),41547.645833333336)</f>
        <v>41547.64583</v>
      </c>
      <c r="B251" s="1">
        <f>IFERROR(__xludf.DUMMYFUNCTION("""COMPUTED_VALUE"""),3600.0)</f>
        <v>3600</v>
      </c>
      <c r="C251" s="1">
        <f>IFERROR(__xludf.DUMMYFUNCTION("""COMPUTED_VALUE"""),3600.0)</f>
        <v>3600</v>
      </c>
      <c r="D251" s="1">
        <f>IFERROR(__xludf.DUMMYFUNCTION("""COMPUTED_VALUE"""),3315.0)</f>
        <v>3315</v>
      </c>
      <c r="E251" s="1">
        <f>IFERROR(__xludf.DUMMYFUNCTION("""COMPUTED_VALUE"""),3355.0)</f>
        <v>3355</v>
      </c>
      <c r="F251" s="1">
        <f>IFERROR(__xludf.DUMMYFUNCTION("""COMPUTED_VALUE"""),17342.0)</f>
        <v>17342</v>
      </c>
    </row>
    <row r="252">
      <c r="A252" s="2">
        <f>IFERROR(__xludf.DUMMYFUNCTION("""COMPUTED_VALUE"""),41548.645833333336)</f>
        <v>41548.64583</v>
      </c>
      <c r="B252" s="1">
        <f>IFERROR(__xludf.DUMMYFUNCTION("""COMPUTED_VALUE"""),3355.0)</f>
        <v>3355</v>
      </c>
      <c r="C252" s="1">
        <f>IFERROR(__xludf.DUMMYFUNCTION("""COMPUTED_VALUE"""),3435.0)</f>
        <v>3435</v>
      </c>
      <c r="D252" s="1">
        <f>IFERROR(__xludf.DUMMYFUNCTION("""COMPUTED_VALUE"""),3155.0)</f>
        <v>3155</v>
      </c>
      <c r="E252" s="1">
        <f>IFERROR(__xludf.DUMMYFUNCTION("""COMPUTED_VALUE"""),3300.0)</f>
        <v>3300</v>
      </c>
      <c r="F252" s="1">
        <f>IFERROR(__xludf.DUMMYFUNCTION("""COMPUTED_VALUE"""),38984.0)</f>
        <v>38984</v>
      </c>
    </row>
    <row r="253">
      <c r="A253" s="2">
        <f>IFERROR(__xludf.DUMMYFUNCTION("""COMPUTED_VALUE"""),41549.645833333336)</f>
        <v>41549.64583</v>
      </c>
      <c r="B253" s="1">
        <f>IFERROR(__xludf.DUMMYFUNCTION("""COMPUTED_VALUE"""),3300.0)</f>
        <v>3300</v>
      </c>
      <c r="C253" s="1">
        <f>IFERROR(__xludf.DUMMYFUNCTION("""COMPUTED_VALUE"""),3300.0)</f>
        <v>3300</v>
      </c>
      <c r="D253" s="1">
        <f>IFERROR(__xludf.DUMMYFUNCTION("""COMPUTED_VALUE"""),3100.0)</f>
        <v>3100</v>
      </c>
      <c r="E253" s="1">
        <f>IFERROR(__xludf.DUMMYFUNCTION("""COMPUTED_VALUE"""),3120.0)</f>
        <v>3120</v>
      </c>
      <c r="F253" s="1">
        <f>IFERROR(__xludf.DUMMYFUNCTION("""COMPUTED_VALUE"""),17542.0)</f>
        <v>17542</v>
      </c>
    </row>
    <row r="254">
      <c r="A254" s="2">
        <f>IFERROR(__xludf.DUMMYFUNCTION("""COMPUTED_VALUE"""),41551.645833333336)</f>
        <v>41551.64583</v>
      </c>
      <c r="B254" s="1">
        <f>IFERROR(__xludf.DUMMYFUNCTION("""COMPUTED_VALUE"""),3120.0)</f>
        <v>3120</v>
      </c>
      <c r="C254" s="1">
        <f>IFERROR(__xludf.DUMMYFUNCTION("""COMPUTED_VALUE"""),3190.0)</f>
        <v>3190</v>
      </c>
      <c r="D254" s="1">
        <f>IFERROR(__xludf.DUMMYFUNCTION("""COMPUTED_VALUE"""),3090.0)</f>
        <v>3090</v>
      </c>
      <c r="E254" s="1">
        <f>IFERROR(__xludf.DUMMYFUNCTION("""COMPUTED_VALUE"""),3135.0)</f>
        <v>3135</v>
      </c>
      <c r="F254" s="1">
        <f>IFERROR(__xludf.DUMMYFUNCTION("""COMPUTED_VALUE"""),36907.0)</f>
        <v>36907</v>
      </c>
    </row>
    <row r="255">
      <c r="A255" s="2">
        <f>IFERROR(__xludf.DUMMYFUNCTION("""COMPUTED_VALUE"""),41554.645833333336)</f>
        <v>41554.64583</v>
      </c>
      <c r="B255" s="1">
        <f>IFERROR(__xludf.DUMMYFUNCTION("""COMPUTED_VALUE"""),3150.0)</f>
        <v>3150</v>
      </c>
      <c r="C255" s="1">
        <f>IFERROR(__xludf.DUMMYFUNCTION("""COMPUTED_VALUE"""),3150.0)</f>
        <v>3150</v>
      </c>
      <c r="D255" s="1">
        <f>IFERROR(__xludf.DUMMYFUNCTION("""COMPUTED_VALUE"""),3030.0)</f>
        <v>3030</v>
      </c>
      <c r="E255" s="1">
        <f>IFERROR(__xludf.DUMMYFUNCTION("""COMPUTED_VALUE"""),3060.0)</f>
        <v>3060</v>
      </c>
      <c r="F255" s="1">
        <f>IFERROR(__xludf.DUMMYFUNCTION("""COMPUTED_VALUE"""),28638.0)</f>
        <v>28638</v>
      </c>
    </row>
    <row r="256">
      <c r="A256" s="2">
        <f>IFERROR(__xludf.DUMMYFUNCTION("""COMPUTED_VALUE"""),41555.645833333336)</f>
        <v>41555.64583</v>
      </c>
      <c r="B256" s="1">
        <f>IFERROR(__xludf.DUMMYFUNCTION("""COMPUTED_VALUE"""),3060.0)</f>
        <v>3060</v>
      </c>
      <c r="C256" s="1">
        <f>IFERROR(__xludf.DUMMYFUNCTION("""COMPUTED_VALUE"""),3350.0)</f>
        <v>3350</v>
      </c>
      <c r="D256" s="1">
        <f>IFERROR(__xludf.DUMMYFUNCTION("""COMPUTED_VALUE"""),2990.0)</f>
        <v>2990</v>
      </c>
      <c r="E256" s="1">
        <f>IFERROR(__xludf.DUMMYFUNCTION("""COMPUTED_VALUE"""),3350.0)</f>
        <v>3350</v>
      </c>
      <c r="F256" s="1">
        <f>IFERROR(__xludf.DUMMYFUNCTION("""COMPUTED_VALUE"""),26528.0)</f>
        <v>26528</v>
      </c>
    </row>
    <row r="257">
      <c r="A257" s="2">
        <f>IFERROR(__xludf.DUMMYFUNCTION("""COMPUTED_VALUE"""),41557.645833333336)</f>
        <v>41557.64583</v>
      </c>
      <c r="B257" s="1">
        <f>IFERROR(__xludf.DUMMYFUNCTION("""COMPUTED_VALUE"""),3350.0)</f>
        <v>3350</v>
      </c>
      <c r="C257" s="1">
        <f>IFERROR(__xludf.DUMMYFUNCTION("""COMPUTED_VALUE"""),3400.0)</f>
        <v>3400</v>
      </c>
      <c r="D257" s="1">
        <f>IFERROR(__xludf.DUMMYFUNCTION("""COMPUTED_VALUE"""),3190.0)</f>
        <v>3190</v>
      </c>
      <c r="E257" s="1">
        <f>IFERROR(__xludf.DUMMYFUNCTION("""COMPUTED_VALUE"""),3200.0)</f>
        <v>3200</v>
      </c>
      <c r="F257" s="1">
        <f>IFERROR(__xludf.DUMMYFUNCTION("""COMPUTED_VALUE"""),26260.0)</f>
        <v>26260</v>
      </c>
    </row>
    <row r="258">
      <c r="A258" s="2">
        <f>IFERROR(__xludf.DUMMYFUNCTION("""COMPUTED_VALUE"""),41558.645833333336)</f>
        <v>41558.64583</v>
      </c>
      <c r="B258" s="1">
        <f>IFERROR(__xludf.DUMMYFUNCTION("""COMPUTED_VALUE"""),3455.0)</f>
        <v>3455</v>
      </c>
      <c r="C258" s="1">
        <f>IFERROR(__xludf.DUMMYFUNCTION("""COMPUTED_VALUE"""),3455.0)</f>
        <v>3455</v>
      </c>
      <c r="D258" s="1">
        <f>IFERROR(__xludf.DUMMYFUNCTION("""COMPUTED_VALUE"""),3190.0)</f>
        <v>3190</v>
      </c>
      <c r="E258" s="1">
        <f>IFERROR(__xludf.DUMMYFUNCTION("""COMPUTED_VALUE"""),3200.0)</f>
        <v>3200</v>
      </c>
      <c r="F258" s="1">
        <f>IFERROR(__xludf.DUMMYFUNCTION("""COMPUTED_VALUE"""),13522.0)</f>
        <v>13522</v>
      </c>
    </row>
    <row r="259">
      <c r="A259" s="2">
        <f>IFERROR(__xludf.DUMMYFUNCTION("""COMPUTED_VALUE"""),41561.645833333336)</f>
        <v>41561.64583</v>
      </c>
      <c r="B259" s="1">
        <f>IFERROR(__xludf.DUMMYFUNCTION("""COMPUTED_VALUE"""),3290.0)</f>
        <v>3290</v>
      </c>
      <c r="C259" s="1">
        <f>IFERROR(__xludf.DUMMYFUNCTION("""COMPUTED_VALUE"""),3310.0)</f>
        <v>3310</v>
      </c>
      <c r="D259" s="1">
        <f>IFERROR(__xludf.DUMMYFUNCTION("""COMPUTED_VALUE"""),3105.0)</f>
        <v>3105</v>
      </c>
      <c r="E259" s="1">
        <f>IFERROR(__xludf.DUMMYFUNCTION("""COMPUTED_VALUE"""),3200.0)</f>
        <v>3200</v>
      </c>
      <c r="F259" s="1">
        <f>IFERROR(__xludf.DUMMYFUNCTION("""COMPUTED_VALUE"""),1585.0)</f>
        <v>1585</v>
      </c>
    </row>
    <row r="260">
      <c r="A260" s="2">
        <f>IFERROR(__xludf.DUMMYFUNCTION("""COMPUTED_VALUE"""),41562.645833333336)</f>
        <v>41562.64583</v>
      </c>
      <c r="B260" s="1">
        <f>IFERROR(__xludf.DUMMYFUNCTION("""COMPUTED_VALUE"""),3205.0)</f>
        <v>3205</v>
      </c>
      <c r="C260" s="1">
        <f>IFERROR(__xludf.DUMMYFUNCTION("""COMPUTED_VALUE"""),3205.0)</f>
        <v>3205</v>
      </c>
      <c r="D260" s="1">
        <f>IFERROR(__xludf.DUMMYFUNCTION("""COMPUTED_VALUE"""),3090.0)</f>
        <v>3090</v>
      </c>
      <c r="E260" s="1">
        <f>IFERROR(__xludf.DUMMYFUNCTION("""COMPUTED_VALUE"""),3190.0)</f>
        <v>3190</v>
      </c>
      <c r="F260" s="1">
        <f>IFERROR(__xludf.DUMMYFUNCTION("""COMPUTED_VALUE"""),25139.0)</f>
        <v>25139</v>
      </c>
    </row>
    <row r="261">
      <c r="A261" s="2">
        <f>IFERROR(__xludf.DUMMYFUNCTION("""COMPUTED_VALUE"""),41563.645833333336)</f>
        <v>41563.64583</v>
      </c>
      <c r="B261" s="1">
        <f>IFERROR(__xludf.DUMMYFUNCTION("""COMPUTED_VALUE"""),3345.0)</f>
        <v>3345</v>
      </c>
      <c r="C261" s="1">
        <f>IFERROR(__xludf.DUMMYFUNCTION("""COMPUTED_VALUE"""),3345.0)</f>
        <v>3345</v>
      </c>
      <c r="D261" s="1">
        <f>IFERROR(__xludf.DUMMYFUNCTION("""COMPUTED_VALUE"""),3040.0)</f>
        <v>3040</v>
      </c>
      <c r="E261" s="1">
        <f>IFERROR(__xludf.DUMMYFUNCTION("""COMPUTED_VALUE"""),3090.0)</f>
        <v>3090</v>
      </c>
      <c r="F261" s="1">
        <f>IFERROR(__xludf.DUMMYFUNCTION("""COMPUTED_VALUE"""),15724.0)</f>
        <v>15724</v>
      </c>
    </row>
    <row r="262">
      <c r="A262" s="2">
        <f>IFERROR(__xludf.DUMMYFUNCTION("""COMPUTED_VALUE"""),41564.645833333336)</f>
        <v>41564.64583</v>
      </c>
      <c r="B262" s="1">
        <f>IFERROR(__xludf.DUMMYFUNCTION("""COMPUTED_VALUE"""),3005.0)</f>
        <v>3005</v>
      </c>
      <c r="C262" s="1">
        <f>IFERROR(__xludf.DUMMYFUNCTION("""COMPUTED_VALUE"""),3235.0)</f>
        <v>3235</v>
      </c>
      <c r="D262" s="1">
        <f>IFERROR(__xludf.DUMMYFUNCTION("""COMPUTED_VALUE"""),2920.0)</f>
        <v>2920</v>
      </c>
      <c r="E262" s="1">
        <f>IFERROR(__xludf.DUMMYFUNCTION("""COMPUTED_VALUE"""),3045.0)</f>
        <v>3045</v>
      </c>
      <c r="F262" s="1">
        <f>IFERROR(__xludf.DUMMYFUNCTION("""COMPUTED_VALUE"""),31377.0)</f>
        <v>31377</v>
      </c>
    </row>
    <row r="263">
      <c r="A263" s="2">
        <f>IFERROR(__xludf.DUMMYFUNCTION("""COMPUTED_VALUE"""),41565.645833333336)</f>
        <v>41565.64583</v>
      </c>
      <c r="B263" s="1">
        <f>IFERROR(__xludf.DUMMYFUNCTION("""COMPUTED_VALUE"""),3050.0)</f>
        <v>3050</v>
      </c>
      <c r="C263" s="1">
        <f>IFERROR(__xludf.DUMMYFUNCTION("""COMPUTED_VALUE"""),3090.0)</f>
        <v>3090</v>
      </c>
      <c r="D263" s="1">
        <f>IFERROR(__xludf.DUMMYFUNCTION("""COMPUTED_VALUE"""),2975.0)</f>
        <v>2975</v>
      </c>
      <c r="E263" s="1">
        <f>IFERROR(__xludf.DUMMYFUNCTION("""COMPUTED_VALUE"""),3040.0)</f>
        <v>3040</v>
      </c>
      <c r="F263" s="1">
        <f>IFERROR(__xludf.DUMMYFUNCTION("""COMPUTED_VALUE"""),16157.0)</f>
        <v>16157</v>
      </c>
    </row>
    <row r="264">
      <c r="A264" s="2">
        <f>IFERROR(__xludf.DUMMYFUNCTION("""COMPUTED_VALUE"""),41568.645833333336)</f>
        <v>41568.64583</v>
      </c>
      <c r="B264" s="1">
        <f>IFERROR(__xludf.DUMMYFUNCTION("""COMPUTED_VALUE"""),3040.0)</f>
        <v>3040</v>
      </c>
      <c r="C264" s="1">
        <f>IFERROR(__xludf.DUMMYFUNCTION("""COMPUTED_VALUE"""),3150.0)</f>
        <v>3150</v>
      </c>
      <c r="D264" s="1">
        <f>IFERROR(__xludf.DUMMYFUNCTION("""COMPUTED_VALUE"""),2970.0)</f>
        <v>2970</v>
      </c>
      <c r="E264" s="1">
        <f>IFERROR(__xludf.DUMMYFUNCTION("""COMPUTED_VALUE"""),3040.0)</f>
        <v>3040</v>
      </c>
      <c r="F264" s="1">
        <f>IFERROR(__xludf.DUMMYFUNCTION("""COMPUTED_VALUE"""),7244.0)</f>
        <v>7244</v>
      </c>
    </row>
    <row r="265">
      <c r="A265" s="2">
        <f>IFERROR(__xludf.DUMMYFUNCTION("""COMPUTED_VALUE"""),41569.645833333336)</f>
        <v>41569.64583</v>
      </c>
      <c r="B265" s="1">
        <f>IFERROR(__xludf.DUMMYFUNCTION("""COMPUTED_VALUE"""),3035.0)</f>
        <v>3035</v>
      </c>
      <c r="C265" s="1">
        <f>IFERROR(__xludf.DUMMYFUNCTION("""COMPUTED_VALUE"""),3120.0)</f>
        <v>3120</v>
      </c>
      <c r="D265" s="1">
        <f>IFERROR(__xludf.DUMMYFUNCTION("""COMPUTED_VALUE"""),3035.0)</f>
        <v>3035</v>
      </c>
      <c r="E265" s="1">
        <f>IFERROR(__xludf.DUMMYFUNCTION("""COMPUTED_VALUE"""),3050.0)</f>
        <v>3050</v>
      </c>
      <c r="F265" s="1">
        <f>IFERROR(__xludf.DUMMYFUNCTION("""COMPUTED_VALUE"""),30225.0)</f>
        <v>30225</v>
      </c>
    </row>
    <row r="266">
      <c r="A266" s="2">
        <f>IFERROR(__xludf.DUMMYFUNCTION("""COMPUTED_VALUE"""),41570.645833333336)</f>
        <v>41570.64583</v>
      </c>
      <c r="B266" s="1">
        <f>IFERROR(__xludf.DUMMYFUNCTION("""COMPUTED_VALUE"""),3120.0)</f>
        <v>3120</v>
      </c>
      <c r="C266" s="1">
        <f>IFERROR(__xludf.DUMMYFUNCTION("""COMPUTED_VALUE"""),3120.0)</f>
        <v>3120</v>
      </c>
      <c r="D266" s="1">
        <f>IFERROR(__xludf.DUMMYFUNCTION("""COMPUTED_VALUE"""),3015.0)</f>
        <v>3015</v>
      </c>
      <c r="E266" s="1">
        <f>IFERROR(__xludf.DUMMYFUNCTION("""COMPUTED_VALUE"""),3015.0)</f>
        <v>3015</v>
      </c>
      <c r="F266" s="1">
        <f>IFERROR(__xludf.DUMMYFUNCTION("""COMPUTED_VALUE"""),7299.0)</f>
        <v>7299</v>
      </c>
    </row>
    <row r="267">
      <c r="A267" s="2">
        <f>IFERROR(__xludf.DUMMYFUNCTION("""COMPUTED_VALUE"""),41571.645833333336)</f>
        <v>41571.64583</v>
      </c>
      <c r="B267" s="1">
        <f>IFERROR(__xludf.DUMMYFUNCTION("""COMPUTED_VALUE"""),3015.0)</f>
        <v>3015</v>
      </c>
      <c r="C267" s="1">
        <f>IFERROR(__xludf.DUMMYFUNCTION("""COMPUTED_VALUE"""),3200.0)</f>
        <v>3200</v>
      </c>
      <c r="D267" s="1">
        <f>IFERROR(__xludf.DUMMYFUNCTION("""COMPUTED_VALUE"""),3000.0)</f>
        <v>3000</v>
      </c>
      <c r="E267" s="1">
        <f>IFERROR(__xludf.DUMMYFUNCTION("""COMPUTED_VALUE"""),3005.0)</f>
        <v>3005</v>
      </c>
      <c r="F267" s="1">
        <f>IFERROR(__xludf.DUMMYFUNCTION("""COMPUTED_VALUE"""),28547.0)</f>
        <v>28547</v>
      </c>
    </row>
    <row r="268">
      <c r="A268" s="2">
        <f>IFERROR(__xludf.DUMMYFUNCTION("""COMPUTED_VALUE"""),41572.645833333336)</f>
        <v>41572.64583</v>
      </c>
      <c r="B268" s="1">
        <f>IFERROR(__xludf.DUMMYFUNCTION("""COMPUTED_VALUE"""),3000.0)</f>
        <v>3000</v>
      </c>
      <c r="C268" s="1">
        <f>IFERROR(__xludf.DUMMYFUNCTION("""COMPUTED_VALUE"""),3080.0)</f>
        <v>3080</v>
      </c>
      <c r="D268" s="1">
        <f>IFERROR(__xludf.DUMMYFUNCTION("""COMPUTED_VALUE"""),2990.0)</f>
        <v>2990</v>
      </c>
      <c r="E268" s="1">
        <f>IFERROR(__xludf.DUMMYFUNCTION("""COMPUTED_VALUE"""),3030.0)</f>
        <v>3030</v>
      </c>
      <c r="F268" s="1">
        <f>IFERROR(__xludf.DUMMYFUNCTION("""COMPUTED_VALUE"""),8420.0)</f>
        <v>8420</v>
      </c>
    </row>
    <row r="269">
      <c r="A269" s="2">
        <f>IFERROR(__xludf.DUMMYFUNCTION("""COMPUTED_VALUE"""),41575.645833333336)</f>
        <v>41575.64583</v>
      </c>
      <c r="B269" s="1">
        <f>IFERROR(__xludf.DUMMYFUNCTION("""COMPUTED_VALUE"""),3130.0)</f>
        <v>3130</v>
      </c>
      <c r="C269" s="1">
        <f>IFERROR(__xludf.DUMMYFUNCTION("""COMPUTED_VALUE"""),3130.0)</f>
        <v>3130</v>
      </c>
      <c r="D269" s="1">
        <f>IFERROR(__xludf.DUMMYFUNCTION("""COMPUTED_VALUE"""),2905.0)</f>
        <v>2905</v>
      </c>
      <c r="E269" s="1">
        <f>IFERROR(__xludf.DUMMYFUNCTION("""COMPUTED_VALUE"""),2960.0)</f>
        <v>2960</v>
      </c>
      <c r="F269" s="1">
        <f>IFERROR(__xludf.DUMMYFUNCTION("""COMPUTED_VALUE"""),28826.0)</f>
        <v>28826</v>
      </c>
    </row>
    <row r="270">
      <c r="A270" s="2">
        <f>IFERROR(__xludf.DUMMYFUNCTION("""COMPUTED_VALUE"""),41576.645833333336)</f>
        <v>41576.64583</v>
      </c>
      <c r="B270" s="1">
        <f>IFERROR(__xludf.DUMMYFUNCTION("""COMPUTED_VALUE"""),2950.0)</f>
        <v>2950</v>
      </c>
      <c r="C270" s="1">
        <f>IFERROR(__xludf.DUMMYFUNCTION("""COMPUTED_VALUE"""),3015.0)</f>
        <v>3015</v>
      </c>
      <c r="D270" s="1">
        <f>IFERROR(__xludf.DUMMYFUNCTION("""COMPUTED_VALUE"""),2950.0)</f>
        <v>2950</v>
      </c>
      <c r="E270" s="1">
        <f>IFERROR(__xludf.DUMMYFUNCTION("""COMPUTED_VALUE"""),3000.0)</f>
        <v>3000</v>
      </c>
      <c r="F270" s="1">
        <f>IFERROR(__xludf.DUMMYFUNCTION("""COMPUTED_VALUE"""),5547.0)</f>
        <v>5547</v>
      </c>
    </row>
    <row r="271">
      <c r="A271" s="2">
        <f>IFERROR(__xludf.DUMMYFUNCTION("""COMPUTED_VALUE"""),41577.645833333336)</f>
        <v>41577.64583</v>
      </c>
      <c r="B271" s="1">
        <f>IFERROR(__xludf.DUMMYFUNCTION("""COMPUTED_VALUE"""),3080.0)</f>
        <v>3080</v>
      </c>
      <c r="C271" s="1">
        <f>IFERROR(__xludf.DUMMYFUNCTION("""COMPUTED_VALUE"""),3080.0)</f>
        <v>3080</v>
      </c>
      <c r="D271" s="1">
        <f>IFERROR(__xludf.DUMMYFUNCTION("""COMPUTED_VALUE"""),2900.0)</f>
        <v>2900</v>
      </c>
      <c r="E271" s="1">
        <f>IFERROR(__xludf.DUMMYFUNCTION("""COMPUTED_VALUE"""),2945.0)</f>
        <v>2945</v>
      </c>
      <c r="F271" s="1">
        <f>IFERROR(__xludf.DUMMYFUNCTION("""COMPUTED_VALUE"""),5084.0)</f>
        <v>5084</v>
      </c>
    </row>
    <row r="272">
      <c r="A272" s="2">
        <f>IFERROR(__xludf.DUMMYFUNCTION("""COMPUTED_VALUE"""),41578.645833333336)</f>
        <v>41578.64583</v>
      </c>
      <c r="B272" s="1">
        <f>IFERROR(__xludf.DUMMYFUNCTION("""COMPUTED_VALUE"""),3045.0)</f>
        <v>3045</v>
      </c>
      <c r="C272" s="1">
        <f>IFERROR(__xludf.DUMMYFUNCTION("""COMPUTED_VALUE"""),3045.0)</f>
        <v>3045</v>
      </c>
      <c r="D272" s="1">
        <f>IFERROR(__xludf.DUMMYFUNCTION("""COMPUTED_VALUE"""),2700.0)</f>
        <v>2700</v>
      </c>
      <c r="E272" s="1">
        <f>IFERROR(__xludf.DUMMYFUNCTION("""COMPUTED_VALUE"""),2955.0)</f>
        <v>2955</v>
      </c>
      <c r="F272" s="1">
        <f>IFERROR(__xludf.DUMMYFUNCTION("""COMPUTED_VALUE"""),6711.0)</f>
        <v>6711</v>
      </c>
    </row>
    <row r="273">
      <c r="A273" s="2">
        <f>IFERROR(__xludf.DUMMYFUNCTION("""COMPUTED_VALUE"""),41579.645833333336)</f>
        <v>41579.64583</v>
      </c>
      <c r="B273" s="1">
        <f>IFERROR(__xludf.DUMMYFUNCTION("""COMPUTED_VALUE"""),3150.0)</f>
        <v>3150</v>
      </c>
      <c r="C273" s="1">
        <f>IFERROR(__xludf.DUMMYFUNCTION("""COMPUTED_VALUE"""),3150.0)</f>
        <v>3150</v>
      </c>
      <c r="D273" s="1">
        <f>IFERROR(__xludf.DUMMYFUNCTION("""COMPUTED_VALUE"""),2800.0)</f>
        <v>2800</v>
      </c>
      <c r="E273" s="1">
        <f>IFERROR(__xludf.DUMMYFUNCTION("""COMPUTED_VALUE"""),2865.0)</f>
        <v>2865</v>
      </c>
      <c r="F273" s="1">
        <f>IFERROR(__xludf.DUMMYFUNCTION("""COMPUTED_VALUE"""),11191.0)</f>
        <v>11191</v>
      </c>
    </row>
    <row r="274">
      <c r="A274" s="2">
        <f>IFERROR(__xludf.DUMMYFUNCTION("""COMPUTED_VALUE"""),41582.645833333336)</f>
        <v>41582.64583</v>
      </c>
      <c r="B274" s="1">
        <f>IFERROR(__xludf.DUMMYFUNCTION("""COMPUTED_VALUE"""),3100.0)</f>
        <v>3100</v>
      </c>
      <c r="C274" s="1">
        <f>IFERROR(__xludf.DUMMYFUNCTION("""COMPUTED_VALUE"""),3100.0)</f>
        <v>3100</v>
      </c>
      <c r="D274" s="1">
        <f>IFERROR(__xludf.DUMMYFUNCTION("""COMPUTED_VALUE"""),2705.0)</f>
        <v>2705</v>
      </c>
      <c r="E274" s="1">
        <f>IFERROR(__xludf.DUMMYFUNCTION("""COMPUTED_VALUE"""),2865.0)</f>
        <v>2865</v>
      </c>
      <c r="F274" s="1">
        <f>IFERROR(__xludf.DUMMYFUNCTION("""COMPUTED_VALUE"""),17101.0)</f>
        <v>17101</v>
      </c>
    </row>
    <row r="275">
      <c r="A275" s="2">
        <f>IFERROR(__xludf.DUMMYFUNCTION("""COMPUTED_VALUE"""),41583.645833333336)</f>
        <v>41583.64583</v>
      </c>
      <c r="B275" s="1">
        <f>IFERROR(__xludf.DUMMYFUNCTION("""COMPUTED_VALUE"""),2950.0)</f>
        <v>2950</v>
      </c>
      <c r="C275" s="1">
        <f>IFERROR(__xludf.DUMMYFUNCTION("""COMPUTED_VALUE"""),2950.0)</f>
        <v>2950</v>
      </c>
      <c r="D275" s="1">
        <f>IFERROR(__xludf.DUMMYFUNCTION("""COMPUTED_VALUE"""),2800.0)</f>
        <v>2800</v>
      </c>
      <c r="E275" s="1">
        <f>IFERROR(__xludf.DUMMYFUNCTION("""COMPUTED_VALUE"""),2925.0)</f>
        <v>2925</v>
      </c>
      <c r="F275" s="1">
        <f>IFERROR(__xludf.DUMMYFUNCTION("""COMPUTED_VALUE"""),3855.0)</f>
        <v>3855</v>
      </c>
    </row>
    <row r="276">
      <c r="A276" s="2">
        <f>IFERROR(__xludf.DUMMYFUNCTION("""COMPUTED_VALUE"""),41584.645833333336)</f>
        <v>41584.64583</v>
      </c>
      <c r="B276" s="1">
        <f>IFERROR(__xludf.DUMMYFUNCTION("""COMPUTED_VALUE"""),2880.0)</f>
        <v>2880</v>
      </c>
      <c r="C276" s="1">
        <f>IFERROR(__xludf.DUMMYFUNCTION("""COMPUTED_VALUE"""),2945.0)</f>
        <v>2945</v>
      </c>
      <c r="D276" s="1">
        <f>IFERROR(__xludf.DUMMYFUNCTION("""COMPUTED_VALUE"""),2800.0)</f>
        <v>2800</v>
      </c>
      <c r="E276" s="1">
        <f>IFERROR(__xludf.DUMMYFUNCTION("""COMPUTED_VALUE"""),2850.0)</f>
        <v>2850</v>
      </c>
      <c r="F276" s="1">
        <f>IFERROR(__xludf.DUMMYFUNCTION("""COMPUTED_VALUE"""),8255.0)</f>
        <v>8255</v>
      </c>
    </row>
    <row r="277">
      <c r="A277" s="2">
        <f>IFERROR(__xludf.DUMMYFUNCTION("""COMPUTED_VALUE"""),41585.645833333336)</f>
        <v>41585.64583</v>
      </c>
      <c r="B277" s="1">
        <f>IFERROR(__xludf.DUMMYFUNCTION("""COMPUTED_VALUE"""),2870.0)</f>
        <v>2870</v>
      </c>
      <c r="C277" s="1">
        <f>IFERROR(__xludf.DUMMYFUNCTION("""COMPUTED_VALUE"""),2870.0)</f>
        <v>2870</v>
      </c>
      <c r="D277" s="1">
        <f>IFERROR(__xludf.DUMMYFUNCTION("""COMPUTED_VALUE"""),2750.0)</f>
        <v>2750</v>
      </c>
      <c r="E277" s="1">
        <f>IFERROR(__xludf.DUMMYFUNCTION("""COMPUTED_VALUE"""),2855.0)</f>
        <v>2855</v>
      </c>
      <c r="F277" s="1">
        <f>IFERROR(__xludf.DUMMYFUNCTION("""COMPUTED_VALUE"""),1992.0)</f>
        <v>1992</v>
      </c>
    </row>
    <row r="278">
      <c r="A278" s="2">
        <f>IFERROR(__xludf.DUMMYFUNCTION("""COMPUTED_VALUE"""),41586.645833333336)</f>
        <v>41586.64583</v>
      </c>
      <c r="B278" s="1">
        <f>IFERROR(__xludf.DUMMYFUNCTION("""COMPUTED_VALUE"""),2790.0)</f>
        <v>2790</v>
      </c>
      <c r="C278" s="1">
        <f>IFERROR(__xludf.DUMMYFUNCTION("""COMPUTED_VALUE"""),2855.0)</f>
        <v>2855</v>
      </c>
      <c r="D278" s="1">
        <f>IFERROR(__xludf.DUMMYFUNCTION("""COMPUTED_VALUE"""),2745.0)</f>
        <v>2745</v>
      </c>
      <c r="E278" s="1">
        <f>IFERROR(__xludf.DUMMYFUNCTION("""COMPUTED_VALUE"""),2850.0)</f>
        <v>2850</v>
      </c>
      <c r="F278" s="1">
        <f>IFERROR(__xludf.DUMMYFUNCTION("""COMPUTED_VALUE"""),12796.0)</f>
        <v>12796</v>
      </c>
    </row>
    <row r="279">
      <c r="A279" s="2">
        <f>IFERROR(__xludf.DUMMYFUNCTION("""COMPUTED_VALUE"""),41589.645833333336)</f>
        <v>41589.64583</v>
      </c>
      <c r="B279" s="1">
        <f>IFERROR(__xludf.DUMMYFUNCTION("""COMPUTED_VALUE"""),2825.0)</f>
        <v>2825</v>
      </c>
      <c r="C279" s="1">
        <f>IFERROR(__xludf.DUMMYFUNCTION("""COMPUTED_VALUE"""),2900.0)</f>
        <v>2900</v>
      </c>
      <c r="D279" s="1">
        <f>IFERROR(__xludf.DUMMYFUNCTION("""COMPUTED_VALUE"""),2500.0)</f>
        <v>2500</v>
      </c>
      <c r="E279" s="1">
        <f>IFERROR(__xludf.DUMMYFUNCTION("""COMPUTED_VALUE"""),2900.0)</f>
        <v>2900</v>
      </c>
      <c r="F279" s="1">
        <f>IFERROR(__xludf.DUMMYFUNCTION("""COMPUTED_VALUE"""),32569.0)</f>
        <v>32569</v>
      </c>
    </row>
    <row r="280">
      <c r="A280" s="2">
        <f>IFERROR(__xludf.DUMMYFUNCTION("""COMPUTED_VALUE"""),41590.645833333336)</f>
        <v>41590.64583</v>
      </c>
      <c r="B280" s="1">
        <f>IFERROR(__xludf.DUMMYFUNCTION("""COMPUTED_VALUE"""),2895.0)</f>
        <v>2895</v>
      </c>
      <c r="C280" s="1">
        <f>IFERROR(__xludf.DUMMYFUNCTION("""COMPUTED_VALUE"""),2895.0)</f>
        <v>2895</v>
      </c>
      <c r="D280" s="1">
        <f>IFERROR(__xludf.DUMMYFUNCTION("""COMPUTED_VALUE"""),2760.0)</f>
        <v>2760</v>
      </c>
      <c r="E280" s="1">
        <f>IFERROR(__xludf.DUMMYFUNCTION("""COMPUTED_VALUE"""),2810.0)</f>
        <v>2810</v>
      </c>
      <c r="F280" s="1">
        <f>IFERROR(__xludf.DUMMYFUNCTION("""COMPUTED_VALUE"""),16131.0)</f>
        <v>16131</v>
      </c>
    </row>
    <row r="281">
      <c r="A281" s="2">
        <f>IFERROR(__xludf.DUMMYFUNCTION("""COMPUTED_VALUE"""),41591.645833333336)</f>
        <v>41591.64583</v>
      </c>
      <c r="B281" s="1">
        <f>IFERROR(__xludf.DUMMYFUNCTION("""COMPUTED_VALUE"""),2795.0)</f>
        <v>2795</v>
      </c>
      <c r="C281" s="1">
        <f>IFERROR(__xludf.DUMMYFUNCTION("""COMPUTED_VALUE"""),2825.0)</f>
        <v>2825</v>
      </c>
      <c r="D281" s="1">
        <f>IFERROR(__xludf.DUMMYFUNCTION("""COMPUTED_VALUE"""),2700.0)</f>
        <v>2700</v>
      </c>
      <c r="E281" s="1">
        <f>IFERROR(__xludf.DUMMYFUNCTION("""COMPUTED_VALUE"""),2700.0)</f>
        <v>2700</v>
      </c>
      <c r="F281" s="1">
        <f>IFERROR(__xludf.DUMMYFUNCTION("""COMPUTED_VALUE"""),3785.0)</f>
        <v>3785</v>
      </c>
    </row>
    <row r="282">
      <c r="A282" s="2">
        <f>IFERROR(__xludf.DUMMYFUNCTION("""COMPUTED_VALUE"""),41592.645833333336)</f>
        <v>41592.64583</v>
      </c>
      <c r="B282" s="1">
        <f>IFERROR(__xludf.DUMMYFUNCTION("""COMPUTED_VALUE"""),2615.0)</f>
        <v>2615</v>
      </c>
      <c r="C282" s="1">
        <f>IFERROR(__xludf.DUMMYFUNCTION("""COMPUTED_VALUE"""),2790.0)</f>
        <v>2790</v>
      </c>
      <c r="D282" s="1">
        <f>IFERROR(__xludf.DUMMYFUNCTION("""COMPUTED_VALUE"""),2615.0)</f>
        <v>2615</v>
      </c>
      <c r="E282" s="1">
        <f>IFERROR(__xludf.DUMMYFUNCTION("""COMPUTED_VALUE"""),2770.0)</f>
        <v>2770</v>
      </c>
      <c r="F282" s="1">
        <f>IFERROR(__xludf.DUMMYFUNCTION("""COMPUTED_VALUE"""),3935.0)</f>
        <v>3935</v>
      </c>
    </row>
    <row r="283">
      <c r="A283" s="2">
        <f>IFERROR(__xludf.DUMMYFUNCTION("""COMPUTED_VALUE"""),41593.645833333336)</f>
        <v>41593.64583</v>
      </c>
      <c r="B283" s="1">
        <f>IFERROR(__xludf.DUMMYFUNCTION("""COMPUTED_VALUE"""),2645.0)</f>
        <v>2645</v>
      </c>
      <c r="C283" s="1">
        <f>IFERROR(__xludf.DUMMYFUNCTION("""COMPUTED_VALUE"""),2870.0)</f>
        <v>2870</v>
      </c>
      <c r="D283" s="1">
        <f>IFERROR(__xludf.DUMMYFUNCTION("""COMPUTED_VALUE"""),2620.0)</f>
        <v>2620</v>
      </c>
      <c r="E283" s="1">
        <f>IFERROR(__xludf.DUMMYFUNCTION("""COMPUTED_VALUE"""),2785.0)</f>
        <v>2785</v>
      </c>
      <c r="F283" s="1">
        <f>IFERROR(__xludf.DUMMYFUNCTION("""COMPUTED_VALUE"""),7762.0)</f>
        <v>7762</v>
      </c>
    </row>
    <row r="284">
      <c r="A284" s="2">
        <f>IFERROR(__xludf.DUMMYFUNCTION("""COMPUTED_VALUE"""),41596.645833333336)</f>
        <v>41596.64583</v>
      </c>
      <c r="B284" s="1">
        <f>IFERROR(__xludf.DUMMYFUNCTION("""COMPUTED_VALUE"""),2785.0)</f>
        <v>2785</v>
      </c>
      <c r="C284" s="1">
        <f>IFERROR(__xludf.DUMMYFUNCTION("""COMPUTED_VALUE"""),2835.0)</f>
        <v>2835</v>
      </c>
      <c r="D284" s="1">
        <f>IFERROR(__xludf.DUMMYFUNCTION("""COMPUTED_VALUE"""),2695.0)</f>
        <v>2695</v>
      </c>
      <c r="E284" s="1">
        <f>IFERROR(__xludf.DUMMYFUNCTION("""COMPUTED_VALUE"""),2795.0)</f>
        <v>2795</v>
      </c>
      <c r="F284" s="1">
        <f>IFERROR(__xludf.DUMMYFUNCTION("""COMPUTED_VALUE"""),3136.0)</f>
        <v>3136</v>
      </c>
    </row>
    <row r="285">
      <c r="A285" s="2">
        <f>IFERROR(__xludf.DUMMYFUNCTION("""COMPUTED_VALUE"""),41597.645833333336)</f>
        <v>41597.64583</v>
      </c>
      <c r="B285" s="1">
        <f>IFERROR(__xludf.DUMMYFUNCTION("""COMPUTED_VALUE"""),2800.0)</f>
        <v>2800</v>
      </c>
      <c r="C285" s="1">
        <f>IFERROR(__xludf.DUMMYFUNCTION("""COMPUTED_VALUE"""),2800.0)</f>
        <v>2800</v>
      </c>
      <c r="D285" s="1">
        <f>IFERROR(__xludf.DUMMYFUNCTION("""COMPUTED_VALUE"""),2655.0)</f>
        <v>2655</v>
      </c>
      <c r="E285" s="1">
        <f>IFERROR(__xludf.DUMMYFUNCTION("""COMPUTED_VALUE"""),2760.0)</f>
        <v>2760</v>
      </c>
      <c r="F285" s="1">
        <f>IFERROR(__xludf.DUMMYFUNCTION("""COMPUTED_VALUE"""),18074.0)</f>
        <v>18074</v>
      </c>
    </row>
    <row r="286">
      <c r="A286" s="2">
        <f>IFERROR(__xludf.DUMMYFUNCTION("""COMPUTED_VALUE"""),41598.645833333336)</f>
        <v>41598.64583</v>
      </c>
      <c r="B286" s="1">
        <f>IFERROR(__xludf.DUMMYFUNCTION("""COMPUTED_VALUE"""),2710.0)</f>
        <v>2710</v>
      </c>
      <c r="C286" s="1">
        <f>IFERROR(__xludf.DUMMYFUNCTION("""COMPUTED_VALUE"""),2990.0)</f>
        <v>2990</v>
      </c>
      <c r="D286" s="1">
        <f>IFERROR(__xludf.DUMMYFUNCTION("""COMPUTED_VALUE"""),2685.0)</f>
        <v>2685</v>
      </c>
      <c r="E286" s="1">
        <f>IFERROR(__xludf.DUMMYFUNCTION("""COMPUTED_VALUE"""),2690.0)</f>
        <v>2690</v>
      </c>
      <c r="F286" s="1">
        <f>IFERROR(__xludf.DUMMYFUNCTION("""COMPUTED_VALUE"""),6413.0)</f>
        <v>6413</v>
      </c>
    </row>
    <row r="287">
      <c r="A287" s="2">
        <f>IFERROR(__xludf.DUMMYFUNCTION("""COMPUTED_VALUE"""),41599.645833333336)</f>
        <v>41599.64583</v>
      </c>
      <c r="B287" s="1">
        <f>IFERROR(__xludf.DUMMYFUNCTION("""COMPUTED_VALUE"""),2710.0)</f>
        <v>2710</v>
      </c>
      <c r="C287" s="1">
        <f>IFERROR(__xludf.DUMMYFUNCTION("""COMPUTED_VALUE"""),2855.0)</f>
        <v>2855</v>
      </c>
      <c r="D287" s="1">
        <f>IFERROR(__xludf.DUMMYFUNCTION("""COMPUTED_VALUE"""),2700.0)</f>
        <v>2700</v>
      </c>
      <c r="E287" s="1">
        <f>IFERROR(__xludf.DUMMYFUNCTION("""COMPUTED_VALUE"""),2855.0)</f>
        <v>2855</v>
      </c>
      <c r="F287" s="1">
        <f>IFERROR(__xludf.DUMMYFUNCTION("""COMPUTED_VALUE"""),18642.0)</f>
        <v>18642</v>
      </c>
    </row>
    <row r="288">
      <c r="A288" s="2">
        <f>IFERROR(__xludf.DUMMYFUNCTION("""COMPUTED_VALUE"""),41600.645833333336)</f>
        <v>41600.64583</v>
      </c>
      <c r="B288" s="1">
        <f>IFERROR(__xludf.DUMMYFUNCTION("""COMPUTED_VALUE"""),2860.0)</f>
        <v>2860</v>
      </c>
      <c r="C288" s="1">
        <f>IFERROR(__xludf.DUMMYFUNCTION("""COMPUTED_VALUE"""),3230.0)</f>
        <v>3230</v>
      </c>
      <c r="D288" s="1">
        <f>IFERROR(__xludf.DUMMYFUNCTION("""COMPUTED_VALUE"""),2855.0)</f>
        <v>2855</v>
      </c>
      <c r="E288" s="1">
        <f>IFERROR(__xludf.DUMMYFUNCTION("""COMPUTED_VALUE"""),3230.0)</f>
        <v>3230</v>
      </c>
      <c r="F288" s="1">
        <f>IFERROR(__xludf.DUMMYFUNCTION("""COMPUTED_VALUE"""),35318.0)</f>
        <v>35318</v>
      </c>
    </row>
    <row r="289">
      <c r="A289" s="2">
        <f>IFERROR(__xludf.DUMMYFUNCTION("""COMPUTED_VALUE"""),41603.645833333336)</f>
        <v>41603.64583</v>
      </c>
      <c r="B289" s="1">
        <f>IFERROR(__xludf.DUMMYFUNCTION("""COMPUTED_VALUE"""),3450.0)</f>
        <v>3450</v>
      </c>
      <c r="C289" s="1">
        <f>IFERROR(__xludf.DUMMYFUNCTION("""COMPUTED_VALUE"""),3450.0)</f>
        <v>3450</v>
      </c>
      <c r="D289" s="1">
        <f>IFERROR(__xludf.DUMMYFUNCTION("""COMPUTED_VALUE"""),2980.0)</f>
        <v>2980</v>
      </c>
      <c r="E289" s="1">
        <f>IFERROR(__xludf.DUMMYFUNCTION("""COMPUTED_VALUE"""),3090.0)</f>
        <v>3090</v>
      </c>
      <c r="F289" s="1">
        <f>IFERROR(__xludf.DUMMYFUNCTION("""COMPUTED_VALUE"""),16819.0)</f>
        <v>16819</v>
      </c>
    </row>
    <row r="290">
      <c r="A290" s="2">
        <f>IFERROR(__xludf.DUMMYFUNCTION("""COMPUTED_VALUE"""),41604.645833333336)</f>
        <v>41604.64583</v>
      </c>
      <c r="B290" s="1">
        <f>IFERROR(__xludf.DUMMYFUNCTION("""COMPUTED_VALUE"""),3100.0)</f>
        <v>3100</v>
      </c>
      <c r="C290" s="1">
        <f>IFERROR(__xludf.DUMMYFUNCTION("""COMPUTED_VALUE"""),3130.0)</f>
        <v>3130</v>
      </c>
      <c r="D290" s="1">
        <f>IFERROR(__xludf.DUMMYFUNCTION("""COMPUTED_VALUE"""),2920.0)</f>
        <v>2920</v>
      </c>
      <c r="E290" s="1">
        <f>IFERROR(__xludf.DUMMYFUNCTION("""COMPUTED_VALUE"""),3020.0)</f>
        <v>3020</v>
      </c>
      <c r="F290" s="1">
        <f>IFERROR(__xludf.DUMMYFUNCTION("""COMPUTED_VALUE"""),5776.0)</f>
        <v>5776</v>
      </c>
    </row>
    <row r="291">
      <c r="A291" s="2">
        <f>IFERROR(__xludf.DUMMYFUNCTION("""COMPUTED_VALUE"""),41605.645833333336)</f>
        <v>41605.64583</v>
      </c>
      <c r="B291" s="1">
        <f>IFERROR(__xludf.DUMMYFUNCTION("""COMPUTED_VALUE"""),3020.0)</f>
        <v>3020</v>
      </c>
      <c r="C291" s="1">
        <f>IFERROR(__xludf.DUMMYFUNCTION("""COMPUTED_VALUE"""),3020.0)</f>
        <v>3020</v>
      </c>
      <c r="D291" s="1">
        <f>IFERROR(__xludf.DUMMYFUNCTION("""COMPUTED_VALUE"""),2900.0)</f>
        <v>2900</v>
      </c>
      <c r="E291" s="1">
        <f>IFERROR(__xludf.DUMMYFUNCTION("""COMPUTED_VALUE"""),2950.0)</f>
        <v>2950</v>
      </c>
      <c r="F291" s="1">
        <f>IFERROR(__xludf.DUMMYFUNCTION("""COMPUTED_VALUE"""),12443.0)</f>
        <v>12443</v>
      </c>
    </row>
    <row r="292">
      <c r="A292" s="2">
        <f>IFERROR(__xludf.DUMMYFUNCTION("""COMPUTED_VALUE"""),41606.645833333336)</f>
        <v>41606.64583</v>
      </c>
      <c r="B292" s="1">
        <f>IFERROR(__xludf.DUMMYFUNCTION("""COMPUTED_VALUE"""),2960.0)</f>
        <v>2960</v>
      </c>
      <c r="C292" s="1">
        <f>IFERROR(__xludf.DUMMYFUNCTION("""COMPUTED_VALUE"""),3100.0)</f>
        <v>3100</v>
      </c>
      <c r="D292" s="1">
        <f>IFERROR(__xludf.DUMMYFUNCTION("""COMPUTED_VALUE"""),2900.0)</f>
        <v>2900</v>
      </c>
      <c r="E292" s="1">
        <f>IFERROR(__xludf.DUMMYFUNCTION("""COMPUTED_VALUE"""),3100.0)</f>
        <v>3100</v>
      </c>
      <c r="F292" s="1">
        <f>IFERROR(__xludf.DUMMYFUNCTION("""COMPUTED_VALUE"""),11707.0)</f>
        <v>11707</v>
      </c>
    </row>
    <row r="293">
      <c r="A293" s="2">
        <f>IFERROR(__xludf.DUMMYFUNCTION("""COMPUTED_VALUE"""),41607.645833333336)</f>
        <v>41607.64583</v>
      </c>
      <c r="B293" s="1">
        <f>IFERROR(__xludf.DUMMYFUNCTION("""COMPUTED_VALUE"""),3150.0)</f>
        <v>3150</v>
      </c>
      <c r="C293" s="1">
        <f>IFERROR(__xludf.DUMMYFUNCTION("""COMPUTED_VALUE"""),3170.0)</f>
        <v>3170</v>
      </c>
      <c r="D293" s="1">
        <f>IFERROR(__xludf.DUMMYFUNCTION("""COMPUTED_VALUE"""),2950.0)</f>
        <v>2950</v>
      </c>
      <c r="E293" s="1">
        <f>IFERROR(__xludf.DUMMYFUNCTION("""COMPUTED_VALUE"""),3070.0)</f>
        <v>3070</v>
      </c>
      <c r="F293" s="1">
        <f>IFERROR(__xludf.DUMMYFUNCTION("""COMPUTED_VALUE"""),5184.0)</f>
        <v>5184</v>
      </c>
    </row>
    <row r="294">
      <c r="A294" s="2">
        <f>IFERROR(__xludf.DUMMYFUNCTION("""COMPUTED_VALUE"""),41610.645833333336)</f>
        <v>41610.64583</v>
      </c>
      <c r="B294" s="1">
        <f>IFERROR(__xludf.DUMMYFUNCTION("""COMPUTED_VALUE"""),3040.0)</f>
        <v>3040</v>
      </c>
      <c r="C294" s="1">
        <f>IFERROR(__xludf.DUMMYFUNCTION("""COMPUTED_VALUE"""),3090.0)</f>
        <v>3090</v>
      </c>
      <c r="D294" s="1">
        <f>IFERROR(__xludf.DUMMYFUNCTION("""COMPUTED_VALUE"""),3040.0)</f>
        <v>3040</v>
      </c>
      <c r="E294" s="1">
        <f>IFERROR(__xludf.DUMMYFUNCTION("""COMPUTED_VALUE"""),3040.0)</f>
        <v>3040</v>
      </c>
      <c r="F294" s="1">
        <f>IFERROR(__xludf.DUMMYFUNCTION("""COMPUTED_VALUE"""),1166.0)</f>
        <v>1166</v>
      </c>
    </row>
    <row r="295">
      <c r="A295" s="2">
        <f>IFERROR(__xludf.DUMMYFUNCTION("""COMPUTED_VALUE"""),41611.645833333336)</f>
        <v>41611.64583</v>
      </c>
      <c r="B295" s="1">
        <f>IFERROR(__xludf.DUMMYFUNCTION("""COMPUTED_VALUE"""),3080.0)</f>
        <v>3080</v>
      </c>
      <c r="C295" s="1">
        <f>IFERROR(__xludf.DUMMYFUNCTION("""COMPUTED_VALUE"""),3080.0)</f>
        <v>3080</v>
      </c>
      <c r="D295" s="1">
        <f>IFERROR(__xludf.DUMMYFUNCTION("""COMPUTED_VALUE"""),2900.0)</f>
        <v>2900</v>
      </c>
      <c r="E295" s="1">
        <f>IFERROR(__xludf.DUMMYFUNCTION("""COMPUTED_VALUE"""),2900.0)</f>
        <v>2900</v>
      </c>
      <c r="F295" s="1">
        <f>IFERROR(__xludf.DUMMYFUNCTION("""COMPUTED_VALUE"""),1770.0)</f>
        <v>1770</v>
      </c>
    </row>
    <row r="296">
      <c r="A296" s="2">
        <f>IFERROR(__xludf.DUMMYFUNCTION("""COMPUTED_VALUE"""),41612.645833333336)</f>
        <v>41612.64583</v>
      </c>
      <c r="B296" s="1">
        <f>IFERROR(__xludf.DUMMYFUNCTION("""COMPUTED_VALUE"""),2905.0)</f>
        <v>2905</v>
      </c>
      <c r="C296" s="1">
        <f>IFERROR(__xludf.DUMMYFUNCTION("""COMPUTED_VALUE"""),3090.0)</f>
        <v>3090</v>
      </c>
      <c r="D296" s="1">
        <f>IFERROR(__xludf.DUMMYFUNCTION("""COMPUTED_VALUE"""),2890.0)</f>
        <v>2890</v>
      </c>
      <c r="E296" s="1">
        <f>IFERROR(__xludf.DUMMYFUNCTION("""COMPUTED_VALUE"""),2925.0)</f>
        <v>2925</v>
      </c>
      <c r="F296" s="1">
        <f>IFERROR(__xludf.DUMMYFUNCTION("""COMPUTED_VALUE"""),5103.0)</f>
        <v>5103</v>
      </c>
    </row>
    <row r="297">
      <c r="A297" s="2">
        <f>IFERROR(__xludf.DUMMYFUNCTION("""COMPUTED_VALUE"""),41613.645833333336)</f>
        <v>41613.64583</v>
      </c>
      <c r="B297" s="1">
        <f>IFERROR(__xludf.DUMMYFUNCTION("""COMPUTED_VALUE"""),2920.0)</f>
        <v>2920</v>
      </c>
      <c r="C297" s="1">
        <f>IFERROR(__xludf.DUMMYFUNCTION("""COMPUTED_VALUE"""),3080.0)</f>
        <v>3080</v>
      </c>
      <c r="D297" s="1">
        <f>IFERROR(__xludf.DUMMYFUNCTION("""COMPUTED_VALUE"""),2905.0)</f>
        <v>2905</v>
      </c>
      <c r="E297" s="1">
        <f>IFERROR(__xludf.DUMMYFUNCTION("""COMPUTED_VALUE"""),2950.0)</f>
        <v>2950</v>
      </c>
      <c r="F297" s="1">
        <f>IFERROR(__xludf.DUMMYFUNCTION("""COMPUTED_VALUE"""),18956.0)</f>
        <v>18956</v>
      </c>
    </row>
    <row r="298">
      <c r="A298" s="2">
        <f>IFERROR(__xludf.DUMMYFUNCTION("""COMPUTED_VALUE"""),41614.645833333336)</f>
        <v>41614.64583</v>
      </c>
      <c r="B298" s="1">
        <f>IFERROR(__xludf.DUMMYFUNCTION("""COMPUTED_VALUE"""),2620.0)</f>
        <v>2620</v>
      </c>
      <c r="C298" s="1">
        <f>IFERROR(__xludf.DUMMYFUNCTION("""COMPUTED_VALUE"""),2995.0)</f>
        <v>2995</v>
      </c>
      <c r="D298" s="1">
        <f>IFERROR(__xludf.DUMMYFUNCTION("""COMPUTED_VALUE"""),2620.0)</f>
        <v>2620</v>
      </c>
      <c r="E298" s="1">
        <f>IFERROR(__xludf.DUMMYFUNCTION("""COMPUTED_VALUE"""),2935.0)</f>
        <v>2935</v>
      </c>
      <c r="F298" s="1">
        <f>IFERROR(__xludf.DUMMYFUNCTION("""COMPUTED_VALUE"""),6778.0)</f>
        <v>6778</v>
      </c>
    </row>
    <row r="299">
      <c r="A299" s="2">
        <f>IFERROR(__xludf.DUMMYFUNCTION("""COMPUTED_VALUE"""),41617.645833333336)</f>
        <v>41617.64583</v>
      </c>
      <c r="B299" s="1">
        <f>IFERROR(__xludf.DUMMYFUNCTION("""COMPUTED_VALUE"""),3090.0)</f>
        <v>3090</v>
      </c>
      <c r="C299" s="1">
        <f>IFERROR(__xludf.DUMMYFUNCTION("""COMPUTED_VALUE"""),3090.0)</f>
        <v>3090</v>
      </c>
      <c r="D299" s="1">
        <f>IFERROR(__xludf.DUMMYFUNCTION("""COMPUTED_VALUE"""),2900.0)</f>
        <v>2900</v>
      </c>
      <c r="E299" s="1">
        <f>IFERROR(__xludf.DUMMYFUNCTION("""COMPUTED_VALUE"""),2905.0)</f>
        <v>2905</v>
      </c>
      <c r="F299" s="1">
        <f>IFERROR(__xludf.DUMMYFUNCTION("""COMPUTED_VALUE"""),4243.0)</f>
        <v>4243</v>
      </c>
    </row>
    <row r="300">
      <c r="A300" s="2">
        <f>IFERROR(__xludf.DUMMYFUNCTION("""COMPUTED_VALUE"""),41618.645833333336)</f>
        <v>41618.64583</v>
      </c>
      <c r="B300" s="1">
        <f>IFERROR(__xludf.DUMMYFUNCTION("""COMPUTED_VALUE"""),2800.0)</f>
        <v>2800</v>
      </c>
      <c r="C300" s="1">
        <f>IFERROR(__xludf.DUMMYFUNCTION("""COMPUTED_VALUE"""),3030.0)</f>
        <v>3030</v>
      </c>
      <c r="D300" s="1">
        <f>IFERROR(__xludf.DUMMYFUNCTION("""COMPUTED_VALUE"""),2800.0)</f>
        <v>2800</v>
      </c>
      <c r="E300" s="1">
        <f>IFERROR(__xludf.DUMMYFUNCTION("""COMPUTED_VALUE"""),3010.0)</f>
        <v>3010</v>
      </c>
      <c r="F300" s="1">
        <f>IFERROR(__xludf.DUMMYFUNCTION("""COMPUTED_VALUE"""),6479.0)</f>
        <v>6479</v>
      </c>
    </row>
    <row r="301">
      <c r="A301" s="2">
        <f>IFERROR(__xludf.DUMMYFUNCTION("""COMPUTED_VALUE"""),41619.645833333336)</f>
        <v>41619.64583</v>
      </c>
      <c r="B301" s="1">
        <f>IFERROR(__xludf.DUMMYFUNCTION("""COMPUTED_VALUE"""),3335.0)</f>
        <v>3335</v>
      </c>
      <c r="C301" s="1">
        <f>IFERROR(__xludf.DUMMYFUNCTION("""COMPUTED_VALUE"""),3335.0)</f>
        <v>3335</v>
      </c>
      <c r="D301" s="1">
        <f>IFERROR(__xludf.DUMMYFUNCTION("""COMPUTED_VALUE"""),2900.0)</f>
        <v>2900</v>
      </c>
      <c r="E301" s="1">
        <f>IFERROR(__xludf.DUMMYFUNCTION("""COMPUTED_VALUE"""),2940.0)</f>
        <v>2940</v>
      </c>
      <c r="F301" s="1">
        <f>IFERROR(__xludf.DUMMYFUNCTION("""COMPUTED_VALUE"""),5427.0)</f>
        <v>5427</v>
      </c>
    </row>
    <row r="302">
      <c r="A302" s="2">
        <f>IFERROR(__xludf.DUMMYFUNCTION("""COMPUTED_VALUE"""),41620.645833333336)</f>
        <v>41620.64583</v>
      </c>
      <c r="B302" s="1">
        <f>IFERROR(__xludf.DUMMYFUNCTION("""COMPUTED_VALUE"""),3050.0)</f>
        <v>3050</v>
      </c>
      <c r="C302" s="1">
        <f>IFERROR(__xludf.DUMMYFUNCTION("""COMPUTED_VALUE"""),3050.0)</f>
        <v>3050</v>
      </c>
      <c r="D302" s="1">
        <f>IFERROR(__xludf.DUMMYFUNCTION("""COMPUTED_VALUE"""),2860.0)</f>
        <v>2860</v>
      </c>
      <c r="E302" s="1">
        <f>IFERROR(__xludf.DUMMYFUNCTION("""COMPUTED_VALUE"""),2945.0)</f>
        <v>2945</v>
      </c>
      <c r="F302" s="1">
        <f>IFERROR(__xludf.DUMMYFUNCTION("""COMPUTED_VALUE"""),2846.0)</f>
        <v>2846</v>
      </c>
    </row>
    <row r="303">
      <c r="A303" s="2">
        <f>IFERROR(__xludf.DUMMYFUNCTION("""COMPUTED_VALUE"""),41621.645833333336)</f>
        <v>41621.64583</v>
      </c>
      <c r="B303" s="1">
        <f>IFERROR(__xludf.DUMMYFUNCTION("""COMPUTED_VALUE"""),2925.0)</f>
        <v>2925</v>
      </c>
      <c r="C303" s="1">
        <f>IFERROR(__xludf.DUMMYFUNCTION("""COMPUTED_VALUE"""),2930.0)</f>
        <v>2930</v>
      </c>
      <c r="D303" s="1">
        <f>IFERROR(__xludf.DUMMYFUNCTION("""COMPUTED_VALUE"""),2860.0)</f>
        <v>2860</v>
      </c>
      <c r="E303" s="1">
        <f>IFERROR(__xludf.DUMMYFUNCTION("""COMPUTED_VALUE"""),2925.0)</f>
        <v>2925</v>
      </c>
      <c r="F303" s="1">
        <f>IFERROR(__xludf.DUMMYFUNCTION("""COMPUTED_VALUE"""),886.0)</f>
        <v>886</v>
      </c>
    </row>
    <row r="304">
      <c r="A304" s="2">
        <f>IFERROR(__xludf.DUMMYFUNCTION("""COMPUTED_VALUE"""),41624.645833333336)</f>
        <v>41624.64583</v>
      </c>
      <c r="B304" s="1">
        <f>IFERROR(__xludf.DUMMYFUNCTION("""COMPUTED_VALUE"""),2850.0)</f>
        <v>2850</v>
      </c>
      <c r="C304" s="1">
        <f>IFERROR(__xludf.DUMMYFUNCTION("""COMPUTED_VALUE"""),2920.0)</f>
        <v>2920</v>
      </c>
      <c r="D304" s="1">
        <f>IFERROR(__xludf.DUMMYFUNCTION("""COMPUTED_VALUE"""),2830.0)</f>
        <v>2830</v>
      </c>
      <c r="E304" s="1">
        <f>IFERROR(__xludf.DUMMYFUNCTION("""COMPUTED_VALUE"""),2845.0)</f>
        <v>2845</v>
      </c>
      <c r="F304" s="1">
        <f>IFERROR(__xludf.DUMMYFUNCTION("""COMPUTED_VALUE"""),9050.0)</f>
        <v>9050</v>
      </c>
    </row>
    <row r="305">
      <c r="A305" s="2">
        <f>IFERROR(__xludf.DUMMYFUNCTION("""COMPUTED_VALUE"""),41625.645833333336)</f>
        <v>41625.64583</v>
      </c>
      <c r="B305" s="1">
        <f>IFERROR(__xludf.DUMMYFUNCTION("""COMPUTED_VALUE"""),2925.0)</f>
        <v>2925</v>
      </c>
      <c r="C305" s="1">
        <f>IFERROR(__xludf.DUMMYFUNCTION("""COMPUTED_VALUE"""),2925.0)</f>
        <v>2925</v>
      </c>
      <c r="D305" s="1">
        <f>IFERROR(__xludf.DUMMYFUNCTION("""COMPUTED_VALUE"""),2670.0)</f>
        <v>2670</v>
      </c>
      <c r="E305" s="1">
        <f>IFERROR(__xludf.DUMMYFUNCTION("""COMPUTED_VALUE"""),2795.0)</f>
        <v>2795</v>
      </c>
      <c r="F305" s="1">
        <f>IFERROR(__xludf.DUMMYFUNCTION("""COMPUTED_VALUE"""),14613.0)</f>
        <v>14613</v>
      </c>
    </row>
    <row r="306">
      <c r="A306" s="2">
        <f>IFERROR(__xludf.DUMMYFUNCTION("""COMPUTED_VALUE"""),41626.645833333336)</f>
        <v>41626.64583</v>
      </c>
      <c r="B306" s="1">
        <f>IFERROR(__xludf.DUMMYFUNCTION("""COMPUTED_VALUE"""),3050.0)</f>
        <v>3050</v>
      </c>
      <c r="C306" s="1">
        <f>IFERROR(__xludf.DUMMYFUNCTION("""COMPUTED_VALUE"""),3050.0)</f>
        <v>3050</v>
      </c>
      <c r="D306" s="1">
        <f>IFERROR(__xludf.DUMMYFUNCTION("""COMPUTED_VALUE"""),2625.0)</f>
        <v>2625</v>
      </c>
      <c r="E306" s="1">
        <f>IFERROR(__xludf.DUMMYFUNCTION("""COMPUTED_VALUE"""),2755.0)</f>
        <v>2755</v>
      </c>
      <c r="F306" s="1">
        <f>IFERROR(__xludf.DUMMYFUNCTION("""COMPUTED_VALUE"""),8170.0)</f>
        <v>8170</v>
      </c>
    </row>
    <row r="307">
      <c r="A307" s="2">
        <f>IFERROR(__xludf.DUMMYFUNCTION("""COMPUTED_VALUE"""),41627.645833333336)</f>
        <v>41627.64583</v>
      </c>
      <c r="B307" s="1">
        <f>IFERROR(__xludf.DUMMYFUNCTION("""COMPUTED_VALUE"""),2760.0)</f>
        <v>2760</v>
      </c>
      <c r="C307" s="1">
        <f>IFERROR(__xludf.DUMMYFUNCTION("""COMPUTED_VALUE"""),2830.0)</f>
        <v>2830</v>
      </c>
      <c r="D307" s="1">
        <f>IFERROR(__xludf.DUMMYFUNCTION("""COMPUTED_VALUE"""),2750.0)</f>
        <v>2750</v>
      </c>
      <c r="E307" s="1">
        <f>IFERROR(__xludf.DUMMYFUNCTION("""COMPUTED_VALUE"""),2800.0)</f>
        <v>2800</v>
      </c>
      <c r="F307" s="1">
        <f>IFERROR(__xludf.DUMMYFUNCTION("""COMPUTED_VALUE"""),4042.0)</f>
        <v>4042</v>
      </c>
    </row>
    <row r="308">
      <c r="A308" s="2">
        <f>IFERROR(__xludf.DUMMYFUNCTION("""COMPUTED_VALUE"""),41628.645833333336)</f>
        <v>41628.64583</v>
      </c>
      <c r="B308" s="1">
        <f>IFERROR(__xludf.DUMMYFUNCTION("""COMPUTED_VALUE"""),2890.0)</f>
        <v>2890</v>
      </c>
      <c r="C308" s="1">
        <f>IFERROR(__xludf.DUMMYFUNCTION("""COMPUTED_VALUE"""),2890.0)</f>
        <v>2890</v>
      </c>
      <c r="D308" s="1">
        <f>IFERROR(__xludf.DUMMYFUNCTION("""COMPUTED_VALUE"""),2780.0)</f>
        <v>2780</v>
      </c>
      <c r="E308" s="1">
        <f>IFERROR(__xludf.DUMMYFUNCTION("""COMPUTED_VALUE"""),2820.0)</f>
        <v>2820</v>
      </c>
      <c r="F308" s="1">
        <f>IFERROR(__xludf.DUMMYFUNCTION("""COMPUTED_VALUE"""),2241.0)</f>
        <v>2241</v>
      </c>
    </row>
    <row r="309">
      <c r="A309" s="2">
        <f>IFERROR(__xludf.DUMMYFUNCTION("""COMPUTED_VALUE"""),41631.645833333336)</f>
        <v>41631.64583</v>
      </c>
      <c r="B309" s="1">
        <f>IFERROR(__xludf.DUMMYFUNCTION("""COMPUTED_VALUE"""),2700.0)</f>
        <v>2700</v>
      </c>
      <c r="C309" s="1">
        <f>IFERROR(__xludf.DUMMYFUNCTION("""COMPUTED_VALUE"""),2820.0)</f>
        <v>2820</v>
      </c>
      <c r="D309" s="1">
        <f>IFERROR(__xludf.DUMMYFUNCTION("""COMPUTED_VALUE"""),2700.0)</f>
        <v>2700</v>
      </c>
      <c r="E309" s="1">
        <f>IFERROR(__xludf.DUMMYFUNCTION("""COMPUTED_VALUE"""),2750.0)</f>
        <v>2750</v>
      </c>
      <c r="F309" s="1">
        <f>IFERROR(__xludf.DUMMYFUNCTION("""COMPUTED_VALUE"""),12464.0)</f>
        <v>12464</v>
      </c>
    </row>
    <row r="310">
      <c r="A310" s="2">
        <f>IFERROR(__xludf.DUMMYFUNCTION("""COMPUTED_VALUE"""),41632.645833333336)</f>
        <v>41632.64583</v>
      </c>
      <c r="B310" s="1">
        <f>IFERROR(__xludf.DUMMYFUNCTION("""COMPUTED_VALUE"""),2700.0)</f>
        <v>2700</v>
      </c>
      <c r="C310" s="1">
        <f>IFERROR(__xludf.DUMMYFUNCTION("""COMPUTED_VALUE"""),2800.0)</f>
        <v>2800</v>
      </c>
      <c r="D310" s="1">
        <f>IFERROR(__xludf.DUMMYFUNCTION("""COMPUTED_VALUE"""),2695.0)</f>
        <v>2695</v>
      </c>
      <c r="E310" s="1">
        <f>IFERROR(__xludf.DUMMYFUNCTION("""COMPUTED_VALUE"""),2795.0)</f>
        <v>2795</v>
      </c>
      <c r="F310" s="1">
        <f>IFERROR(__xludf.DUMMYFUNCTION("""COMPUTED_VALUE"""),3975.0)</f>
        <v>3975</v>
      </c>
    </row>
    <row r="311">
      <c r="A311" s="2">
        <f>IFERROR(__xludf.DUMMYFUNCTION("""COMPUTED_VALUE"""),41634.645833333336)</f>
        <v>41634.64583</v>
      </c>
      <c r="B311" s="1">
        <f>IFERROR(__xludf.DUMMYFUNCTION("""COMPUTED_VALUE"""),2880.0)</f>
        <v>2880</v>
      </c>
      <c r="C311" s="1">
        <f>IFERROR(__xludf.DUMMYFUNCTION("""COMPUTED_VALUE"""),2880.0)</f>
        <v>2880</v>
      </c>
      <c r="D311" s="1">
        <f>IFERROR(__xludf.DUMMYFUNCTION("""COMPUTED_VALUE"""),2770.0)</f>
        <v>2770</v>
      </c>
      <c r="E311" s="1">
        <f>IFERROR(__xludf.DUMMYFUNCTION("""COMPUTED_VALUE"""),2800.0)</f>
        <v>2800</v>
      </c>
      <c r="F311" s="1">
        <f>IFERROR(__xludf.DUMMYFUNCTION("""COMPUTED_VALUE"""),943.0)</f>
        <v>943</v>
      </c>
    </row>
    <row r="312">
      <c r="A312" s="2">
        <f>IFERROR(__xludf.DUMMYFUNCTION("""COMPUTED_VALUE"""),41635.645833333336)</f>
        <v>41635.64583</v>
      </c>
      <c r="B312" s="1">
        <f>IFERROR(__xludf.DUMMYFUNCTION("""COMPUTED_VALUE"""),2840.0)</f>
        <v>2840</v>
      </c>
      <c r="C312" s="1">
        <f>IFERROR(__xludf.DUMMYFUNCTION("""COMPUTED_VALUE"""),2840.0)</f>
        <v>2840</v>
      </c>
      <c r="D312" s="1">
        <f>IFERROR(__xludf.DUMMYFUNCTION("""COMPUTED_VALUE"""),2615.0)</f>
        <v>2615</v>
      </c>
      <c r="E312" s="1">
        <f>IFERROR(__xludf.DUMMYFUNCTION("""COMPUTED_VALUE"""),2785.0)</f>
        <v>2785</v>
      </c>
      <c r="F312" s="1">
        <f>IFERROR(__xludf.DUMMYFUNCTION("""COMPUTED_VALUE"""),5995.0)</f>
        <v>5995</v>
      </c>
    </row>
    <row r="313">
      <c r="A313" s="2">
        <f>IFERROR(__xludf.DUMMYFUNCTION("""COMPUTED_VALUE"""),41638.645833333336)</f>
        <v>41638.64583</v>
      </c>
      <c r="B313" s="1">
        <f>IFERROR(__xludf.DUMMYFUNCTION("""COMPUTED_VALUE"""),2820.0)</f>
        <v>2820</v>
      </c>
      <c r="C313" s="1">
        <f>IFERROR(__xludf.DUMMYFUNCTION("""COMPUTED_VALUE"""),2820.0)</f>
        <v>2820</v>
      </c>
      <c r="D313" s="1">
        <f>IFERROR(__xludf.DUMMYFUNCTION("""COMPUTED_VALUE"""),2720.0)</f>
        <v>2720</v>
      </c>
      <c r="E313" s="1">
        <f>IFERROR(__xludf.DUMMYFUNCTION("""COMPUTED_VALUE"""),2820.0)</f>
        <v>2820</v>
      </c>
      <c r="F313" s="1">
        <f>IFERROR(__xludf.DUMMYFUNCTION("""COMPUTED_VALUE"""),1571.0)</f>
        <v>1571</v>
      </c>
    </row>
    <row r="314">
      <c r="A314" s="2">
        <f>IFERROR(__xludf.DUMMYFUNCTION("""COMPUTED_VALUE"""),41641.645833333336)</f>
        <v>41641.64583</v>
      </c>
      <c r="B314" s="1">
        <f>IFERROR(__xludf.DUMMYFUNCTION("""COMPUTED_VALUE"""),2890.0)</f>
        <v>2890</v>
      </c>
      <c r="C314" s="1">
        <f>IFERROR(__xludf.DUMMYFUNCTION("""COMPUTED_VALUE"""),2890.0)</f>
        <v>2890</v>
      </c>
      <c r="D314" s="1">
        <f>IFERROR(__xludf.DUMMYFUNCTION("""COMPUTED_VALUE"""),2660.0)</f>
        <v>2660</v>
      </c>
      <c r="E314" s="1">
        <f>IFERROR(__xludf.DUMMYFUNCTION("""COMPUTED_VALUE"""),2720.0)</f>
        <v>2720</v>
      </c>
      <c r="F314" s="1">
        <f>IFERROR(__xludf.DUMMYFUNCTION("""COMPUTED_VALUE"""),11660.0)</f>
        <v>11660</v>
      </c>
    </row>
    <row r="315">
      <c r="A315" s="2">
        <f>IFERROR(__xludf.DUMMYFUNCTION("""COMPUTED_VALUE"""),41642.645833333336)</f>
        <v>41642.64583</v>
      </c>
      <c r="B315" s="1">
        <f>IFERROR(__xludf.DUMMYFUNCTION("""COMPUTED_VALUE"""),2930.0)</f>
        <v>2930</v>
      </c>
      <c r="C315" s="1">
        <f>IFERROR(__xludf.DUMMYFUNCTION("""COMPUTED_VALUE"""),2930.0)</f>
        <v>2930</v>
      </c>
      <c r="D315" s="1">
        <f>IFERROR(__xludf.DUMMYFUNCTION("""COMPUTED_VALUE"""),2765.0)</f>
        <v>2765</v>
      </c>
      <c r="E315" s="1">
        <f>IFERROR(__xludf.DUMMYFUNCTION("""COMPUTED_VALUE"""),2840.0)</f>
        <v>2840</v>
      </c>
      <c r="F315" s="1">
        <f>IFERROR(__xludf.DUMMYFUNCTION("""COMPUTED_VALUE"""),495.0)</f>
        <v>495</v>
      </c>
    </row>
    <row r="316">
      <c r="A316" s="2">
        <f>IFERROR(__xludf.DUMMYFUNCTION("""COMPUTED_VALUE"""),41645.645833333336)</f>
        <v>41645.64583</v>
      </c>
      <c r="B316" s="1">
        <f>IFERROR(__xludf.DUMMYFUNCTION("""COMPUTED_VALUE"""),2830.0)</f>
        <v>2830</v>
      </c>
      <c r="C316" s="1">
        <f>IFERROR(__xludf.DUMMYFUNCTION("""COMPUTED_VALUE"""),2835.0)</f>
        <v>2835</v>
      </c>
      <c r="D316" s="1">
        <f>IFERROR(__xludf.DUMMYFUNCTION("""COMPUTED_VALUE"""),2705.0)</f>
        <v>2705</v>
      </c>
      <c r="E316" s="1">
        <f>IFERROR(__xludf.DUMMYFUNCTION("""COMPUTED_VALUE"""),2770.0)</f>
        <v>2770</v>
      </c>
      <c r="F316" s="1">
        <f>IFERROR(__xludf.DUMMYFUNCTION("""COMPUTED_VALUE"""),5394.0)</f>
        <v>5394</v>
      </c>
    </row>
    <row r="317">
      <c r="A317" s="2">
        <f>IFERROR(__xludf.DUMMYFUNCTION("""COMPUTED_VALUE"""),41646.645833333336)</f>
        <v>41646.64583</v>
      </c>
      <c r="B317" s="1">
        <f>IFERROR(__xludf.DUMMYFUNCTION("""COMPUTED_VALUE"""),2770.0)</f>
        <v>2770</v>
      </c>
      <c r="C317" s="1">
        <f>IFERROR(__xludf.DUMMYFUNCTION("""COMPUTED_VALUE"""),2880.0)</f>
        <v>2880</v>
      </c>
      <c r="D317" s="1">
        <f>IFERROR(__xludf.DUMMYFUNCTION("""COMPUTED_VALUE"""),2710.0)</f>
        <v>2710</v>
      </c>
      <c r="E317" s="1">
        <f>IFERROR(__xludf.DUMMYFUNCTION("""COMPUTED_VALUE"""),2825.0)</f>
        <v>2825</v>
      </c>
      <c r="F317" s="1">
        <f>IFERROR(__xludf.DUMMYFUNCTION("""COMPUTED_VALUE"""),2928.0)</f>
        <v>2928</v>
      </c>
    </row>
    <row r="318">
      <c r="A318" s="2">
        <f>IFERROR(__xludf.DUMMYFUNCTION("""COMPUTED_VALUE"""),41647.645833333336)</f>
        <v>41647.64583</v>
      </c>
      <c r="B318" s="1">
        <f>IFERROR(__xludf.DUMMYFUNCTION("""COMPUTED_VALUE"""),2900.0)</f>
        <v>2900</v>
      </c>
      <c r="C318" s="1">
        <f>IFERROR(__xludf.DUMMYFUNCTION("""COMPUTED_VALUE"""),2900.0)</f>
        <v>2900</v>
      </c>
      <c r="D318" s="1">
        <f>IFERROR(__xludf.DUMMYFUNCTION("""COMPUTED_VALUE"""),2730.0)</f>
        <v>2730</v>
      </c>
      <c r="E318" s="1">
        <f>IFERROR(__xludf.DUMMYFUNCTION("""COMPUTED_VALUE"""),2790.0)</f>
        <v>2790</v>
      </c>
      <c r="F318" s="1">
        <f>IFERROR(__xludf.DUMMYFUNCTION("""COMPUTED_VALUE"""),2594.0)</f>
        <v>2594</v>
      </c>
    </row>
    <row r="319">
      <c r="A319" s="2">
        <f>IFERROR(__xludf.DUMMYFUNCTION("""COMPUTED_VALUE"""),41648.645833333336)</f>
        <v>41648.64583</v>
      </c>
      <c r="B319" s="1">
        <f>IFERROR(__xludf.DUMMYFUNCTION("""COMPUTED_VALUE"""),2900.0)</f>
        <v>2900</v>
      </c>
      <c r="C319" s="1">
        <f>IFERROR(__xludf.DUMMYFUNCTION("""COMPUTED_VALUE"""),2945.0)</f>
        <v>2945</v>
      </c>
      <c r="D319" s="1">
        <f>IFERROR(__xludf.DUMMYFUNCTION("""COMPUTED_VALUE"""),2840.0)</f>
        <v>2840</v>
      </c>
      <c r="E319" s="1">
        <f>IFERROR(__xludf.DUMMYFUNCTION("""COMPUTED_VALUE"""),2945.0)</f>
        <v>2945</v>
      </c>
      <c r="F319" s="1">
        <f>IFERROR(__xludf.DUMMYFUNCTION("""COMPUTED_VALUE"""),6245.0)</f>
        <v>6245</v>
      </c>
    </row>
    <row r="320">
      <c r="A320" s="2">
        <f>IFERROR(__xludf.DUMMYFUNCTION("""COMPUTED_VALUE"""),41649.645833333336)</f>
        <v>41649.64583</v>
      </c>
      <c r="B320" s="1">
        <f>IFERROR(__xludf.DUMMYFUNCTION("""COMPUTED_VALUE"""),2930.0)</f>
        <v>2930</v>
      </c>
      <c r="C320" s="1">
        <f>IFERROR(__xludf.DUMMYFUNCTION("""COMPUTED_VALUE"""),2990.0)</f>
        <v>2990</v>
      </c>
      <c r="D320" s="1">
        <f>IFERROR(__xludf.DUMMYFUNCTION("""COMPUTED_VALUE"""),2880.0)</f>
        <v>2880</v>
      </c>
      <c r="E320" s="1">
        <f>IFERROR(__xludf.DUMMYFUNCTION("""COMPUTED_VALUE"""),2990.0)</f>
        <v>2990</v>
      </c>
      <c r="F320" s="1">
        <f>IFERROR(__xludf.DUMMYFUNCTION("""COMPUTED_VALUE"""),6651.0)</f>
        <v>6651</v>
      </c>
    </row>
    <row r="321">
      <c r="A321" s="2">
        <f>IFERROR(__xludf.DUMMYFUNCTION("""COMPUTED_VALUE"""),41652.645833333336)</f>
        <v>41652.64583</v>
      </c>
      <c r="B321" s="1">
        <f>IFERROR(__xludf.DUMMYFUNCTION("""COMPUTED_VALUE"""),3325.0)</f>
        <v>3325</v>
      </c>
      <c r="C321" s="1">
        <f>IFERROR(__xludf.DUMMYFUNCTION("""COMPUTED_VALUE"""),3325.0)</f>
        <v>3325</v>
      </c>
      <c r="D321" s="1">
        <f>IFERROR(__xludf.DUMMYFUNCTION("""COMPUTED_VALUE"""),2835.0)</f>
        <v>2835</v>
      </c>
      <c r="E321" s="1">
        <f>IFERROR(__xludf.DUMMYFUNCTION("""COMPUTED_VALUE"""),2870.0)</f>
        <v>2870</v>
      </c>
      <c r="F321" s="1">
        <f>IFERROR(__xludf.DUMMYFUNCTION("""COMPUTED_VALUE"""),5666.0)</f>
        <v>5666</v>
      </c>
    </row>
    <row r="322">
      <c r="A322" s="2">
        <f>IFERROR(__xludf.DUMMYFUNCTION("""COMPUTED_VALUE"""),41653.645833333336)</f>
        <v>41653.64583</v>
      </c>
      <c r="B322" s="1">
        <f>IFERROR(__xludf.DUMMYFUNCTION("""COMPUTED_VALUE"""),2870.0)</f>
        <v>2870</v>
      </c>
      <c r="C322" s="1">
        <f>IFERROR(__xludf.DUMMYFUNCTION("""COMPUTED_VALUE"""),3095.0)</f>
        <v>3095</v>
      </c>
      <c r="D322" s="1">
        <f>IFERROR(__xludf.DUMMYFUNCTION("""COMPUTED_VALUE"""),2870.0)</f>
        <v>2870</v>
      </c>
      <c r="E322" s="1">
        <f>IFERROR(__xludf.DUMMYFUNCTION("""COMPUTED_VALUE"""),2980.0)</f>
        <v>2980</v>
      </c>
      <c r="F322" s="1">
        <f>IFERROR(__xludf.DUMMYFUNCTION("""COMPUTED_VALUE"""),5939.0)</f>
        <v>5939</v>
      </c>
    </row>
    <row r="323">
      <c r="A323" s="2">
        <f>IFERROR(__xludf.DUMMYFUNCTION("""COMPUTED_VALUE"""),41654.645833333336)</f>
        <v>41654.64583</v>
      </c>
      <c r="B323" s="1">
        <f>IFERROR(__xludf.DUMMYFUNCTION("""COMPUTED_VALUE"""),3010.0)</f>
        <v>3010</v>
      </c>
      <c r="C323" s="1">
        <f>IFERROR(__xludf.DUMMYFUNCTION("""COMPUTED_VALUE"""),3030.0)</f>
        <v>3030</v>
      </c>
      <c r="D323" s="1">
        <f>IFERROR(__xludf.DUMMYFUNCTION("""COMPUTED_VALUE"""),2900.0)</f>
        <v>2900</v>
      </c>
      <c r="E323" s="1">
        <f>IFERROR(__xludf.DUMMYFUNCTION("""COMPUTED_VALUE"""),2900.0)</f>
        <v>2900</v>
      </c>
      <c r="F323" s="1">
        <f>IFERROR(__xludf.DUMMYFUNCTION("""COMPUTED_VALUE"""),19011.0)</f>
        <v>19011</v>
      </c>
    </row>
    <row r="324">
      <c r="A324" s="2">
        <f>IFERROR(__xludf.DUMMYFUNCTION("""COMPUTED_VALUE"""),41655.645833333336)</f>
        <v>41655.64583</v>
      </c>
      <c r="B324" s="1">
        <f>IFERROR(__xludf.DUMMYFUNCTION("""COMPUTED_VALUE"""),3000.0)</f>
        <v>3000</v>
      </c>
      <c r="C324" s="1">
        <f>IFERROR(__xludf.DUMMYFUNCTION("""COMPUTED_VALUE"""),3000.0)</f>
        <v>3000</v>
      </c>
      <c r="D324" s="1">
        <f>IFERROR(__xludf.DUMMYFUNCTION("""COMPUTED_VALUE"""),2920.0)</f>
        <v>2920</v>
      </c>
      <c r="E324" s="1">
        <f>IFERROR(__xludf.DUMMYFUNCTION("""COMPUTED_VALUE"""),2950.0)</f>
        <v>2950</v>
      </c>
      <c r="F324" s="1">
        <f>IFERROR(__xludf.DUMMYFUNCTION("""COMPUTED_VALUE"""),3346.0)</f>
        <v>3346</v>
      </c>
    </row>
    <row r="325">
      <c r="A325" s="2">
        <f>IFERROR(__xludf.DUMMYFUNCTION("""COMPUTED_VALUE"""),41656.645833333336)</f>
        <v>41656.64583</v>
      </c>
      <c r="B325" s="1">
        <f>IFERROR(__xludf.DUMMYFUNCTION("""COMPUTED_VALUE"""),2970.0)</f>
        <v>2970</v>
      </c>
      <c r="C325" s="1">
        <f>IFERROR(__xludf.DUMMYFUNCTION("""COMPUTED_VALUE"""),3000.0)</f>
        <v>3000</v>
      </c>
      <c r="D325" s="1">
        <f>IFERROR(__xludf.DUMMYFUNCTION("""COMPUTED_VALUE"""),2825.0)</f>
        <v>2825</v>
      </c>
      <c r="E325" s="1">
        <f>IFERROR(__xludf.DUMMYFUNCTION("""COMPUTED_VALUE"""),2950.0)</f>
        <v>2950</v>
      </c>
      <c r="F325" s="1">
        <f>IFERROR(__xludf.DUMMYFUNCTION("""COMPUTED_VALUE"""),4442.0)</f>
        <v>4442</v>
      </c>
    </row>
    <row r="326">
      <c r="A326" s="2">
        <f>IFERROR(__xludf.DUMMYFUNCTION("""COMPUTED_VALUE"""),41659.645833333336)</f>
        <v>41659.64583</v>
      </c>
      <c r="B326" s="1">
        <f>IFERROR(__xludf.DUMMYFUNCTION("""COMPUTED_VALUE"""),2960.0)</f>
        <v>2960</v>
      </c>
      <c r="C326" s="1">
        <f>IFERROR(__xludf.DUMMYFUNCTION("""COMPUTED_VALUE"""),3080.0)</f>
        <v>3080</v>
      </c>
      <c r="D326" s="1">
        <f>IFERROR(__xludf.DUMMYFUNCTION("""COMPUTED_VALUE"""),2830.0)</f>
        <v>2830</v>
      </c>
      <c r="E326" s="1">
        <f>IFERROR(__xludf.DUMMYFUNCTION("""COMPUTED_VALUE"""),2910.0)</f>
        <v>2910</v>
      </c>
      <c r="F326" s="1">
        <f>IFERROR(__xludf.DUMMYFUNCTION("""COMPUTED_VALUE"""),7613.0)</f>
        <v>7613</v>
      </c>
    </row>
    <row r="327">
      <c r="A327" s="2">
        <f>IFERROR(__xludf.DUMMYFUNCTION("""COMPUTED_VALUE"""),41660.645833333336)</f>
        <v>41660.64583</v>
      </c>
      <c r="B327" s="1">
        <f>IFERROR(__xludf.DUMMYFUNCTION("""COMPUTED_VALUE"""),2895.0)</f>
        <v>2895</v>
      </c>
      <c r="C327" s="1">
        <f>IFERROR(__xludf.DUMMYFUNCTION("""COMPUTED_VALUE"""),2950.0)</f>
        <v>2950</v>
      </c>
      <c r="D327" s="1">
        <f>IFERROR(__xludf.DUMMYFUNCTION("""COMPUTED_VALUE"""),2810.0)</f>
        <v>2810</v>
      </c>
      <c r="E327" s="1">
        <f>IFERROR(__xludf.DUMMYFUNCTION("""COMPUTED_VALUE"""),2885.0)</f>
        <v>2885</v>
      </c>
      <c r="F327" s="1">
        <f>IFERROR(__xludf.DUMMYFUNCTION("""COMPUTED_VALUE"""),16021.0)</f>
        <v>16021</v>
      </c>
    </row>
    <row r="328">
      <c r="A328" s="2">
        <f>IFERROR(__xludf.DUMMYFUNCTION("""COMPUTED_VALUE"""),41661.645833333336)</f>
        <v>41661.64583</v>
      </c>
      <c r="B328" s="1">
        <f>IFERROR(__xludf.DUMMYFUNCTION("""COMPUTED_VALUE"""),2885.0)</f>
        <v>2885</v>
      </c>
      <c r="C328" s="1">
        <f>IFERROR(__xludf.DUMMYFUNCTION("""COMPUTED_VALUE"""),2885.0)</f>
        <v>2885</v>
      </c>
      <c r="D328" s="1">
        <f>IFERROR(__xludf.DUMMYFUNCTION("""COMPUTED_VALUE"""),2650.0)</f>
        <v>2650</v>
      </c>
      <c r="E328" s="1">
        <f>IFERROR(__xludf.DUMMYFUNCTION("""COMPUTED_VALUE"""),2800.0)</f>
        <v>2800</v>
      </c>
      <c r="F328" s="1">
        <f>IFERROR(__xludf.DUMMYFUNCTION("""COMPUTED_VALUE"""),17943.0)</f>
        <v>17943</v>
      </c>
    </row>
    <row r="329">
      <c r="A329" s="2">
        <f>IFERROR(__xludf.DUMMYFUNCTION("""COMPUTED_VALUE"""),41662.645833333336)</f>
        <v>41662.64583</v>
      </c>
      <c r="B329" s="1">
        <f>IFERROR(__xludf.DUMMYFUNCTION("""COMPUTED_VALUE"""),2990.0)</f>
        <v>2990</v>
      </c>
      <c r="C329" s="1">
        <f>IFERROR(__xludf.DUMMYFUNCTION("""COMPUTED_VALUE"""),2990.0)</f>
        <v>2990</v>
      </c>
      <c r="D329" s="1">
        <f>IFERROR(__xludf.DUMMYFUNCTION("""COMPUTED_VALUE"""),2770.0)</f>
        <v>2770</v>
      </c>
      <c r="E329" s="1">
        <f>IFERROR(__xludf.DUMMYFUNCTION("""COMPUTED_VALUE"""),2830.0)</f>
        <v>2830</v>
      </c>
      <c r="F329" s="1">
        <f>IFERROR(__xludf.DUMMYFUNCTION("""COMPUTED_VALUE"""),2354.0)</f>
        <v>2354</v>
      </c>
    </row>
    <row r="330">
      <c r="A330" s="2">
        <f>IFERROR(__xludf.DUMMYFUNCTION("""COMPUTED_VALUE"""),41663.645833333336)</f>
        <v>41663.64583</v>
      </c>
      <c r="B330" s="1">
        <f>IFERROR(__xludf.DUMMYFUNCTION("""COMPUTED_VALUE"""),2945.0)</f>
        <v>2945</v>
      </c>
      <c r="C330" s="1">
        <f>IFERROR(__xludf.DUMMYFUNCTION("""COMPUTED_VALUE"""),2945.0)</f>
        <v>2945</v>
      </c>
      <c r="D330" s="1">
        <f>IFERROR(__xludf.DUMMYFUNCTION("""COMPUTED_VALUE"""),2745.0)</f>
        <v>2745</v>
      </c>
      <c r="E330" s="1">
        <f>IFERROR(__xludf.DUMMYFUNCTION("""COMPUTED_VALUE"""),2795.0)</f>
        <v>2795</v>
      </c>
      <c r="F330" s="1">
        <f>IFERROR(__xludf.DUMMYFUNCTION("""COMPUTED_VALUE"""),1967.0)</f>
        <v>1967</v>
      </c>
    </row>
    <row r="331">
      <c r="A331" s="2">
        <f>IFERROR(__xludf.DUMMYFUNCTION("""COMPUTED_VALUE"""),41666.645833333336)</f>
        <v>41666.64583</v>
      </c>
      <c r="B331" s="1">
        <f>IFERROR(__xludf.DUMMYFUNCTION("""COMPUTED_VALUE"""),2695.0)</f>
        <v>2695</v>
      </c>
      <c r="C331" s="1">
        <f>IFERROR(__xludf.DUMMYFUNCTION("""COMPUTED_VALUE"""),2805.0)</f>
        <v>2805</v>
      </c>
      <c r="D331" s="1">
        <f>IFERROR(__xludf.DUMMYFUNCTION("""COMPUTED_VALUE"""),2470.0)</f>
        <v>2470</v>
      </c>
      <c r="E331" s="1">
        <f>IFERROR(__xludf.DUMMYFUNCTION("""COMPUTED_VALUE"""),2710.0)</f>
        <v>2710</v>
      </c>
      <c r="F331" s="1">
        <f>IFERROR(__xludf.DUMMYFUNCTION("""COMPUTED_VALUE"""),10200.0)</f>
        <v>10200</v>
      </c>
    </row>
    <row r="332">
      <c r="A332" s="2">
        <f>IFERROR(__xludf.DUMMYFUNCTION("""COMPUTED_VALUE"""),41667.645833333336)</f>
        <v>41667.64583</v>
      </c>
      <c r="B332" s="1">
        <f>IFERROR(__xludf.DUMMYFUNCTION("""COMPUTED_VALUE"""),2665.0)</f>
        <v>2665</v>
      </c>
      <c r="C332" s="1">
        <f>IFERROR(__xludf.DUMMYFUNCTION("""COMPUTED_VALUE"""),2870.0)</f>
        <v>2870</v>
      </c>
      <c r="D332" s="1">
        <f>IFERROR(__xludf.DUMMYFUNCTION("""COMPUTED_VALUE"""),2665.0)</f>
        <v>2665</v>
      </c>
      <c r="E332" s="1">
        <f>IFERROR(__xludf.DUMMYFUNCTION("""COMPUTED_VALUE"""),2855.0)</f>
        <v>2855</v>
      </c>
      <c r="F332" s="1">
        <f>IFERROR(__xludf.DUMMYFUNCTION("""COMPUTED_VALUE"""),27316.0)</f>
        <v>27316</v>
      </c>
    </row>
    <row r="333">
      <c r="A333" s="2">
        <f>IFERROR(__xludf.DUMMYFUNCTION("""COMPUTED_VALUE"""),41668.645833333336)</f>
        <v>41668.64583</v>
      </c>
      <c r="B333" s="1">
        <f>IFERROR(__xludf.DUMMYFUNCTION("""COMPUTED_VALUE"""),2900.0)</f>
        <v>2900</v>
      </c>
      <c r="C333" s="1">
        <f>IFERROR(__xludf.DUMMYFUNCTION("""COMPUTED_VALUE"""),2945.0)</f>
        <v>2945</v>
      </c>
      <c r="D333" s="1">
        <f>IFERROR(__xludf.DUMMYFUNCTION("""COMPUTED_VALUE"""),2830.0)</f>
        <v>2830</v>
      </c>
      <c r="E333" s="1">
        <f>IFERROR(__xludf.DUMMYFUNCTION("""COMPUTED_VALUE"""),2900.0)</f>
        <v>2900</v>
      </c>
      <c r="F333" s="1">
        <f>IFERROR(__xludf.DUMMYFUNCTION("""COMPUTED_VALUE"""),1610.0)</f>
        <v>1610</v>
      </c>
    </row>
    <row r="334">
      <c r="A334" s="2">
        <f>IFERROR(__xludf.DUMMYFUNCTION("""COMPUTED_VALUE"""),41673.645833333336)</f>
        <v>41673.64583</v>
      </c>
      <c r="B334" s="1">
        <f>IFERROR(__xludf.DUMMYFUNCTION("""COMPUTED_VALUE"""),2950.0)</f>
        <v>2950</v>
      </c>
      <c r="C334" s="1">
        <f>IFERROR(__xludf.DUMMYFUNCTION("""COMPUTED_VALUE"""),2950.0)</f>
        <v>2950</v>
      </c>
      <c r="D334" s="1">
        <f>IFERROR(__xludf.DUMMYFUNCTION("""COMPUTED_VALUE"""),2900.0)</f>
        <v>2900</v>
      </c>
      <c r="E334" s="1">
        <f>IFERROR(__xludf.DUMMYFUNCTION("""COMPUTED_VALUE"""),2900.0)</f>
        <v>2900</v>
      </c>
      <c r="F334" s="1">
        <f>IFERROR(__xludf.DUMMYFUNCTION("""COMPUTED_VALUE"""),3390.0)</f>
        <v>3390</v>
      </c>
    </row>
    <row r="335">
      <c r="A335" s="2">
        <f>IFERROR(__xludf.DUMMYFUNCTION("""COMPUTED_VALUE"""),41674.645833333336)</f>
        <v>41674.64583</v>
      </c>
      <c r="B335" s="1">
        <f>IFERROR(__xludf.DUMMYFUNCTION("""COMPUTED_VALUE"""),2890.0)</f>
        <v>2890</v>
      </c>
      <c r="C335" s="1">
        <f>IFERROR(__xludf.DUMMYFUNCTION("""COMPUTED_VALUE"""),2890.0)</f>
        <v>2890</v>
      </c>
      <c r="D335" s="1">
        <f>IFERROR(__xludf.DUMMYFUNCTION("""COMPUTED_VALUE"""),2800.0)</f>
        <v>2800</v>
      </c>
      <c r="E335" s="1">
        <f>IFERROR(__xludf.DUMMYFUNCTION("""COMPUTED_VALUE"""),2890.0)</f>
        <v>2890</v>
      </c>
      <c r="F335" s="1">
        <f>IFERROR(__xludf.DUMMYFUNCTION("""COMPUTED_VALUE"""),3012.0)</f>
        <v>3012</v>
      </c>
    </row>
    <row r="336">
      <c r="A336" s="2">
        <f>IFERROR(__xludf.DUMMYFUNCTION("""COMPUTED_VALUE"""),41675.645833333336)</f>
        <v>41675.64583</v>
      </c>
      <c r="B336" s="1">
        <f>IFERROR(__xludf.DUMMYFUNCTION("""COMPUTED_VALUE"""),2890.0)</f>
        <v>2890</v>
      </c>
      <c r="C336" s="1">
        <f>IFERROR(__xludf.DUMMYFUNCTION("""COMPUTED_VALUE"""),2890.0)</f>
        <v>2890</v>
      </c>
      <c r="D336" s="1">
        <f>IFERROR(__xludf.DUMMYFUNCTION("""COMPUTED_VALUE"""),2780.0)</f>
        <v>2780</v>
      </c>
      <c r="E336" s="1">
        <f>IFERROR(__xludf.DUMMYFUNCTION("""COMPUTED_VALUE"""),2835.0)</f>
        <v>2835</v>
      </c>
      <c r="F336" s="1">
        <f>IFERROR(__xludf.DUMMYFUNCTION("""COMPUTED_VALUE"""),11689.0)</f>
        <v>11689</v>
      </c>
    </row>
    <row r="337">
      <c r="A337" s="2">
        <f>IFERROR(__xludf.DUMMYFUNCTION("""COMPUTED_VALUE"""),41676.645833333336)</f>
        <v>41676.64583</v>
      </c>
      <c r="B337" s="1">
        <f>IFERROR(__xludf.DUMMYFUNCTION("""COMPUTED_VALUE"""),2810.0)</f>
        <v>2810</v>
      </c>
      <c r="C337" s="1">
        <f>IFERROR(__xludf.DUMMYFUNCTION("""COMPUTED_VALUE"""),2840.0)</f>
        <v>2840</v>
      </c>
      <c r="D337" s="1">
        <f>IFERROR(__xludf.DUMMYFUNCTION("""COMPUTED_VALUE"""),2705.0)</f>
        <v>2705</v>
      </c>
      <c r="E337" s="1">
        <f>IFERROR(__xludf.DUMMYFUNCTION("""COMPUTED_VALUE"""),2735.0)</f>
        <v>2735</v>
      </c>
      <c r="F337" s="1">
        <f>IFERROR(__xludf.DUMMYFUNCTION("""COMPUTED_VALUE"""),13925.0)</f>
        <v>13925</v>
      </c>
    </row>
    <row r="338">
      <c r="A338" s="2">
        <f>IFERROR(__xludf.DUMMYFUNCTION("""COMPUTED_VALUE"""),41677.645833333336)</f>
        <v>41677.64583</v>
      </c>
      <c r="B338" s="1">
        <f>IFERROR(__xludf.DUMMYFUNCTION("""COMPUTED_VALUE"""),2765.0)</f>
        <v>2765</v>
      </c>
      <c r="C338" s="1">
        <f>IFERROR(__xludf.DUMMYFUNCTION("""COMPUTED_VALUE"""),2845.0)</f>
        <v>2845</v>
      </c>
      <c r="D338" s="1">
        <f>IFERROR(__xludf.DUMMYFUNCTION("""COMPUTED_VALUE"""),2700.0)</f>
        <v>2700</v>
      </c>
      <c r="E338" s="1">
        <f>IFERROR(__xludf.DUMMYFUNCTION("""COMPUTED_VALUE"""),2810.0)</f>
        <v>2810</v>
      </c>
      <c r="F338" s="1">
        <f>IFERROR(__xludf.DUMMYFUNCTION("""COMPUTED_VALUE"""),42771.0)</f>
        <v>42771</v>
      </c>
    </row>
    <row r="339">
      <c r="A339" s="2">
        <f>IFERROR(__xludf.DUMMYFUNCTION("""COMPUTED_VALUE"""),41680.645833333336)</f>
        <v>41680.64583</v>
      </c>
      <c r="B339" s="1">
        <f>IFERROR(__xludf.DUMMYFUNCTION("""COMPUTED_VALUE"""),2900.0)</f>
        <v>2900</v>
      </c>
      <c r="C339" s="1">
        <f>IFERROR(__xludf.DUMMYFUNCTION("""COMPUTED_VALUE"""),2900.0)</f>
        <v>2900</v>
      </c>
      <c r="D339" s="1">
        <f>IFERROR(__xludf.DUMMYFUNCTION("""COMPUTED_VALUE"""),2685.0)</f>
        <v>2685</v>
      </c>
      <c r="E339" s="1">
        <f>IFERROR(__xludf.DUMMYFUNCTION("""COMPUTED_VALUE"""),2780.0)</f>
        <v>2780</v>
      </c>
      <c r="F339" s="1">
        <f>IFERROR(__xludf.DUMMYFUNCTION("""COMPUTED_VALUE"""),14789.0)</f>
        <v>14789</v>
      </c>
    </row>
    <row r="340">
      <c r="A340" s="2">
        <f>IFERROR(__xludf.DUMMYFUNCTION("""COMPUTED_VALUE"""),41681.645833333336)</f>
        <v>41681.64583</v>
      </c>
      <c r="B340" s="1">
        <f>IFERROR(__xludf.DUMMYFUNCTION("""COMPUTED_VALUE"""),2705.0)</f>
        <v>2705</v>
      </c>
      <c r="C340" s="1">
        <f>IFERROR(__xludf.DUMMYFUNCTION("""COMPUTED_VALUE"""),2895.0)</f>
        <v>2895</v>
      </c>
      <c r="D340" s="1">
        <f>IFERROR(__xludf.DUMMYFUNCTION("""COMPUTED_VALUE"""),2705.0)</f>
        <v>2705</v>
      </c>
      <c r="E340" s="1">
        <f>IFERROR(__xludf.DUMMYFUNCTION("""COMPUTED_VALUE"""),2830.0)</f>
        <v>2830</v>
      </c>
      <c r="F340" s="1">
        <f>IFERROR(__xludf.DUMMYFUNCTION("""COMPUTED_VALUE"""),3749.0)</f>
        <v>3749</v>
      </c>
    </row>
    <row r="341">
      <c r="A341" s="2">
        <f>IFERROR(__xludf.DUMMYFUNCTION("""COMPUTED_VALUE"""),41682.645833333336)</f>
        <v>41682.64583</v>
      </c>
      <c r="B341" s="1">
        <f>IFERROR(__xludf.DUMMYFUNCTION("""COMPUTED_VALUE"""),2925.0)</f>
        <v>2925</v>
      </c>
      <c r="C341" s="1">
        <f>IFERROR(__xludf.DUMMYFUNCTION("""COMPUTED_VALUE"""),2925.0)</f>
        <v>2925</v>
      </c>
      <c r="D341" s="1">
        <f>IFERROR(__xludf.DUMMYFUNCTION("""COMPUTED_VALUE"""),2785.0)</f>
        <v>2785</v>
      </c>
      <c r="E341" s="1">
        <f>IFERROR(__xludf.DUMMYFUNCTION("""COMPUTED_VALUE"""),2860.0)</f>
        <v>2860</v>
      </c>
      <c r="F341" s="1">
        <f>IFERROR(__xludf.DUMMYFUNCTION("""COMPUTED_VALUE"""),6944.0)</f>
        <v>6944</v>
      </c>
    </row>
    <row r="342">
      <c r="A342" s="2">
        <f>IFERROR(__xludf.DUMMYFUNCTION("""COMPUTED_VALUE"""),41683.645833333336)</f>
        <v>41683.64583</v>
      </c>
      <c r="B342" s="1">
        <f>IFERROR(__xludf.DUMMYFUNCTION("""COMPUTED_VALUE"""),2860.0)</f>
        <v>2860</v>
      </c>
      <c r="C342" s="1">
        <f>IFERROR(__xludf.DUMMYFUNCTION("""COMPUTED_VALUE"""),2860.0)</f>
        <v>2860</v>
      </c>
      <c r="D342" s="1">
        <f>IFERROR(__xludf.DUMMYFUNCTION("""COMPUTED_VALUE"""),2805.0)</f>
        <v>2805</v>
      </c>
      <c r="E342" s="1">
        <f>IFERROR(__xludf.DUMMYFUNCTION("""COMPUTED_VALUE"""),2850.0)</f>
        <v>2850</v>
      </c>
      <c r="F342" s="1">
        <f>IFERROR(__xludf.DUMMYFUNCTION("""COMPUTED_VALUE"""),3627.0)</f>
        <v>3627</v>
      </c>
    </row>
    <row r="343">
      <c r="A343" s="2">
        <f>IFERROR(__xludf.DUMMYFUNCTION("""COMPUTED_VALUE"""),41684.645833333336)</f>
        <v>41684.64583</v>
      </c>
      <c r="B343" s="1">
        <f>IFERROR(__xludf.DUMMYFUNCTION("""COMPUTED_VALUE"""),2820.0)</f>
        <v>2820</v>
      </c>
      <c r="C343" s="1">
        <f>IFERROR(__xludf.DUMMYFUNCTION("""COMPUTED_VALUE"""),2865.0)</f>
        <v>2865</v>
      </c>
      <c r="D343" s="1">
        <f>IFERROR(__xludf.DUMMYFUNCTION("""COMPUTED_VALUE"""),2805.0)</f>
        <v>2805</v>
      </c>
      <c r="E343" s="1">
        <f>IFERROR(__xludf.DUMMYFUNCTION("""COMPUTED_VALUE"""),2850.0)</f>
        <v>2850</v>
      </c>
      <c r="F343" s="1">
        <f>IFERROR(__xludf.DUMMYFUNCTION("""COMPUTED_VALUE"""),14510.0)</f>
        <v>14510</v>
      </c>
    </row>
    <row r="344">
      <c r="A344" s="2">
        <f>IFERROR(__xludf.DUMMYFUNCTION("""COMPUTED_VALUE"""),41687.645833333336)</f>
        <v>41687.64583</v>
      </c>
      <c r="B344" s="1">
        <f>IFERROR(__xludf.DUMMYFUNCTION("""COMPUTED_VALUE"""),2765.0)</f>
        <v>2765</v>
      </c>
      <c r="C344" s="1">
        <f>IFERROR(__xludf.DUMMYFUNCTION("""COMPUTED_VALUE"""),2855.0)</f>
        <v>2855</v>
      </c>
      <c r="D344" s="1">
        <f>IFERROR(__xludf.DUMMYFUNCTION("""COMPUTED_VALUE"""),2765.0)</f>
        <v>2765</v>
      </c>
      <c r="E344" s="1">
        <f>IFERROR(__xludf.DUMMYFUNCTION("""COMPUTED_VALUE"""),2820.0)</f>
        <v>2820</v>
      </c>
      <c r="F344" s="1">
        <f>IFERROR(__xludf.DUMMYFUNCTION("""COMPUTED_VALUE"""),5725.0)</f>
        <v>5725</v>
      </c>
    </row>
    <row r="345">
      <c r="A345" s="2">
        <f>IFERROR(__xludf.DUMMYFUNCTION("""COMPUTED_VALUE"""),41688.645833333336)</f>
        <v>41688.64583</v>
      </c>
      <c r="B345" s="1">
        <f>IFERROR(__xludf.DUMMYFUNCTION("""COMPUTED_VALUE"""),2850.0)</f>
        <v>2850</v>
      </c>
      <c r="C345" s="1">
        <f>IFERROR(__xludf.DUMMYFUNCTION("""COMPUTED_VALUE"""),2900.0)</f>
        <v>2900</v>
      </c>
      <c r="D345" s="1">
        <f>IFERROR(__xludf.DUMMYFUNCTION("""COMPUTED_VALUE"""),2805.0)</f>
        <v>2805</v>
      </c>
      <c r="E345" s="1">
        <f>IFERROR(__xludf.DUMMYFUNCTION("""COMPUTED_VALUE"""),2900.0)</f>
        <v>2900</v>
      </c>
      <c r="F345" s="1">
        <f>IFERROR(__xludf.DUMMYFUNCTION("""COMPUTED_VALUE"""),12530.0)</f>
        <v>12530</v>
      </c>
    </row>
    <row r="346">
      <c r="A346" s="2">
        <f>IFERROR(__xludf.DUMMYFUNCTION("""COMPUTED_VALUE"""),41690.645833333336)</f>
        <v>41690.64583</v>
      </c>
      <c r="B346" s="1">
        <f>IFERROR(__xludf.DUMMYFUNCTION("""COMPUTED_VALUE"""),2930.0)</f>
        <v>2930</v>
      </c>
      <c r="C346" s="1">
        <f>IFERROR(__xludf.DUMMYFUNCTION("""COMPUTED_VALUE"""),2930.0)</f>
        <v>2930</v>
      </c>
      <c r="D346" s="1">
        <f>IFERROR(__xludf.DUMMYFUNCTION("""COMPUTED_VALUE"""),2870.0)</f>
        <v>2870</v>
      </c>
      <c r="E346" s="1">
        <f>IFERROR(__xludf.DUMMYFUNCTION("""COMPUTED_VALUE"""),2900.0)</f>
        <v>2900</v>
      </c>
      <c r="F346" s="1">
        <f>IFERROR(__xludf.DUMMYFUNCTION("""COMPUTED_VALUE"""),5319.0)</f>
        <v>5319</v>
      </c>
    </row>
    <row r="347">
      <c r="A347" s="2">
        <f>IFERROR(__xludf.DUMMYFUNCTION("""COMPUTED_VALUE"""),41691.645833333336)</f>
        <v>41691.64583</v>
      </c>
      <c r="B347" s="1">
        <f>IFERROR(__xludf.DUMMYFUNCTION("""COMPUTED_VALUE"""),2900.0)</f>
        <v>2900</v>
      </c>
      <c r="C347" s="1">
        <f>IFERROR(__xludf.DUMMYFUNCTION("""COMPUTED_VALUE"""),3150.0)</f>
        <v>3150</v>
      </c>
      <c r="D347" s="1">
        <f>IFERROR(__xludf.DUMMYFUNCTION("""COMPUTED_VALUE"""),2865.0)</f>
        <v>2865</v>
      </c>
      <c r="E347" s="1">
        <f>IFERROR(__xludf.DUMMYFUNCTION("""COMPUTED_VALUE"""),3075.0)</f>
        <v>3075</v>
      </c>
      <c r="F347" s="1">
        <f>IFERROR(__xludf.DUMMYFUNCTION("""COMPUTED_VALUE"""),15377.0)</f>
        <v>15377</v>
      </c>
    </row>
    <row r="348">
      <c r="A348" s="2">
        <f>IFERROR(__xludf.DUMMYFUNCTION("""COMPUTED_VALUE"""),41694.645833333336)</f>
        <v>41694.64583</v>
      </c>
      <c r="B348" s="1">
        <f>IFERROR(__xludf.DUMMYFUNCTION("""COMPUTED_VALUE"""),3000.0)</f>
        <v>3000</v>
      </c>
      <c r="C348" s="1">
        <f>IFERROR(__xludf.DUMMYFUNCTION("""COMPUTED_VALUE"""),3260.0)</f>
        <v>3260</v>
      </c>
      <c r="D348" s="1">
        <f>IFERROR(__xludf.DUMMYFUNCTION("""COMPUTED_VALUE"""),3000.0)</f>
        <v>3000</v>
      </c>
      <c r="E348" s="1">
        <f>IFERROR(__xludf.DUMMYFUNCTION("""COMPUTED_VALUE"""),3150.0)</f>
        <v>3150</v>
      </c>
      <c r="F348" s="1">
        <f>IFERROR(__xludf.DUMMYFUNCTION("""COMPUTED_VALUE"""),25558.0)</f>
        <v>25558</v>
      </c>
    </row>
    <row r="349">
      <c r="A349" s="2">
        <f>IFERROR(__xludf.DUMMYFUNCTION("""COMPUTED_VALUE"""),41695.645833333336)</f>
        <v>41695.64583</v>
      </c>
      <c r="B349" s="1">
        <f>IFERROR(__xludf.DUMMYFUNCTION("""COMPUTED_VALUE"""),3390.0)</f>
        <v>3390</v>
      </c>
      <c r="C349" s="1">
        <f>IFERROR(__xludf.DUMMYFUNCTION("""COMPUTED_VALUE"""),3390.0)</f>
        <v>3390</v>
      </c>
      <c r="D349" s="1">
        <f>IFERROR(__xludf.DUMMYFUNCTION("""COMPUTED_VALUE"""),3150.0)</f>
        <v>3150</v>
      </c>
      <c r="E349" s="1">
        <f>IFERROR(__xludf.DUMMYFUNCTION("""COMPUTED_VALUE"""),3150.0)</f>
        <v>3150</v>
      </c>
      <c r="F349" s="1">
        <f>IFERROR(__xludf.DUMMYFUNCTION("""COMPUTED_VALUE"""),13197.0)</f>
        <v>13197</v>
      </c>
    </row>
    <row r="350">
      <c r="A350" s="2">
        <f>IFERROR(__xludf.DUMMYFUNCTION("""COMPUTED_VALUE"""),41696.645833333336)</f>
        <v>41696.64583</v>
      </c>
      <c r="B350" s="1">
        <f>IFERROR(__xludf.DUMMYFUNCTION("""COMPUTED_VALUE"""),3195.0)</f>
        <v>3195</v>
      </c>
      <c r="C350" s="1">
        <f>IFERROR(__xludf.DUMMYFUNCTION("""COMPUTED_VALUE"""),3230.0)</f>
        <v>3230</v>
      </c>
      <c r="D350" s="1">
        <f>IFERROR(__xludf.DUMMYFUNCTION("""COMPUTED_VALUE"""),3100.0)</f>
        <v>3100</v>
      </c>
      <c r="E350" s="1">
        <f>IFERROR(__xludf.DUMMYFUNCTION("""COMPUTED_VALUE"""),3145.0)</f>
        <v>3145</v>
      </c>
      <c r="F350" s="1">
        <f>IFERROR(__xludf.DUMMYFUNCTION("""COMPUTED_VALUE"""),12418.0)</f>
        <v>12418</v>
      </c>
    </row>
    <row r="351">
      <c r="A351" s="2">
        <f>IFERROR(__xludf.DUMMYFUNCTION("""COMPUTED_VALUE"""),41697.645833333336)</f>
        <v>41697.64583</v>
      </c>
      <c r="B351" s="1">
        <f>IFERROR(__xludf.DUMMYFUNCTION("""COMPUTED_VALUE"""),3145.0)</f>
        <v>3145</v>
      </c>
      <c r="C351" s="1">
        <f>IFERROR(__xludf.DUMMYFUNCTION("""COMPUTED_VALUE"""),3180.0)</f>
        <v>3180</v>
      </c>
      <c r="D351" s="1">
        <f>IFERROR(__xludf.DUMMYFUNCTION("""COMPUTED_VALUE"""),3060.0)</f>
        <v>3060</v>
      </c>
      <c r="E351" s="1">
        <f>IFERROR(__xludf.DUMMYFUNCTION("""COMPUTED_VALUE"""),3120.0)</f>
        <v>3120</v>
      </c>
      <c r="F351" s="1">
        <f>IFERROR(__xludf.DUMMYFUNCTION("""COMPUTED_VALUE"""),8971.0)</f>
        <v>8971</v>
      </c>
    </row>
    <row r="352">
      <c r="A352" s="2">
        <f>IFERROR(__xludf.DUMMYFUNCTION("""COMPUTED_VALUE"""),41698.645833333336)</f>
        <v>41698.64583</v>
      </c>
      <c r="B352" s="1">
        <f>IFERROR(__xludf.DUMMYFUNCTION("""COMPUTED_VALUE"""),3180.0)</f>
        <v>3180</v>
      </c>
      <c r="C352" s="1">
        <f>IFERROR(__xludf.DUMMYFUNCTION("""COMPUTED_VALUE"""),3230.0)</f>
        <v>3230</v>
      </c>
      <c r="D352" s="1">
        <f>IFERROR(__xludf.DUMMYFUNCTION("""COMPUTED_VALUE"""),3060.0)</f>
        <v>3060</v>
      </c>
      <c r="E352" s="1">
        <f>IFERROR(__xludf.DUMMYFUNCTION("""COMPUTED_VALUE"""),3160.0)</f>
        <v>3160</v>
      </c>
      <c r="F352" s="1">
        <f>IFERROR(__xludf.DUMMYFUNCTION("""COMPUTED_VALUE"""),11443.0)</f>
        <v>11443</v>
      </c>
    </row>
    <row r="353">
      <c r="A353" s="2">
        <f>IFERROR(__xludf.DUMMYFUNCTION("""COMPUTED_VALUE"""),41701.645833333336)</f>
        <v>41701.64583</v>
      </c>
      <c r="B353" s="1">
        <f>IFERROR(__xludf.DUMMYFUNCTION("""COMPUTED_VALUE"""),3160.0)</f>
        <v>3160</v>
      </c>
      <c r="C353" s="1">
        <f>IFERROR(__xludf.DUMMYFUNCTION("""COMPUTED_VALUE"""),3200.0)</f>
        <v>3200</v>
      </c>
      <c r="D353" s="1">
        <f>IFERROR(__xludf.DUMMYFUNCTION("""COMPUTED_VALUE"""),3020.0)</f>
        <v>3020</v>
      </c>
      <c r="E353" s="1">
        <f>IFERROR(__xludf.DUMMYFUNCTION("""COMPUTED_VALUE"""),3020.0)</f>
        <v>3020</v>
      </c>
      <c r="F353" s="1">
        <f>IFERROR(__xludf.DUMMYFUNCTION("""COMPUTED_VALUE"""),10464.0)</f>
        <v>10464</v>
      </c>
    </row>
    <row r="354">
      <c r="A354" s="2">
        <f>IFERROR(__xludf.DUMMYFUNCTION("""COMPUTED_VALUE"""),41702.645833333336)</f>
        <v>41702.64583</v>
      </c>
      <c r="B354" s="1">
        <f>IFERROR(__xludf.DUMMYFUNCTION("""COMPUTED_VALUE"""),3020.0)</f>
        <v>3020</v>
      </c>
      <c r="C354" s="1">
        <f>IFERROR(__xludf.DUMMYFUNCTION("""COMPUTED_VALUE"""),3190.0)</f>
        <v>3190</v>
      </c>
      <c r="D354" s="1">
        <f>IFERROR(__xludf.DUMMYFUNCTION("""COMPUTED_VALUE"""),2950.0)</f>
        <v>2950</v>
      </c>
      <c r="E354" s="1">
        <f>IFERROR(__xludf.DUMMYFUNCTION("""COMPUTED_VALUE"""),3085.0)</f>
        <v>3085</v>
      </c>
      <c r="F354" s="1">
        <f>IFERROR(__xludf.DUMMYFUNCTION("""COMPUTED_VALUE"""),5859.0)</f>
        <v>5859</v>
      </c>
    </row>
    <row r="355">
      <c r="A355" s="2">
        <f>IFERROR(__xludf.DUMMYFUNCTION("""COMPUTED_VALUE"""),41703.645833333336)</f>
        <v>41703.64583</v>
      </c>
      <c r="B355" s="1">
        <f>IFERROR(__xludf.DUMMYFUNCTION("""COMPUTED_VALUE"""),3150.0)</f>
        <v>3150</v>
      </c>
      <c r="C355" s="1">
        <f>IFERROR(__xludf.DUMMYFUNCTION("""COMPUTED_VALUE"""),3150.0)</f>
        <v>3150</v>
      </c>
      <c r="D355" s="1">
        <f>IFERROR(__xludf.DUMMYFUNCTION("""COMPUTED_VALUE"""),3070.0)</f>
        <v>3070</v>
      </c>
      <c r="E355" s="1">
        <f>IFERROR(__xludf.DUMMYFUNCTION("""COMPUTED_VALUE"""),3090.0)</f>
        <v>3090</v>
      </c>
      <c r="F355" s="1">
        <f>IFERROR(__xludf.DUMMYFUNCTION("""COMPUTED_VALUE"""),4457.0)</f>
        <v>4457</v>
      </c>
    </row>
    <row r="356">
      <c r="A356" s="2">
        <f>IFERROR(__xludf.DUMMYFUNCTION("""COMPUTED_VALUE"""),41704.645833333336)</f>
        <v>41704.64583</v>
      </c>
      <c r="B356" s="1">
        <f>IFERROR(__xludf.DUMMYFUNCTION("""COMPUTED_VALUE"""),3140.0)</f>
        <v>3140</v>
      </c>
      <c r="C356" s="1">
        <f>IFERROR(__xludf.DUMMYFUNCTION("""COMPUTED_VALUE"""),3300.0)</f>
        <v>3300</v>
      </c>
      <c r="D356" s="1">
        <f>IFERROR(__xludf.DUMMYFUNCTION("""COMPUTED_VALUE"""),3090.0)</f>
        <v>3090</v>
      </c>
      <c r="E356" s="1">
        <f>IFERROR(__xludf.DUMMYFUNCTION("""COMPUTED_VALUE"""),3300.0)</f>
        <v>3300</v>
      </c>
      <c r="F356" s="1">
        <f>IFERROR(__xludf.DUMMYFUNCTION("""COMPUTED_VALUE"""),34276.0)</f>
        <v>34276</v>
      </c>
    </row>
    <row r="357">
      <c r="A357" s="2">
        <f>IFERROR(__xludf.DUMMYFUNCTION("""COMPUTED_VALUE"""),41705.645833333336)</f>
        <v>41705.64583</v>
      </c>
      <c r="B357" s="1">
        <f>IFERROR(__xludf.DUMMYFUNCTION("""COMPUTED_VALUE"""),3350.0)</f>
        <v>3350</v>
      </c>
      <c r="C357" s="1">
        <f>IFERROR(__xludf.DUMMYFUNCTION("""COMPUTED_VALUE"""),3795.0)</f>
        <v>3795</v>
      </c>
      <c r="D357" s="1">
        <f>IFERROR(__xludf.DUMMYFUNCTION("""COMPUTED_VALUE"""),3300.0)</f>
        <v>3300</v>
      </c>
      <c r="E357" s="1">
        <f>IFERROR(__xludf.DUMMYFUNCTION("""COMPUTED_VALUE"""),3660.0)</f>
        <v>3660</v>
      </c>
      <c r="F357" s="1">
        <f>IFERROR(__xludf.DUMMYFUNCTION("""COMPUTED_VALUE"""),125379.0)</f>
        <v>125379</v>
      </c>
    </row>
    <row r="358">
      <c r="A358" s="2">
        <f>IFERROR(__xludf.DUMMYFUNCTION("""COMPUTED_VALUE"""),41708.645833333336)</f>
        <v>41708.64583</v>
      </c>
      <c r="B358" s="1">
        <f>IFERROR(__xludf.DUMMYFUNCTION("""COMPUTED_VALUE"""),3640.0)</f>
        <v>3640</v>
      </c>
      <c r="C358" s="1">
        <f>IFERROR(__xludf.DUMMYFUNCTION("""COMPUTED_VALUE"""),3790.0)</f>
        <v>3790</v>
      </c>
      <c r="D358" s="1">
        <f>IFERROR(__xludf.DUMMYFUNCTION("""COMPUTED_VALUE"""),3450.0)</f>
        <v>3450</v>
      </c>
      <c r="E358" s="1">
        <f>IFERROR(__xludf.DUMMYFUNCTION("""COMPUTED_VALUE"""),3450.0)</f>
        <v>3450</v>
      </c>
      <c r="F358" s="1">
        <f>IFERROR(__xludf.DUMMYFUNCTION("""COMPUTED_VALUE"""),44356.0)</f>
        <v>44356</v>
      </c>
    </row>
    <row r="359">
      <c r="A359" s="2">
        <f>IFERROR(__xludf.DUMMYFUNCTION("""COMPUTED_VALUE"""),41709.645833333336)</f>
        <v>41709.64583</v>
      </c>
      <c r="B359" s="1">
        <f>IFERROR(__xludf.DUMMYFUNCTION("""COMPUTED_VALUE"""),3600.0)</f>
        <v>3600</v>
      </c>
      <c r="C359" s="1">
        <f>IFERROR(__xludf.DUMMYFUNCTION("""COMPUTED_VALUE"""),3600.0)</f>
        <v>3600</v>
      </c>
      <c r="D359" s="1">
        <f>IFERROR(__xludf.DUMMYFUNCTION("""COMPUTED_VALUE"""),3450.0)</f>
        <v>3450</v>
      </c>
      <c r="E359" s="1">
        <f>IFERROR(__xludf.DUMMYFUNCTION("""COMPUTED_VALUE"""),3530.0)</f>
        <v>3530</v>
      </c>
      <c r="F359" s="1">
        <f>IFERROR(__xludf.DUMMYFUNCTION("""COMPUTED_VALUE"""),11454.0)</f>
        <v>11454</v>
      </c>
    </row>
    <row r="360">
      <c r="A360" s="2">
        <f>IFERROR(__xludf.DUMMYFUNCTION("""COMPUTED_VALUE"""),41710.645833333336)</f>
        <v>41710.64583</v>
      </c>
      <c r="B360" s="1">
        <f>IFERROR(__xludf.DUMMYFUNCTION("""COMPUTED_VALUE"""),3800.0)</f>
        <v>3800</v>
      </c>
      <c r="C360" s="1">
        <f>IFERROR(__xludf.DUMMYFUNCTION("""COMPUTED_VALUE"""),3800.0)</f>
        <v>3800</v>
      </c>
      <c r="D360" s="1">
        <f>IFERROR(__xludf.DUMMYFUNCTION("""COMPUTED_VALUE"""),3530.0)</f>
        <v>3530</v>
      </c>
      <c r="E360" s="1">
        <f>IFERROR(__xludf.DUMMYFUNCTION("""COMPUTED_VALUE"""),3550.0)</f>
        <v>3550</v>
      </c>
      <c r="F360" s="1">
        <f>IFERROR(__xludf.DUMMYFUNCTION("""COMPUTED_VALUE"""),8751.0)</f>
        <v>8751</v>
      </c>
    </row>
    <row r="361">
      <c r="A361" s="2">
        <f>IFERROR(__xludf.DUMMYFUNCTION("""COMPUTED_VALUE"""),41711.645833333336)</f>
        <v>41711.64583</v>
      </c>
      <c r="B361" s="1">
        <f>IFERROR(__xludf.DUMMYFUNCTION("""COMPUTED_VALUE"""),3500.0)</f>
        <v>3500</v>
      </c>
      <c r="C361" s="1">
        <f>IFERROR(__xludf.DUMMYFUNCTION("""COMPUTED_VALUE"""),3700.0)</f>
        <v>3700</v>
      </c>
      <c r="D361" s="1">
        <f>IFERROR(__xludf.DUMMYFUNCTION("""COMPUTED_VALUE"""),3500.0)</f>
        <v>3500</v>
      </c>
      <c r="E361" s="1">
        <f>IFERROR(__xludf.DUMMYFUNCTION("""COMPUTED_VALUE"""),3630.0)</f>
        <v>3630</v>
      </c>
      <c r="F361" s="1">
        <f>IFERROR(__xludf.DUMMYFUNCTION("""COMPUTED_VALUE"""),49083.0)</f>
        <v>49083</v>
      </c>
    </row>
    <row r="362">
      <c r="A362" s="2">
        <f>IFERROR(__xludf.DUMMYFUNCTION("""COMPUTED_VALUE"""),41712.645833333336)</f>
        <v>41712.64583</v>
      </c>
      <c r="B362" s="1">
        <f>IFERROR(__xludf.DUMMYFUNCTION("""COMPUTED_VALUE"""),3730.0)</f>
        <v>3730</v>
      </c>
      <c r="C362" s="1">
        <f>IFERROR(__xludf.DUMMYFUNCTION("""COMPUTED_VALUE"""),3730.0)</f>
        <v>3730</v>
      </c>
      <c r="D362" s="1">
        <f>IFERROR(__xludf.DUMMYFUNCTION("""COMPUTED_VALUE"""),3550.0)</f>
        <v>3550</v>
      </c>
      <c r="E362" s="1">
        <f>IFERROR(__xludf.DUMMYFUNCTION("""COMPUTED_VALUE"""),3635.0)</f>
        <v>3635</v>
      </c>
      <c r="F362" s="1">
        <f>IFERROR(__xludf.DUMMYFUNCTION("""COMPUTED_VALUE"""),27583.0)</f>
        <v>27583</v>
      </c>
    </row>
    <row r="363">
      <c r="A363" s="2">
        <f>IFERROR(__xludf.DUMMYFUNCTION("""COMPUTED_VALUE"""),41715.645833333336)</f>
        <v>41715.64583</v>
      </c>
      <c r="B363" s="1">
        <f>IFERROR(__xludf.DUMMYFUNCTION("""COMPUTED_VALUE"""),3635.0)</f>
        <v>3635</v>
      </c>
      <c r="C363" s="1">
        <f>IFERROR(__xludf.DUMMYFUNCTION("""COMPUTED_VALUE"""),3640.0)</f>
        <v>3640</v>
      </c>
      <c r="D363" s="1">
        <f>IFERROR(__xludf.DUMMYFUNCTION("""COMPUTED_VALUE"""),3545.0)</f>
        <v>3545</v>
      </c>
      <c r="E363" s="1">
        <f>IFERROR(__xludf.DUMMYFUNCTION("""COMPUTED_VALUE"""),3640.0)</f>
        <v>3640</v>
      </c>
      <c r="F363" s="1">
        <f>IFERROR(__xludf.DUMMYFUNCTION("""COMPUTED_VALUE"""),32818.0)</f>
        <v>32818</v>
      </c>
    </row>
    <row r="364">
      <c r="A364" s="2">
        <f>IFERROR(__xludf.DUMMYFUNCTION("""COMPUTED_VALUE"""),41716.645833333336)</f>
        <v>41716.64583</v>
      </c>
      <c r="B364" s="1">
        <f>IFERROR(__xludf.DUMMYFUNCTION("""COMPUTED_VALUE"""),3570.0)</f>
        <v>3570</v>
      </c>
      <c r="C364" s="1">
        <f>IFERROR(__xludf.DUMMYFUNCTION("""COMPUTED_VALUE"""),4185.0)</f>
        <v>4185</v>
      </c>
      <c r="D364" s="1">
        <f>IFERROR(__xludf.DUMMYFUNCTION("""COMPUTED_VALUE"""),3570.0)</f>
        <v>3570</v>
      </c>
      <c r="E364" s="1">
        <f>IFERROR(__xludf.DUMMYFUNCTION("""COMPUTED_VALUE"""),4185.0)</f>
        <v>4185</v>
      </c>
      <c r="F364" s="1">
        <f>IFERROR(__xludf.DUMMYFUNCTION("""COMPUTED_VALUE"""),559826.0)</f>
        <v>559826</v>
      </c>
    </row>
    <row r="365">
      <c r="A365" s="2">
        <f>IFERROR(__xludf.DUMMYFUNCTION("""COMPUTED_VALUE"""),41717.645833333336)</f>
        <v>41717.64583</v>
      </c>
      <c r="B365" s="1">
        <f>IFERROR(__xludf.DUMMYFUNCTION("""COMPUTED_VALUE"""),4340.0)</f>
        <v>4340</v>
      </c>
      <c r="C365" s="1">
        <f>IFERROR(__xludf.DUMMYFUNCTION("""COMPUTED_VALUE"""),4445.0)</f>
        <v>4445</v>
      </c>
      <c r="D365" s="1">
        <f>IFERROR(__xludf.DUMMYFUNCTION("""COMPUTED_VALUE"""),4110.0)</f>
        <v>4110</v>
      </c>
      <c r="E365" s="1">
        <f>IFERROR(__xludf.DUMMYFUNCTION("""COMPUTED_VALUE"""),4340.0)</f>
        <v>4340</v>
      </c>
      <c r="F365" s="1">
        <f>IFERROR(__xludf.DUMMYFUNCTION("""COMPUTED_VALUE"""),368236.0)</f>
        <v>368236</v>
      </c>
    </row>
    <row r="366">
      <c r="A366" s="2">
        <f>IFERROR(__xludf.DUMMYFUNCTION("""COMPUTED_VALUE"""),41718.645833333336)</f>
        <v>41718.64583</v>
      </c>
      <c r="B366" s="1">
        <f>IFERROR(__xludf.DUMMYFUNCTION("""COMPUTED_VALUE"""),4400.0)</f>
        <v>4400</v>
      </c>
      <c r="C366" s="1">
        <f>IFERROR(__xludf.DUMMYFUNCTION("""COMPUTED_VALUE"""),4420.0)</f>
        <v>4420</v>
      </c>
      <c r="D366" s="1">
        <f>IFERROR(__xludf.DUMMYFUNCTION("""COMPUTED_VALUE"""),4195.0)</f>
        <v>4195</v>
      </c>
      <c r="E366" s="1">
        <f>IFERROR(__xludf.DUMMYFUNCTION("""COMPUTED_VALUE"""),4300.0)</f>
        <v>4300</v>
      </c>
      <c r="F366" s="1">
        <f>IFERROR(__xludf.DUMMYFUNCTION("""COMPUTED_VALUE"""),72376.0)</f>
        <v>72376</v>
      </c>
    </row>
    <row r="367">
      <c r="A367" s="2">
        <f>IFERROR(__xludf.DUMMYFUNCTION("""COMPUTED_VALUE"""),41719.645833333336)</f>
        <v>41719.64583</v>
      </c>
      <c r="B367" s="1">
        <f>IFERROR(__xludf.DUMMYFUNCTION("""COMPUTED_VALUE"""),4380.0)</f>
        <v>4380</v>
      </c>
      <c r="C367" s="1">
        <f>IFERROR(__xludf.DUMMYFUNCTION("""COMPUTED_VALUE"""),4380.0)</f>
        <v>4380</v>
      </c>
      <c r="D367" s="1">
        <f>IFERROR(__xludf.DUMMYFUNCTION("""COMPUTED_VALUE"""),4070.0)</f>
        <v>4070</v>
      </c>
      <c r="E367" s="1">
        <f>IFERROR(__xludf.DUMMYFUNCTION("""COMPUTED_VALUE"""),4150.0)</f>
        <v>4150</v>
      </c>
      <c r="F367" s="1">
        <f>IFERROR(__xludf.DUMMYFUNCTION("""COMPUTED_VALUE"""),94280.0)</f>
        <v>94280</v>
      </c>
    </row>
    <row r="368">
      <c r="A368" s="2">
        <f>IFERROR(__xludf.DUMMYFUNCTION("""COMPUTED_VALUE"""),41722.645833333336)</f>
        <v>41722.64583</v>
      </c>
      <c r="B368" s="1">
        <f>IFERROR(__xludf.DUMMYFUNCTION("""COMPUTED_VALUE"""),4105.0)</f>
        <v>4105</v>
      </c>
      <c r="C368" s="1">
        <f>IFERROR(__xludf.DUMMYFUNCTION("""COMPUTED_VALUE"""),4195.0)</f>
        <v>4195</v>
      </c>
      <c r="D368" s="1">
        <f>IFERROR(__xludf.DUMMYFUNCTION("""COMPUTED_VALUE"""),4010.0)</f>
        <v>4010</v>
      </c>
      <c r="E368" s="1">
        <f>IFERROR(__xludf.DUMMYFUNCTION("""COMPUTED_VALUE"""),4145.0)</f>
        <v>4145</v>
      </c>
      <c r="F368" s="1">
        <f>IFERROR(__xludf.DUMMYFUNCTION("""COMPUTED_VALUE"""),93864.0)</f>
        <v>93864</v>
      </c>
    </row>
    <row r="369">
      <c r="A369" s="2">
        <f>IFERROR(__xludf.DUMMYFUNCTION("""COMPUTED_VALUE"""),41723.645833333336)</f>
        <v>41723.64583</v>
      </c>
      <c r="B369" s="1">
        <f>IFERROR(__xludf.DUMMYFUNCTION("""COMPUTED_VALUE"""),4140.0)</f>
        <v>4140</v>
      </c>
      <c r="C369" s="1">
        <f>IFERROR(__xludf.DUMMYFUNCTION("""COMPUTED_VALUE"""),4140.0)</f>
        <v>4140</v>
      </c>
      <c r="D369" s="1">
        <f>IFERROR(__xludf.DUMMYFUNCTION("""COMPUTED_VALUE"""),3950.0)</f>
        <v>3950</v>
      </c>
      <c r="E369" s="1">
        <f>IFERROR(__xludf.DUMMYFUNCTION("""COMPUTED_VALUE"""),4000.0)</f>
        <v>4000</v>
      </c>
      <c r="F369" s="1">
        <f>IFERROR(__xludf.DUMMYFUNCTION("""COMPUTED_VALUE"""),31251.0)</f>
        <v>31251</v>
      </c>
    </row>
    <row r="370">
      <c r="A370" s="2">
        <f>IFERROR(__xludf.DUMMYFUNCTION("""COMPUTED_VALUE"""),41724.645833333336)</f>
        <v>41724.64583</v>
      </c>
      <c r="B370" s="1">
        <f>IFERROR(__xludf.DUMMYFUNCTION("""COMPUTED_VALUE"""),4000.0)</f>
        <v>4000</v>
      </c>
      <c r="C370" s="1">
        <f>IFERROR(__xludf.DUMMYFUNCTION("""COMPUTED_VALUE"""),4150.0)</f>
        <v>4150</v>
      </c>
      <c r="D370" s="1">
        <f>IFERROR(__xludf.DUMMYFUNCTION("""COMPUTED_VALUE"""),3955.0)</f>
        <v>3955</v>
      </c>
      <c r="E370" s="1">
        <f>IFERROR(__xludf.DUMMYFUNCTION("""COMPUTED_VALUE"""),4070.0)</f>
        <v>4070</v>
      </c>
      <c r="F370" s="1">
        <f>IFERROR(__xludf.DUMMYFUNCTION("""COMPUTED_VALUE"""),23847.0)</f>
        <v>23847</v>
      </c>
    </row>
    <row r="371">
      <c r="A371" s="2">
        <f>IFERROR(__xludf.DUMMYFUNCTION("""COMPUTED_VALUE"""),41725.645833333336)</f>
        <v>41725.64583</v>
      </c>
      <c r="B371" s="1">
        <f>IFERROR(__xludf.DUMMYFUNCTION("""COMPUTED_VALUE"""),4045.0)</f>
        <v>4045</v>
      </c>
      <c r="C371" s="1">
        <f>IFERROR(__xludf.DUMMYFUNCTION("""COMPUTED_VALUE"""),4105.0)</f>
        <v>4105</v>
      </c>
      <c r="D371" s="1">
        <f>IFERROR(__xludf.DUMMYFUNCTION("""COMPUTED_VALUE"""),3810.0)</f>
        <v>3810</v>
      </c>
      <c r="E371" s="1">
        <f>IFERROR(__xludf.DUMMYFUNCTION("""COMPUTED_VALUE"""),4005.0)</f>
        <v>4005</v>
      </c>
      <c r="F371" s="1">
        <f>IFERROR(__xludf.DUMMYFUNCTION("""COMPUTED_VALUE"""),60483.0)</f>
        <v>60483</v>
      </c>
    </row>
    <row r="372">
      <c r="A372" s="2">
        <f>IFERROR(__xludf.DUMMYFUNCTION("""COMPUTED_VALUE"""),41726.645833333336)</f>
        <v>41726.64583</v>
      </c>
      <c r="B372" s="1">
        <f>IFERROR(__xludf.DUMMYFUNCTION("""COMPUTED_VALUE"""),4040.0)</f>
        <v>4040</v>
      </c>
      <c r="C372" s="1">
        <f>IFERROR(__xludf.DUMMYFUNCTION("""COMPUTED_VALUE"""),4085.0)</f>
        <v>4085</v>
      </c>
      <c r="D372" s="1">
        <f>IFERROR(__xludf.DUMMYFUNCTION("""COMPUTED_VALUE"""),3905.0)</f>
        <v>3905</v>
      </c>
      <c r="E372" s="1">
        <f>IFERROR(__xludf.DUMMYFUNCTION("""COMPUTED_VALUE"""),4085.0)</f>
        <v>4085</v>
      </c>
      <c r="F372" s="1">
        <f>IFERROR(__xludf.DUMMYFUNCTION("""COMPUTED_VALUE"""),24569.0)</f>
        <v>24569</v>
      </c>
    </row>
    <row r="373">
      <c r="A373" s="2">
        <f>IFERROR(__xludf.DUMMYFUNCTION("""COMPUTED_VALUE"""),41729.645833333336)</f>
        <v>41729.64583</v>
      </c>
      <c r="B373" s="1">
        <f>IFERROR(__xludf.DUMMYFUNCTION("""COMPUTED_VALUE"""),4130.0)</f>
        <v>4130</v>
      </c>
      <c r="C373" s="1">
        <f>IFERROR(__xludf.DUMMYFUNCTION("""COMPUTED_VALUE"""),4140.0)</f>
        <v>4140</v>
      </c>
      <c r="D373" s="1">
        <f>IFERROR(__xludf.DUMMYFUNCTION("""COMPUTED_VALUE"""),3850.0)</f>
        <v>3850</v>
      </c>
      <c r="E373" s="1">
        <f>IFERROR(__xludf.DUMMYFUNCTION("""COMPUTED_VALUE"""),3915.0)</f>
        <v>3915</v>
      </c>
      <c r="F373" s="1">
        <f>IFERROR(__xludf.DUMMYFUNCTION("""COMPUTED_VALUE"""),35230.0)</f>
        <v>35230</v>
      </c>
    </row>
    <row r="374">
      <c r="A374" s="2">
        <f>IFERROR(__xludf.DUMMYFUNCTION("""COMPUTED_VALUE"""),41730.645833333336)</f>
        <v>41730.64583</v>
      </c>
      <c r="B374" s="1">
        <f>IFERROR(__xludf.DUMMYFUNCTION("""COMPUTED_VALUE"""),3915.0)</f>
        <v>3915</v>
      </c>
      <c r="C374" s="1">
        <f>IFERROR(__xludf.DUMMYFUNCTION("""COMPUTED_VALUE"""),4025.0)</f>
        <v>4025</v>
      </c>
      <c r="D374" s="1">
        <f>IFERROR(__xludf.DUMMYFUNCTION("""COMPUTED_VALUE"""),3890.0)</f>
        <v>3890</v>
      </c>
      <c r="E374" s="1">
        <f>IFERROR(__xludf.DUMMYFUNCTION("""COMPUTED_VALUE"""),3955.0)</f>
        <v>3955</v>
      </c>
      <c r="F374" s="1">
        <f>IFERROR(__xludf.DUMMYFUNCTION("""COMPUTED_VALUE"""),8356.0)</f>
        <v>8356</v>
      </c>
    </row>
    <row r="375">
      <c r="A375" s="2">
        <f>IFERROR(__xludf.DUMMYFUNCTION("""COMPUTED_VALUE"""),41731.645833333336)</f>
        <v>41731.64583</v>
      </c>
      <c r="B375" s="1">
        <f>IFERROR(__xludf.DUMMYFUNCTION("""COMPUTED_VALUE"""),3905.0)</f>
        <v>3905</v>
      </c>
      <c r="C375" s="1">
        <f>IFERROR(__xludf.DUMMYFUNCTION("""COMPUTED_VALUE"""),4200.0)</f>
        <v>4200</v>
      </c>
      <c r="D375" s="1">
        <f>IFERROR(__xludf.DUMMYFUNCTION("""COMPUTED_VALUE"""),3880.0)</f>
        <v>3880</v>
      </c>
      <c r="E375" s="1">
        <f>IFERROR(__xludf.DUMMYFUNCTION("""COMPUTED_VALUE"""),4035.0)</f>
        <v>4035</v>
      </c>
      <c r="F375" s="1">
        <f>IFERROR(__xludf.DUMMYFUNCTION("""COMPUTED_VALUE"""),38054.0)</f>
        <v>38054</v>
      </c>
    </row>
    <row r="376">
      <c r="A376" s="2">
        <f>IFERROR(__xludf.DUMMYFUNCTION("""COMPUTED_VALUE"""),41732.645833333336)</f>
        <v>41732.64583</v>
      </c>
      <c r="B376" s="1">
        <f>IFERROR(__xludf.DUMMYFUNCTION("""COMPUTED_VALUE"""),4100.0)</f>
        <v>4100</v>
      </c>
      <c r="C376" s="1">
        <f>IFERROR(__xludf.DUMMYFUNCTION("""COMPUTED_VALUE"""),4130.0)</f>
        <v>4130</v>
      </c>
      <c r="D376" s="1">
        <f>IFERROR(__xludf.DUMMYFUNCTION("""COMPUTED_VALUE"""),3965.0)</f>
        <v>3965</v>
      </c>
      <c r="E376" s="1">
        <f>IFERROR(__xludf.DUMMYFUNCTION("""COMPUTED_VALUE"""),3995.0)</f>
        <v>3995</v>
      </c>
      <c r="F376" s="1">
        <f>IFERROR(__xludf.DUMMYFUNCTION("""COMPUTED_VALUE"""),26793.0)</f>
        <v>26793</v>
      </c>
    </row>
    <row r="377">
      <c r="A377" s="2">
        <f>IFERROR(__xludf.DUMMYFUNCTION("""COMPUTED_VALUE"""),41733.645833333336)</f>
        <v>41733.64583</v>
      </c>
      <c r="B377" s="1">
        <f>IFERROR(__xludf.DUMMYFUNCTION("""COMPUTED_VALUE"""),3980.0)</f>
        <v>3980</v>
      </c>
      <c r="C377" s="1">
        <f>IFERROR(__xludf.DUMMYFUNCTION("""COMPUTED_VALUE"""),4065.0)</f>
        <v>4065</v>
      </c>
      <c r="D377" s="1">
        <f>IFERROR(__xludf.DUMMYFUNCTION("""COMPUTED_VALUE"""),3930.0)</f>
        <v>3930</v>
      </c>
      <c r="E377" s="1">
        <f>IFERROR(__xludf.DUMMYFUNCTION("""COMPUTED_VALUE"""),4000.0)</f>
        <v>4000</v>
      </c>
      <c r="F377" s="1">
        <f>IFERROR(__xludf.DUMMYFUNCTION("""COMPUTED_VALUE"""),22792.0)</f>
        <v>22792</v>
      </c>
    </row>
    <row r="378">
      <c r="A378" s="2">
        <f>IFERROR(__xludf.DUMMYFUNCTION("""COMPUTED_VALUE"""),41736.645833333336)</f>
        <v>41736.64583</v>
      </c>
      <c r="B378" s="1">
        <f>IFERROR(__xludf.DUMMYFUNCTION("""COMPUTED_VALUE"""),4075.0)</f>
        <v>4075</v>
      </c>
      <c r="C378" s="1">
        <f>IFERROR(__xludf.DUMMYFUNCTION("""COMPUTED_VALUE"""),4090.0)</f>
        <v>4090</v>
      </c>
      <c r="D378" s="1">
        <f>IFERROR(__xludf.DUMMYFUNCTION("""COMPUTED_VALUE"""),3860.0)</f>
        <v>3860</v>
      </c>
      <c r="E378" s="1">
        <f>IFERROR(__xludf.DUMMYFUNCTION("""COMPUTED_VALUE"""),3950.0)</f>
        <v>3950</v>
      </c>
      <c r="F378" s="1">
        <f>IFERROR(__xludf.DUMMYFUNCTION("""COMPUTED_VALUE"""),76105.0)</f>
        <v>76105</v>
      </c>
    </row>
    <row r="379">
      <c r="A379" s="2">
        <f>IFERROR(__xludf.DUMMYFUNCTION("""COMPUTED_VALUE"""),41737.645833333336)</f>
        <v>41737.64583</v>
      </c>
      <c r="B379" s="1">
        <f>IFERROR(__xludf.DUMMYFUNCTION("""COMPUTED_VALUE"""),3900.0)</f>
        <v>3900</v>
      </c>
      <c r="C379" s="1">
        <f>IFERROR(__xludf.DUMMYFUNCTION("""COMPUTED_VALUE"""),3950.0)</f>
        <v>3950</v>
      </c>
      <c r="D379" s="1">
        <f>IFERROR(__xludf.DUMMYFUNCTION("""COMPUTED_VALUE"""),3810.0)</f>
        <v>3810</v>
      </c>
      <c r="E379" s="1">
        <f>IFERROR(__xludf.DUMMYFUNCTION("""COMPUTED_VALUE"""),3910.0)</f>
        <v>3910</v>
      </c>
      <c r="F379" s="1">
        <f>IFERROR(__xludf.DUMMYFUNCTION("""COMPUTED_VALUE"""),56218.0)</f>
        <v>56218</v>
      </c>
    </row>
    <row r="380">
      <c r="A380" s="2">
        <f>IFERROR(__xludf.DUMMYFUNCTION("""COMPUTED_VALUE"""),41738.645833333336)</f>
        <v>41738.64583</v>
      </c>
      <c r="B380" s="1">
        <f>IFERROR(__xludf.DUMMYFUNCTION("""COMPUTED_VALUE"""),4050.0)</f>
        <v>4050</v>
      </c>
      <c r="C380" s="1">
        <f>IFERROR(__xludf.DUMMYFUNCTION("""COMPUTED_VALUE"""),4090.0)</f>
        <v>4090</v>
      </c>
      <c r="D380" s="1">
        <f>IFERROR(__xludf.DUMMYFUNCTION("""COMPUTED_VALUE"""),3870.0)</f>
        <v>3870</v>
      </c>
      <c r="E380" s="1">
        <f>IFERROR(__xludf.DUMMYFUNCTION("""COMPUTED_VALUE"""),3965.0)</f>
        <v>3965</v>
      </c>
      <c r="F380" s="1">
        <f>IFERROR(__xludf.DUMMYFUNCTION("""COMPUTED_VALUE"""),9981.0)</f>
        <v>9981</v>
      </c>
    </row>
    <row r="381">
      <c r="A381" s="2">
        <f>IFERROR(__xludf.DUMMYFUNCTION("""COMPUTED_VALUE"""),41739.645833333336)</f>
        <v>41739.64583</v>
      </c>
      <c r="B381" s="1">
        <f>IFERROR(__xludf.DUMMYFUNCTION("""COMPUTED_VALUE"""),4080.0)</f>
        <v>4080</v>
      </c>
      <c r="C381" s="1">
        <f>IFERROR(__xludf.DUMMYFUNCTION("""COMPUTED_VALUE"""),4080.0)</f>
        <v>4080</v>
      </c>
      <c r="D381" s="1">
        <f>IFERROR(__xludf.DUMMYFUNCTION("""COMPUTED_VALUE"""),3865.0)</f>
        <v>3865</v>
      </c>
      <c r="E381" s="1">
        <f>IFERROR(__xludf.DUMMYFUNCTION("""COMPUTED_VALUE"""),3880.0)</f>
        <v>3880</v>
      </c>
      <c r="F381" s="1">
        <f>IFERROR(__xludf.DUMMYFUNCTION("""COMPUTED_VALUE"""),50711.0)</f>
        <v>50711</v>
      </c>
    </row>
    <row r="382">
      <c r="A382" s="2">
        <f>IFERROR(__xludf.DUMMYFUNCTION("""COMPUTED_VALUE"""),41740.645833333336)</f>
        <v>41740.64583</v>
      </c>
      <c r="B382" s="1">
        <f>IFERROR(__xludf.DUMMYFUNCTION("""COMPUTED_VALUE"""),3865.0)</f>
        <v>3865</v>
      </c>
      <c r="C382" s="1">
        <f>IFERROR(__xludf.DUMMYFUNCTION("""COMPUTED_VALUE"""),4000.0)</f>
        <v>4000</v>
      </c>
      <c r="D382" s="1">
        <f>IFERROR(__xludf.DUMMYFUNCTION("""COMPUTED_VALUE"""),3760.0)</f>
        <v>3760</v>
      </c>
      <c r="E382" s="1">
        <f>IFERROR(__xludf.DUMMYFUNCTION("""COMPUTED_VALUE"""),3950.0)</f>
        <v>3950</v>
      </c>
      <c r="F382" s="1">
        <f>IFERROR(__xludf.DUMMYFUNCTION("""COMPUTED_VALUE"""),41771.0)</f>
        <v>41771</v>
      </c>
    </row>
    <row r="383">
      <c r="A383" s="2">
        <f>IFERROR(__xludf.DUMMYFUNCTION("""COMPUTED_VALUE"""),41743.645833333336)</f>
        <v>41743.64583</v>
      </c>
      <c r="B383" s="1">
        <f>IFERROR(__xludf.DUMMYFUNCTION("""COMPUTED_VALUE"""),3950.0)</f>
        <v>3950</v>
      </c>
      <c r="C383" s="1">
        <f>IFERROR(__xludf.DUMMYFUNCTION("""COMPUTED_VALUE"""),3990.0)</f>
        <v>3990</v>
      </c>
      <c r="D383" s="1">
        <f>IFERROR(__xludf.DUMMYFUNCTION("""COMPUTED_VALUE"""),3920.0)</f>
        <v>3920</v>
      </c>
      <c r="E383" s="1">
        <f>IFERROR(__xludf.DUMMYFUNCTION("""COMPUTED_VALUE"""),3975.0)</f>
        <v>3975</v>
      </c>
      <c r="F383" s="1">
        <f>IFERROR(__xludf.DUMMYFUNCTION("""COMPUTED_VALUE"""),3627.0)</f>
        <v>3627</v>
      </c>
    </row>
    <row r="384">
      <c r="A384" s="2">
        <f>IFERROR(__xludf.DUMMYFUNCTION("""COMPUTED_VALUE"""),41744.645833333336)</f>
        <v>41744.64583</v>
      </c>
      <c r="B384" s="1">
        <f>IFERROR(__xludf.DUMMYFUNCTION("""COMPUTED_VALUE"""),3970.0)</f>
        <v>3970</v>
      </c>
      <c r="C384" s="1">
        <f>IFERROR(__xludf.DUMMYFUNCTION("""COMPUTED_VALUE"""),3970.0)</f>
        <v>3970</v>
      </c>
      <c r="D384" s="1">
        <f>IFERROR(__xludf.DUMMYFUNCTION("""COMPUTED_VALUE"""),3820.0)</f>
        <v>3820</v>
      </c>
      <c r="E384" s="1">
        <f>IFERROR(__xludf.DUMMYFUNCTION("""COMPUTED_VALUE"""),3885.0)</f>
        <v>3885</v>
      </c>
      <c r="F384" s="1">
        <f>IFERROR(__xludf.DUMMYFUNCTION("""COMPUTED_VALUE"""),17109.0)</f>
        <v>17109</v>
      </c>
    </row>
    <row r="385">
      <c r="A385" s="2">
        <f>IFERROR(__xludf.DUMMYFUNCTION("""COMPUTED_VALUE"""),41745.645833333336)</f>
        <v>41745.64583</v>
      </c>
      <c r="B385" s="1">
        <f>IFERROR(__xludf.DUMMYFUNCTION("""COMPUTED_VALUE"""),3980.0)</f>
        <v>3980</v>
      </c>
      <c r="C385" s="1">
        <f>IFERROR(__xludf.DUMMYFUNCTION("""COMPUTED_VALUE"""),3980.0)</f>
        <v>3980</v>
      </c>
      <c r="D385" s="1">
        <f>IFERROR(__xludf.DUMMYFUNCTION("""COMPUTED_VALUE"""),3845.0)</f>
        <v>3845</v>
      </c>
      <c r="E385" s="1">
        <f>IFERROR(__xludf.DUMMYFUNCTION("""COMPUTED_VALUE"""),3870.0)</f>
        <v>3870</v>
      </c>
      <c r="F385" s="1">
        <f>IFERROR(__xludf.DUMMYFUNCTION("""COMPUTED_VALUE"""),15754.0)</f>
        <v>15754</v>
      </c>
    </row>
    <row r="386">
      <c r="A386" s="2">
        <f>IFERROR(__xludf.DUMMYFUNCTION("""COMPUTED_VALUE"""),41746.645833333336)</f>
        <v>41746.64583</v>
      </c>
      <c r="B386" s="1">
        <f>IFERROR(__xludf.DUMMYFUNCTION("""COMPUTED_VALUE"""),3940.0)</f>
        <v>3940</v>
      </c>
      <c r="C386" s="1">
        <f>IFERROR(__xludf.DUMMYFUNCTION("""COMPUTED_VALUE"""),3945.0)</f>
        <v>3945</v>
      </c>
      <c r="D386" s="1">
        <f>IFERROR(__xludf.DUMMYFUNCTION("""COMPUTED_VALUE"""),3810.0)</f>
        <v>3810</v>
      </c>
      <c r="E386" s="1">
        <f>IFERROR(__xludf.DUMMYFUNCTION("""COMPUTED_VALUE"""),3810.0)</f>
        <v>3810</v>
      </c>
      <c r="F386" s="1">
        <f>IFERROR(__xludf.DUMMYFUNCTION("""COMPUTED_VALUE"""),7885.0)</f>
        <v>7885</v>
      </c>
    </row>
    <row r="387">
      <c r="A387" s="2">
        <f>IFERROR(__xludf.DUMMYFUNCTION("""COMPUTED_VALUE"""),41747.645833333336)</f>
        <v>41747.64583</v>
      </c>
      <c r="B387" s="1">
        <f>IFERROR(__xludf.DUMMYFUNCTION("""COMPUTED_VALUE"""),3930.0)</f>
        <v>3930</v>
      </c>
      <c r="C387" s="1">
        <f>IFERROR(__xludf.DUMMYFUNCTION("""COMPUTED_VALUE"""),3930.0)</f>
        <v>3930</v>
      </c>
      <c r="D387" s="1">
        <f>IFERROR(__xludf.DUMMYFUNCTION("""COMPUTED_VALUE"""),3705.0)</f>
        <v>3705</v>
      </c>
      <c r="E387" s="1">
        <f>IFERROR(__xludf.DUMMYFUNCTION("""COMPUTED_VALUE"""),3820.0)</f>
        <v>3820</v>
      </c>
      <c r="F387" s="1">
        <f>IFERROR(__xludf.DUMMYFUNCTION("""COMPUTED_VALUE"""),22850.0)</f>
        <v>22850</v>
      </c>
    </row>
    <row r="388">
      <c r="A388" s="2">
        <f>IFERROR(__xludf.DUMMYFUNCTION("""COMPUTED_VALUE"""),41750.645833333336)</f>
        <v>41750.64583</v>
      </c>
      <c r="B388" s="1">
        <f>IFERROR(__xludf.DUMMYFUNCTION("""COMPUTED_VALUE"""),3950.0)</f>
        <v>3950</v>
      </c>
      <c r="C388" s="1">
        <f>IFERROR(__xludf.DUMMYFUNCTION("""COMPUTED_VALUE"""),3950.0)</f>
        <v>3950</v>
      </c>
      <c r="D388" s="1">
        <f>IFERROR(__xludf.DUMMYFUNCTION("""COMPUTED_VALUE"""),3800.0)</f>
        <v>3800</v>
      </c>
      <c r="E388" s="1">
        <f>IFERROR(__xludf.DUMMYFUNCTION("""COMPUTED_VALUE"""),3840.0)</f>
        <v>3840</v>
      </c>
      <c r="F388" s="1">
        <f>IFERROR(__xludf.DUMMYFUNCTION("""COMPUTED_VALUE"""),27512.0)</f>
        <v>27512</v>
      </c>
    </row>
    <row r="389">
      <c r="A389" s="2">
        <f>IFERROR(__xludf.DUMMYFUNCTION("""COMPUTED_VALUE"""),41751.645833333336)</f>
        <v>41751.64583</v>
      </c>
      <c r="B389" s="1">
        <f>IFERROR(__xludf.DUMMYFUNCTION("""COMPUTED_VALUE"""),3990.0)</f>
        <v>3990</v>
      </c>
      <c r="C389" s="1">
        <f>IFERROR(__xludf.DUMMYFUNCTION("""COMPUTED_VALUE"""),3990.0)</f>
        <v>3990</v>
      </c>
      <c r="D389" s="1">
        <f>IFERROR(__xludf.DUMMYFUNCTION("""COMPUTED_VALUE"""),3800.0)</f>
        <v>3800</v>
      </c>
      <c r="E389" s="1">
        <f>IFERROR(__xludf.DUMMYFUNCTION("""COMPUTED_VALUE"""),3830.0)</f>
        <v>3830</v>
      </c>
      <c r="F389" s="1">
        <f>IFERROR(__xludf.DUMMYFUNCTION("""COMPUTED_VALUE"""),12877.0)</f>
        <v>12877</v>
      </c>
    </row>
    <row r="390">
      <c r="A390" s="2">
        <f>IFERROR(__xludf.DUMMYFUNCTION("""COMPUTED_VALUE"""),41752.645833333336)</f>
        <v>41752.64583</v>
      </c>
      <c r="B390" s="1">
        <f>IFERROR(__xludf.DUMMYFUNCTION("""COMPUTED_VALUE"""),3845.0)</f>
        <v>3845</v>
      </c>
      <c r="C390" s="1">
        <f>IFERROR(__xludf.DUMMYFUNCTION("""COMPUTED_VALUE"""),3845.0)</f>
        <v>3845</v>
      </c>
      <c r="D390" s="1">
        <f>IFERROR(__xludf.DUMMYFUNCTION("""COMPUTED_VALUE"""),3715.0)</f>
        <v>3715</v>
      </c>
      <c r="E390" s="1">
        <f>IFERROR(__xludf.DUMMYFUNCTION("""COMPUTED_VALUE"""),3740.0)</f>
        <v>3740</v>
      </c>
      <c r="F390" s="1">
        <f>IFERROR(__xludf.DUMMYFUNCTION("""COMPUTED_VALUE"""),22403.0)</f>
        <v>22403</v>
      </c>
    </row>
    <row r="391">
      <c r="A391" s="2">
        <f>IFERROR(__xludf.DUMMYFUNCTION("""COMPUTED_VALUE"""),41753.645833333336)</f>
        <v>41753.64583</v>
      </c>
      <c r="B391" s="1">
        <f>IFERROR(__xludf.DUMMYFUNCTION("""COMPUTED_VALUE"""),3930.0)</f>
        <v>3930</v>
      </c>
      <c r="C391" s="1">
        <f>IFERROR(__xludf.DUMMYFUNCTION("""COMPUTED_VALUE"""),3930.0)</f>
        <v>3930</v>
      </c>
      <c r="D391" s="1">
        <f>IFERROR(__xludf.DUMMYFUNCTION("""COMPUTED_VALUE"""),3600.0)</f>
        <v>3600</v>
      </c>
      <c r="E391" s="1">
        <f>IFERROR(__xludf.DUMMYFUNCTION("""COMPUTED_VALUE"""),3770.0)</f>
        <v>3770</v>
      </c>
      <c r="F391" s="1">
        <f>IFERROR(__xludf.DUMMYFUNCTION("""COMPUTED_VALUE"""),38900.0)</f>
        <v>38900</v>
      </c>
    </row>
    <row r="392">
      <c r="A392" s="2">
        <f>IFERROR(__xludf.DUMMYFUNCTION("""COMPUTED_VALUE"""),41754.645833333336)</f>
        <v>41754.64583</v>
      </c>
      <c r="B392" s="1">
        <f>IFERROR(__xludf.DUMMYFUNCTION("""COMPUTED_VALUE"""),3780.0)</f>
        <v>3780</v>
      </c>
      <c r="C392" s="1">
        <f>IFERROR(__xludf.DUMMYFUNCTION("""COMPUTED_VALUE"""),3780.0)</f>
        <v>3780</v>
      </c>
      <c r="D392" s="1">
        <f>IFERROR(__xludf.DUMMYFUNCTION("""COMPUTED_VALUE"""),3700.0)</f>
        <v>3700</v>
      </c>
      <c r="E392" s="1">
        <f>IFERROR(__xludf.DUMMYFUNCTION("""COMPUTED_VALUE"""),3770.0)</f>
        <v>3770</v>
      </c>
      <c r="F392" s="1">
        <f>IFERROR(__xludf.DUMMYFUNCTION("""COMPUTED_VALUE"""),5527.0)</f>
        <v>5527</v>
      </c>
    </row>
    <row r="393">
      <c r="A393" s="2">
        <f>IFERROR(__xludf.DUMMYFUNCTION("""COMPUTED_VALUE"""),41757.645833333336)</f>
        <v>41757.64583</v>
      </c>
      <c r="B393" s="1">
        <f>IFERROR(__xludf.DUMMYFUNCTION("""COMPUTED_VALUE"""),3790.0)</f>
        <v>3790</v>
      </c>
      <c r="C393" s="1">
        <f>IFERROR(__xludf.DUMMYFUNCTION("""COMPUTED_VALUE"""),3790.0)</f>
        <v>3790</v>
      </c>
      <c r="D393" s="1">
        <f>IFERROR(__xludf.DUMMYFUNCTION("""COMPUTED_VALUE"""),3720.0)</f>
        <v>3720</v>
      </c>
      <c r="E393" s="1">
        <f>IFERROR(__xludf.DUMMYFUNCTION("""COMPUTED_VALUE"""),3775.0)</f>
        <v>3775</v>
      </c>
      <c r="F393" s="1">
        <f>IFERROR(__xludf.DUMMYFUNCTION("""COMPUTED_VALUE"""),3371.0)</f>
        <v>3371</v>
      </c>
    </row>
    <row r="394">
      <c r="A394" s="2">
        <f>IFERROR(__xludf.DUMMYFUNCTION("""COMPUTED_VALUE"""),41758.645833333336)</f>
        <v>41758.64583</v>
      </c>
      <c r="B394" s="1">
        <f>IFERROR(__xludf.DUMMYFUNCTION("""COMPUTED_VALUE"""),3640.0)</f>
        <v>3640</v>
      </c>
      <c r="C394" s="1">
        <f>IFERROR(__xludf.DUMMYFUNCTION("""COMPUTED_VALUE"""),3775.0)</f>
        <v>3775</v>
      </c>
      <c r="D394" s="1">
        <f>IFERROR(__xludf.DUMMYFUNCTION("""COMPUTED_VALUE"""),3640.0)</f>
        <v>3640</v>
      </c>
      <c r="E394" s="1">
        <f>IFERROR(__xludf.DUMMYFUNCTION("""COMPUTED_VALUE"""),3745.0)</f>
        <v>3745</v>
      </c>
      <c r="F394" s="1">
        <f>IFERROR(__xludf.DUMMYFUNCTION("""COMPUTED_VALUE"""),4452.0)</f>
        <v>4452</v>
      </c>
    </row>
    <row r="395">
      <c r="A395" s="2">
        <f>IFERROR(__xludf.DUMMYFUNCTION("""COMPUTED_VALUE"""),41759.645833333336)</f>
        <v>41759.64583</v>
      </c>
      <c r="B395" s="1">
        <f>IFERROR(__xludf.DUMMYFUNCTION("""COMPUTED_VALUE"""),3730.0)</f>
        <v>3730</v>
      </c>
      <c r="C395" s="1">
        <f>IFERROR(__xludf.DUMMYFUNCTION("""COMPUTED_VALUE"""),3850.0)</f>
        <v>3850</v>
      </c>
      <c r="D395" s="1">
        <f>IFERROR(__xludf.DUMMYFUNCTION("""COMPUTED_VALUE"""),3720.0)</f>
        <v>3720</v>
      </c>
      <c r="E395" s="1">
        <f>IFERROR(__xludf.DUMMYFUNCTION("""COMPUTED_VALUE"""),3840.0)</f>
        <v>3840</v>
      </c>
      <c r="F395" s="1">
        <f>IFERROR(__xludf.DUMMYFUNCTION("""COMPUTED_VALUE"""),6033.0)</f>
        <v>6033</v>
      </c>
    </row>
    <row r="396">
      <c r="A396" s="2">
        <f>IFERROR(__xludf.DUMMYFUNCTION("""COMPUTED_VALUE"""),41761.645833333336)</f>
        <v>41761.64583</v>
      </c>
      <c r="B396" s="1">
        <f>IFERROR(__xludf.DUMMYFUNCTION("""COMPUTED_VALUE"""),3820.0)</f>
        <v>3820</v>
      </c>
      <c r="C396" s="1">
        <f>IFERROR(__xludf.DUMMYFUNCTION("""COMPUTED_VALUE"""),3875.0)</f>
        <v>3875</v>
      </c>
      <c r="D396" s="1">
        <f>IFERROR(__xludf.DUMMYFUNCTION("""COMPUTED_VALUE"""),3765.0)</f>
        <v>3765</v>
      </c>
      <c r="E396" s="1">
        <f>IFERROR(__xludf.DUMMYFUNCTION("""COMPUTED_VALUE"""),3810.0)</f>
        <v>3810</v>
      </c>
      <c r="F396" s="1">
        <f>IFERROR(__xludf.DUMMYFUNCTION("""COMPUTED_VALUE"""),17083.0)</f>
        <v>17083</v>
      </c>
    </row>
    <row r="397">
      <c r="A397" s="2">
        <f>IFERROR(__xludf.DUMMYFUNCTION("""COMPUTED_VALUE"""),41766.645833333336)</f>
        <v>41766.64583</v>
      </c>
      <c r="B397" s="1">
        <f>IFERROR(__xludf.DUMMYFUNCTION("""COMPUTED_VALUE"""),3810.0)</f>
        <v>3810</v>
      </c>
      <c r="C397" s="1">
        <f>IFERROR(__xludf.DUMMYFUNCTION("""COMPUTED_VALUE"""),3840.0)</f>
        <v>3840</v>
      </c>
      <c r="D397" s="1">
        <f>IFERROR(__xludf.DUMMYFUNCTION("""COMPUTED_VALUE"""),3700.0)</f>
        <v>3700</v>
      </c>
      <c r="E397" s="1">
        <f>IFERROR(__xludf.DUMMYFUNCTION("""COMPUTED_VALUE"""),3780.0)</f>
        <v>3780</v>
      </c>
      <c r="F397" s="1">
        <f>IFERROR(__xludf.DUMMYFUNCTION("""COMPUTED_VALUE"""),15223.0)</f>
        <v>15223</v>
      </c>
    </row>
    <row r="398">
      <c r="A398" s="2">
        <f>IFERROR(__xludf.DUMMYFUNCTION("""COMPUTED_VALUE"""),41767.645833333336)</f>
        <v>41767.64583</v>
      </c>
      <c r="B398" s="1">
        <f>IFERROR(__xludf.DUMMYFUNCTION("""COMPUTED_VALUE"""),3780.0)</f>
        <v>3780</v>
      </c>
      <c r="C398" s="1">
        <f>IFERROR(__xludf.DUMMYFUNCTION("""COMPUTED_VALUE"""),3780.0)</f>
        <v>3780</v>
      </c>
      <c r="D398" s="1">
        <f>IFERROR(__xludf.DUMMYFUNCTION("""COMPUTED_VALUE"""),3630.0)</f>
        <v>3630</v>
      </c>
      <c r="E398" s="1">
        <f>IFERROR(__xludf.DUMMYFUNCTION("""COMPUTED_VALUE"""),3775.0)</f>
        <v>3775</v>
      </c>
      <c r="F398" s="1">
        <f>IFERROR(__xludf.DUMMYFUNCTION("""COMPUTED_VALUE"""),152949.0)</f>
        <v>152949</v>
      </c>
    </row>
    <row r="399">
      <c r="A399" s="2">
        <f>IFERROR(__xludf.DUMMYFUNCTION("""COMPUTED_VALUE"""),41768.645833333336)</f>
        <v>41768.64583</v>
      </c>
      <c r="B399" s="1">
        <f>IFERROR(__xludf.DUMMYFUNCTION("""COMPUTED_VALUE"""),3715.0)</f>
        <v>3715</v>
      </c>
      <c r="C399" s="1">
        <f>IFERROR(__xludf.DUMMYFUNCTION("""COMPUTED_VALUE"""),3850.0)</f>
        <v>3850</v>
      </c>
      <c r="D399" s="1">
        <f>IFERROR(__xludf.DUMMYFUNCTION("""COMPUTED_VALUE"""),3690.0)</f>
        <v>3690</v>
      </c>
      <c r="E399" s="1">
        <f>IFERROR(__xludf.DUMMYFUNCTION("""COMPUTED_VALUE"""),3760.0)</f>
        <v>3760</v>
      </c>
      <c r="F399" s="1">
        <f>IFERROR(__xludf.DUMMYFUNCTION("""COMPUTED_VALUE"""),33910.0)</f>
        <v>33910</v>
      </c>
    </row>
    <row r="400">
      <c r="A400" s="2">
        <f>IFERROR(__xludf.DUMMYFUNCTION("""COMPUTED_VALUE"""),41771.645833333336)</f>
        <v>41771.64583</v>
      </c>
      <c r="B400" s="1">
        <f>IFERROR(__xludf.DUMMYFUNCTION("""COMPUTED_VALUE"""),3775.0)</f>
        <v>3775</v>
      </c>
      <c r="C400" s="1">
        <f>IFERROR(__xludf.DUMMYFUNCTION("""COMPUTED_VALUE"""),3805.0)</f>
        <v>3805</v>
      </c>
      <c r="D400" s="1">
        <f>IFERROR(__xludf.DUMMYFUNCTION("""COMPUTED_VALUE"""),3650.0)</f>
        <v>3650</v>
      </c>
      <c r="E400" s="1">
        <f>IFERROR(__xludf.DUMMYFUNCTION("""COMPUTED_VALUE"""),3650.0)</f>
        <v>3650</v>
      </c>
      <c r="F400" s="1">
        <f>IFERROR(__xludf.DUMMYFUNCTION("""COMPUTED_VALUE"""),7226.0)</f>
        <v>7226</v>
      </c>
    </row>
    <row r="401">
      <c r="A401" s="2">
        <f>IFERROR(__xludf.DUMMYFUNCTION("""COMPUTED_VALUE"""),41772.645833333336)</f>
        <v>41772.64583</v>
      </c>
      <c r="B401" s="1">
        <f>IFERROR(__xludf.DUMMYFUNCTION("""COMPUTED_VALUE"""),3650.0)</f>
        <v>3650</v>
      </c>
      <c r="C401" s="1">
        <f>IFERROR(__xludf.DUMMYFUNCTION("""COMPUTED_VALUE"""),3780.0)</f>
        <v>3780</v>
      </c>
      <c r="D401" s="1">
        <f>IFERROR(__xludf.DUMMYFUNCTION("""COMPUTED_VALUE"""),3650.0)</f>
        <v>3650</v>
      </c>
      <c r="E401" s="1">
        <f>IFERROR(__xludf.DUMMYFUNCTION("""COMPUTED_VALUE"""),3780.0)</f>
        <v>3780</v>
      </c>
      <c r="F401" s="1">
        <f>IFERROR(__xludf.DUMMYFUNCTION("""COMPUTED_VALUE"""),6792.0)</f>
        <v>6792</v>
      </c>
    </row>
    <row r="402">
      <c r="A402" s="2">
        <f>IFERROR(__xludf.DUMMYFUNCTION("""COMPUTED_VALUE"""),41773.645833333336)</f>
        <v>41773.64583</v>
      </c>
      <c r="B402" s="1">
        <f>IFERROR(__xludf.DUMMYFUNCTION("""COMPUTED_VALUE"""),3900.0)</f>
        <v>3900</v>
      </c>
      <c r="C402" s="1">
        <f>IFERROR(__xludf.DUMMYFUNCTION("""COMPUTED_VALUE"""),3900.0)</f>
        <v>3900</v>
      </c>
      <c r="D402" s="1">
        <f>IFERROR(__xludf.DUMMYFUNCTION("""COMPUTED_VALUE"""),3750.0)</f>
        <v>3750</v>
      </c>
      <c r="E402" s="1">
        <f>IFERROR(__xludf.DUMMYFUNCTION("""COMPUTED_VALUE"""),3845.0)</f>
        <v>3845</v>
      </c>
      <c r="F402" s="1">
        <f>IFERROR(__xludf.DUMMYFUNCTION("""COMPUTED_VALUE"""),6683.0)</f>
        <v>6683</v>
      </c>
    </row>
    <row r="403">
      <c r="A403" s="2">
        <f>IFERROR(__xludf.DUMMYFUNCTION("""COMPUTED_VALUE"""),41774.645833333336)</f>
        <v>41774.64583</v>
      </c>
      <c r="B403" s="1">
        <f>IFERROR(__xludf.DUMMYFUNCTION("""COMPUTED_VALUE"""),3890.0)</f>
        <v>3890</v>
      </c>
      <c r="C403" s="1">
        <f>IFERROR(__xludf.DUMMYFUNCTION("""COMPUTED_VALUE"""),3890.0)</f>
        <v>3890</v>
      </c>
      <c r="D403" s="1">
        <f>IFERROR(__xludf.DUMMYFUNCTION("""COMPUTED_VALUE"""),3750.0)</f>
        <v>3750</v>
      </c>
      <c r="E403" s="1">
        <f>IFERROR(__xludf.DUMMYFUNCTION("""COMPUTED_VALUE"""),3775.0)</f>
        <v>3775</v>
      </c>
      <c r="F403" s="1">
        <f>IFERROR(__xludf.DUMMYFUNCTION("""COMPUTED_VALUE"""),7559.0)</f>
        <v>7559</v>
      </c>
    </row>
    <row r="404">
      <c r="A404" s="2">
        <f>IFERROR(__xludf.DUMMYFUNCTION("""COMPUTED_VALUE"""),41775.645833333336)</f>
        <v>41775.64583</v>
      </c>
      <c r="B404" s="1">
        <f>IFERROR(__xludf.DUMMYFUNCTION("""COMPUTED_VALUE"""),3800.0)</f>
        <v>3800</v>
      </c>
      <c r="C404" s="1">
        <f>IFERROR(__xludf.DUMMYFUNCTION("""COMPUTED_VALUE"""),3870.0)</f>
        <v>3870</v>
      </c>
      <c r="D404" s="1">
        <f>IFERROR(__xludf.DUMMYFUNCTION("""COMPUTED_VALUE"""),3750.0)</f>
        <v>3750</v>
      </c>
      <c r="E404" s="1">
        <f>IFERROR(__xludf.DUMMYFUNCTION("""COMPUTED_VALUE"""),3840.0)</f>
        <v>3840</v>
      </c>
      <c r="F404" s="1">
        <f>IFERROR(__xludf.DUMMYFUNCTION("""COMPUTED_VALUE"""),29439.0)</f>
        <v>29439</v>
      </c>
    </row>
    <row r="405">
      <c r="A405" s="2">
        <f>IFERROR(__xludf.DUMMYFUNCTION("""COMPUTED_VALUE"""),41778.645833333336)</f>
        <v>41778.64583</v>
      </c>
      <c r="B405" s="1">
        <f>IFERROR(__xludf.DUMMYFUNCTION("""COMPUTED_VALUE"""),3820.0)</f>
        <v>3820</v>
      </c>
      <c r="C405" s="1">
        <f>IFERROR(__xludf.DUMMYFUNCTION("""COMPUTED_VALUE"""),3900.0)</f>
        <v>3900</v>
      </c>
      <c r="D405" s="1">
        <f>IFERROR(__xludf.DUMMYFUNCTION("""COMPUTED_VALUE"""),3700.0)</f>
        <v>3700</v>
      </c>
      <c r="E405" s="1">
        <f>IFERROR(__xludf.DUMMYFUNCTION("""COMPUTED_VALUE"""),3755.0)</f>
        <v>3755</v>
      </c>
      <c r="F405" s="1">
        <f>IFERROR(__xludf.DUMMYFUNCTION("""COMPUTED_VALUE"""),21370.0)</f>
        <v>21370</v>
      </c>
    </row>
    <row r="406">
      <c r="A406" s="2">
        <f>IFERROR(__xludf.DUMMYFUNCTION("""COMPUTED_VALUE"""),41779.645833333336)</f>
        <v>41779.64583</v>
      </c>
      <c r="B406" s="1">
        <f>IFERROR(__xludf.DUMMYFUNCTION("""COMPUTED_VALUE"""),3755.0)</f>
        <v>3755</v>
      </c>
      <c r="C406" s="1">
        <f>IFERROR(__xludf.DUMMYFUNCTION("""COMPUTED_VALUE"""),3870.0)</f>
        <v>3870</v>
      </c>
      <c r="D406" s="1">
        <f>IFERROR(__xludf.DUMMYFUNCTION("""COMPUTED_VALUE"""),3655.0)</f>
        <v>3655</v>
      </c>
      <c r="E406" s="1">
        <f>IFERROR(__xludf.DUMMYFUNCTION("""COMPUTED_VALUE"""),3795.0)</f>
        <v>3795</v>
      </c>
      <c r="F406" s="1">
        <f>IFERROR(__xludf.DUMMYFUNCTION("""COMPUTED_VALUE"""),6720.0)</f>
        <v>6720</v>
      </c>
    </row>
    <row r="407">
      <c r="A407" s="2">
        <f>IFERROR(__xludf.DUMMYFUNCTION("""COMPUTED_VALUE"""),41780.645833333336)</f>
        <v>41780.64583</v>
      </c>
      <c r="B407" s="1">
        <f>IFERROR(__xludf.DUMMYFUNCTION("""COMPUTED_VALUE"""),3755.0)</f>
        <v>3755</v>
      </c>
      <c r="C407" s="1">
        <f>IFERROR(__xludf.DUMMYFUNCTION("""COMPUTED_VALUE"""),3845.0)</f>
        <v>3845</v>
      </c>
      <c r="D407" s="1">
        <f>IFERROR(__xludf.DUMMYFUNCTION("""COMPUTED_VALUE"""),3705.0)</f>
        <v>3705</v>
      </c>
      <c r="E407" s="1">
        <f>IFERROR(__xludf.DUMMYFUNCTION("""COMPUTED_VALUE"""),3790.0)</f>
        <v>3790</v>
      </c>
      <c r="F407" s="1">
        <f>IFERROR(__xludf.DUMMYFUNCTION("""COMPUTED_VALUE"""),5889.0)</f>
        <v>5889</v>
      </c>
    </row>
    <row r="408">
      <c r="A408" s="2">
        <f>IFERROR(__xludf.DUMMYFUNCTION("""COMPUTED_VALUE"""),41781.645833333336)</f>
        <v>41781.64583</v>
      </c>
      <c r="B408" s="1">
        <f>IFERROR(__xludf.DUMMYFUNCTION("""COMPUTED_VALUE"""),3785.0)</f>
        <v>3785</v>
      </c>
      <c r="C408" s="1">
        <f>IFERROR(__xludf.DUMMYFUNCTION("""COMPUTED_VALUE"""),3920.0)</f>
        <v>3920</v>
      </c>
      <c r="D408" s="1">
        <f>IFERROR(__xludf.DUMMYFUNCTION("""COMPUTED_VALUE"""),3750.0)</f>
        <v>3750</v>
      </c>
      <c r="E408" s="1">
        <f>IFERROR(__xludf.DUMMYFUNCTION("""COMPUTED_VALUE"""),3760.0)</f>
        <v>3760</v>
      </c>
      <c r="F408" s="1">
        <f>IFERROR(__xludf.DUMMYFUNCTION("""COMPUTED_VALUE"""),27805.0)</f>
        <v>27805</v>
      </c>
    </row>
    <row r="409">
      <c r="A409" s="2">
        <f>IFERROR(__xludf.DUMMYFUNCTION("""COMPUTED_VALUE"""),41782.645833333336)</f>
        <v>41782.64583</v>
      </c>
      <c r="B409" s="1">
        <f>IFERROR(__xludf.DUMMYFUNCTION("""COMPUTED_VALUE"""),3775.0)</f>
        <v>3775</v>
      </c>
      <c r="C409" s="1">
        <f>IFERROR(__xludf.DUMMYFUNCTION("""COMPUTED_VALUE"""),3990.0)</f>
        <v>3990</v>
      </c>
      <c r="D409" s="1">
        <f>IFERROR(__xludf.DUMMYFUNCTION("""COMPUTED_VALUE"""),3770.0)</f>
        <v>3770</v>
      </c>
      <c r="E409" s="1">
        <f>IFERROR(__xludf.DUMMYFUNCTION("""COMPUTED_VALUE"""),3775.0)</f>
        <v>3775</v>
      </c>
      <c r="F409" s="1">
        <f>IFERROR(__xludf.DUMMYFUNCTION("""COMPUTED_VALUE"""),25874.0)</f>
        <v>25874</v>
      </c>
    </row>
    <row r="410">
      <c r="A410" s="2">
        <f>IFERROR(__xludf.DUMMYFUNCTION("""COMPUTED_VALUE"""),41785.645833333336)</f>
        <v>41785.64583</v>
      </c>
      <c r="B410" s="1">
        <f>IFERROR(__xludf.DUMMYFUNCTION("""COMPUTED_VALUE"""),3785.0)</f>
        <v>3785</v>
      </c>
      <c r="C410" s="1">
        <f>IFERROR(__xludf.DUMMYFUNCTION("""COMPUTED_VALUE"""),3895.0)</f>
        <v>3895</v>
      </c>
      <c r="D410" s="1">
        <f>IFERROR(__xludf.DUMMYFUNCTION("""COMPUTED_VALUE"""),3700.0)</f>
        <v>3700</v>
      </c>
      <c r="E410" s="1">
        <f>IFERROR(__xludf.DUMMYFUNCTION("""COMPUTED_VALUE"""),3735.0)</f>
        <v>3735</v>
      </c>
      <c r="F410" s="1">
        <f>IFERROR(__xludf.DUMMYFUNCTION("""COMPUTED_VALUE"""),11958.0)</f>
        <v>11958</v>
      </c>
    </row>
    <row r="411">
      <c r="A411" s="2">
        <f>IFERROR(__xludf.DUMMYFUNCTION("""COMPUTED_VALUE"""),41786.645833333336)</f>
        <v>41786.64583</v>
      </c>
      <c r="B411" s="1">
        <f>IFERROR(__xludf.DUMMYFUNCTION("""COMPUTED_VALUE"""),3840.0)</f>
        <v>3840</v>
      </c>
      <c r="C411" s="1">
        <f>IFERROR(__xludf.DUMMYFUNCTION("""COMPUTED_VALUE"""),3840.0)</f>
        <v>3840</v>
      </c>
      <c r="D411" s="1">
        <f>IFERROR(__xludf.DUMMYFUNCTION("""COMPUTED_VALUE"""),3615.0)</f>
        <v>3615</v>
      </c>
      <c r="E411" s="1">
        <f>IFERROR(__xludf.DUMMYFUNCTION("""COMPUTED_VALUE"""),3750.0)</f>
        <v>3750</v>
      </c>
      <c r="F411" s="1">
        <f>IFERROR(__xludf.DUMMYFUNCTION("""COMPUTED_VALUE"""),4015.0)</f>
        <v>4015</v>
      </c>
    </row>
    <row r="412">
      <c r="A412" s="2">
        <f>IFERROR(__xludf.DUMMYFUNCTION("""COMPUTED_VALUE"""),41787.645833333336)</f>
        <v>41787.64583</v>
      </c>
      <c r="B412" s="1">
        <f>IFERROR(__xludf.DUMMYFUNCTION("""COMPUTED_VALUE"""),3750.0)</f>
        <v>3750</v>
      </c>
      <c r="C412" s="1">
        <f>IFERROR(__xludf.DUMMYFUNCTION("""COMPUTED_VALUE"""),3855.0)</f>
        <v>3855</v>
      </c>
      <c r="D412" s="1">
        <f>IFERROR(__xludf.DUMMYFUNCTION("""COMPUTED_VALUE"""),3700.0)</f>
        <v>3700</v>
      </c>
      <c r="E412" s="1">
        <f>IFERROR(__xludf.DUMMYFUNCTION("""COMPUTED_VALUE"""),3700.0)</f>
        <v>3700</v>
      </c>
      <c r="F412" s="1">
        <f>IFERROR(__xludf.DUMMYFUNCTION("""COMPUTED_VALUE"""),13550.0)</f>
        <v>13550</v>
      </c>
    </row>
    <row r="413">
      <c r="A413" s="2">
        <f>IFERROR(__xludf.DUMMYFUNCTION("""COMPUTED_VALUE"""),41788.645833333336)</f>
        <v>41788.64583</v>
      </c>
      <c r="B413" s="1">
        <f>IFERROR(__xludf.DUMMYFUNCTION("""COMPUTED_VALUE"""),3800.0)</f>
        <v>3800</v>
      </c>
      <c r="C413" s="1">
        <f>IFERROR(__xludf.DUMMYFUNCTION("""COMPUTED_VALUE"""),3820.0)</f>
        <v>3820</v>
      </c>
      <c r="D413" s="1">
        <f>IFERROR(__xludf.DUMMYFUNCTION("""COMPUTED_VALUE"""),3700.0)</f>
        <v>3700</v>
      </c>
      <c r="E413" s="1">
        <f>IFERROR(__xludf.DUMMYFUNCTION("""COMPUTED_VALUE"""),3780.0)</f>
        <v>3780</v>
      </c>
      <c r="F413" s="1">
        <f>IFERROR(__xludf.DUMMYFUNCTION("""COMPUTED_VALUE"""),1415.0)</f>
        <v>1415</v>
      </c>
    </row>
    <row r="414">
      <c r="A414" s="2">
        <f>IFERROR(__xludf.DUMMYFUNCTION("""COMPUTED_VALUE"""),41789.645833333336)</f>
        <v>41789.64583</v>
      </c>
      <c r="B414" s="1">
        <f>IFERROR(__xludf.DUMMYFUNCTION("""COMPUTED_VALUE"""),3780.0)</f>
        <v>3780</v>
      </c>
      <c r="C414" s="1">
        <f>IFERROR(__xludf.DUMMYFUNCTION("""COMPUTED_VALUE"""),3780.0)</f>
        <v>3780</v>
      </c>
      <c r="D414" s="1">
        <f>IFERROR(__xludf.DUMMYFUNCTION("""COMPUTED_VALUE"""),3675.0)</f>
        <v>3675</v>
      </c>
      <c r="E414" s="1">
        <f>IFERROR(__xludf.DUMMYFUNCTION("""COMPUTED_VALUE"""),3680.0)</f>
        <v>3680</v>
      </c>
      <c r="F414" s="1">
        <f>IFERROR(__xludf.DUMMYFUNCTION("""COMPUTED_VALUE"""),11552.0)</f>
        <v>11552</v>
      </c>
    </row>
    <row r="415">
      <c r="A415" s="2">
        <f>IFERROR(__xludf.DUMMYFUNCTION("""COMPUTED_VALUE"""),41792.645833333336)</f>
        <v>41792.64583</v>
      </c>
      <c r="B415" s="1">
        <f>IFERROR(__xludf.DUMMYFUNCTION("""COMPUTED_VALUE"""),3700.0)</f>
        <v>3700</v>
      </c>
      <c r="C415" s="1">
        <f>IFERROR(__xludf.DUMMYFUNCTION("""COMPUTED_VALUE"""),3750.0)</f>
        <v>3750</v>
      </c>
      <c r="D415" s="1">
        <f>IFERROR(__xludf.DUMMYFUNCTION("""COMPUTED_VALUE"""),3500.0)</f>
        <v>3500</v>
      </c>
      <c r="E415" s="1">
        <f>IFERROR(__xludf.DUMMYFUNCTION("""COMPUTED_VALUE"""),3700.0)</f>
        <v>3700</v>
      </c>
      <c r="F415" s="1">
        <f>IFERROR(__xludf.DUMMYFUNCTION("""COMPUTED_VALUE"""),14926.0)</f>
        <v>14926</v>
      </c>
    </row>
    <row r="416">
      <c r="A416" s="2">
        <f>IFERROR(__xludf.DUMMYFUNCTION("""COMPUTED_VALUE"""),41793.645833333336)</f>
        <v>41793.64583</v>
      </c>
      <c r="B416" s="1">
        <f>IFERROR(__xludf.DUMMYFUNCTION("""COMPUTED_VALUE"""),3735.0)</f>
        <v>3735</v>
      </c>
      <c r="C416" s="1">
        <f>IFERROR(__xludf.DUMMYFUNCTION("""COMPUTED_VALUE"""),3750.0)</f>
        <v>3750</v>
      </c>
      <c r="D416" s="1">
        <f>IFERROR(__xludf.DUMMYFUNCTION("""COMPUTED_VALUE"""),3665.0)</f>
        <v>3665</v>
      </c>
      <c r="E416" s="1">
        <f>IFERROR(__xludf.DUMMYFUNCTION("""COMPUTED_VALUE"""),3700.0)</f>
        <v>3700</v>
      </c>
      <c r="F416" s="1">
        <f>IFERROR(__xludf.DUMMYFUNCTION("""COMPUTED_VALUE"""),23849.0)</f>
        <v>23849</v>
      </c>
    </row>
    <row r="417">
      <c r="A417" s="2">
        <f>IFERROR(__xludf.DUMMYFUNCTION("""COMPUTED_VALUE"""),41795.645833333336)</f>
        <v>41795.64583</v>
      </c>
      <c r="B417" s="1">
        <f>IFERROR(__xludf.DUMMYFUNCTION("""COMPUTED_VALUE"""),3700.0)</f>
        <v>3700</v>
      </c>
      <c r="C417" s="1">
        <f>IFERROR(__xludf.DUMMYFUNCTION("""COMPUTED_VALUE"""),3820.0)</f>
        <v>3820</v>
      </c>
      <c r="D417" s="1">
        <f>IFERROR(__xludf.DUMMYFUNCTION("""COMPUTED_VALUE"""),3620.0)</f>
        <v>3620</v>
      </c>
      <c r="E417" s="1">
        <f>IFERROR(__xludf.DUMMYFUNCTION("""COMPUTED_VALUE"""),3695.0)</f>
        <v>3695</v>
      </c>
      <c r="F417" s="1">
        <f>IFERROR(__xludf.DUMMYFUNCTION("""COMPUTED_VALUE"""),27020.0)</f>
        <v>27020</v>
      </c>
    </row>
    <row r="418">
      <c r="A418" s="2">
        <f>IFERROR(__xludf.DUMMYFUNCTION("""COMPUTED_VALUE"""),41799.645833333336)</f>
        <v>41799.64583</v>
      </c>
      <c r="B418" s="1">
        <f>IFERROR(__xludf.DUMMYFUNCTION("""COMPUTED_VALUE"""),3780.0)</f>
        <v>3780</v>
      </c>
      <c r="C418" s="1">
        <f>IFERROR(__xludf.DUMMYFUNCTION("""COMPUTED_VALUE"""),3780.0)</f>
        <v>3780</v>
      </c>
      <c r="D418" s="1">
        <f>IFERROR(__xludf.DUMMYFUNCTION("""COMPUTED_VALUE"""),3620.0)</f>
        <v>3620</v>
      </c>
      <c r="E418" s="1">
        <f>IFERROR(__xludf.DUMMYFUNCTION("""COMPUTED_VALUE"""),3690.0)</f>
        <v>3690</v>
      </c>
      <c r="F418" s="1">
        <f>IFERROR(__xludf.DUMMYFUNCTION("""COMPUTED_VALUE"""),7137.0)</f>
        <v>7137</v>
      </c>
    </row>
    <row r="419">
      <c r="A419" s="2">
        <f>IFERROR(__xludf.DUMMYFUNCTION("""COMPUTED_VALUE"""),41800.645833333336)</f>
        <v>41800.64583</v>
      </c>
      <c r="B419" s="1">
        <f>IFERROR(__xludf.DUMMYFUNCTION("""COMPUTED_VALUE"""),3820.0)</f>
        <v>3820</v>
      </c>
      <c r="C419" s="1">
        <f>IFERROR(__xludf.DUMMYFUNCTION("""COMPUTED_VALUE"""),3820.0)</f>
        <v>3820</v>
      </c>
      <c r="D419" s="1">
        <f>IFERROR(__xludf.DUMMYFUNCTION("""COMPUTED_VALUE"""),3630.0)</f>
        <v>3630</v>
      </c>
      <c r="E419" s="1">
        <f>IFERROR(__xludf.DUMMYFUNCTION("""COMPUTED_VALUE"""),3675.0)</f>
        <v>3675</v>
      </c>
      <c r="F419" s="1">
        <f>IFERROR(__xludf.DUMMYFUNCTION("""COMPUTED_VALUE"""),18709.0)</f>
        <v>18709</v>
      </c>
    </row>
    <row r="420">
      <c r="A420" s="2">
        <f>IFERROR(__xludf.DUMMYFUNCTION("""COMPUTED_VALUE"""),41801.645833333336)</f>
        <v>41801.64583</v>
      </c>
      <c r="B420" s="1">
        <f>IFERROR(__xludf.DUMMYFUNCTION("""COMPUTED_VALUE"""),3700.0)</f>
        <v>3700</v>
      </c>
      <c r="C420" s="1">
        <f>IFERROR(__xludf.DUMMYFUNCTION("""COMPUTED_VALUE"""),3700.0)</f>
        <v>3700</v>
      </c>
      <c r="D420" s="1">
        <f>IFERROR(__xludf.DUMMYFUNCTION("""COMPUTED_VALUE"""),3510.0)</f>
        <v>3510</v>
      </c>
      <c r="E420" s="1">
        <f>IFERROR(__xludf.DUMMYFUNCTION("""COMPUTED_VALUE"""),3625.0)</f>
        <v>3625</v>
      </c>
      <c r="F420" s="1">
        <f>IFERROR(__xludf.DUMMYFUNCTION("""COMPUTED_VALUE"""),37548.0)</f>
        <v>37548</v>
      </c>
    </row>
    <row r="421">
      <c r="A421" s="2">
        <f>IFERROR(__xludf.DUMMYFUNCTION("""COMPUTED_VALUE"""),41802.645833333336)</f>
        <v>41802.64583</v>
      </c>
      <c r="B421" s="1">
        <f>IFERROR(__xludf.DUMMYFUNCTION("""COMPUTED_VALUE"""),3605.0)</f>
        <v>3605</v>
      </c>
      <c r="C421" s="1">
        <f>IFERROR(__xludf.DUMMYFUNCTION("""COMPUTED_VALUE"""),3690.0)</f>
        <v>3690</v>
      </c>
      <c r="D421" s="1">
        <f>IFERROR(__xludf.DUMMYFUNCTION("""COMPUTED_VALUE"""),3405.0)</f>
        <v>3405</v>
      </c>
      <c r="E421" s="1">
        <f>IFERROR(__xludf.DUMMYFUNCTION("""COMPUTED_VALUE"""),3630.0)</f>
        <v>3630</v>
      </c>
      <c r="F421" s="1">
        <f>IFERROR(__xludf.DUMMYFUNCTION("""COMPUTED_VALUE"""),42185.0)</f>
        <v>42185</v>
      </c>
    </row>
    <row r="422">
      <c r="A422" s="2">
        <f>IFERROR(__xludf.DUMMYFUNCTION("""COMPUTED_VALUE"""),41803.645833333336)</f>
        <v>41803.64583</v>
      </c>
      <c r="B422" s="1">
        <f>IFERROR(__xludf.DUMMYFUNCTION("""COMPUTED_VALUE"""),3820.0)</f>
        <v>3820</v>
      </c>
      <c r="C422" s="1">
        <f>IFERROR(__xludf.DUMMYFUNCTION("""COMPUTED_VALUE"""),3820.0)</f>
        <v>3820</v>
      </c>
      <c r="D422" s="1">
        <f>IFERROR(__xludf.DUMMYFUNCTION("""COMPUTED_VALUE"""),3560.0)</f>
        <v>3560</v>
      </c>
      <c r="E422" s="1">
        <f>IFERROR(__xludf.DUMMYFUNCTION("""COMPUTED_VALUE"""),3575.0)</f>
        <v>3575</v>
      </c>
      <c r="F422" s="1">
        <f>IFERROR(__xludf.DUMMYFUNCTION("""COMPUTED_VALUE"""),16636.0)</f>
        <v>16636</v>
      </c>
    </row>
    <row r="423">
      <c r="A423" s="2">
        <f>IFERROR(__xludf.DUMMYFUNCTION("""COMPUTED_VALUE"""),41806.645833333336)</f>
        <v>41806.64583</v>
      </c>
      <c r="B423" s="1">
        <f>IFERROR(__xludf.DUMMYFUNCTION("""COMPUTED_VALUE"""),3600.0)</f>
        <v>3600</v>
      </c>
      <c r="C423" s="1">
        <f>IFERROR(__xludf.DUMMYFUNCTION("""COMPUTED_VALUE"""),3645.0)</f>
        <v>3645</v>
      </c>
      <c r="D423" s="1">
        <f>IFERROR(__xludf.DUMMYFUNCTION("""COMPUTED_VALUE"""),3560.0)</f>
        <v>3560</v>
      </c>
      <c r="E423" s="1">
        <f>IFERROR(__xludf.DUMMYFUNCTION("""COMPUTED_VALUE"""),3580.0)</f>
        <v>3580</v>
      </c>
      <c r="F423" s="1">
        <f>IFERROR(__xludf.DUMMYFUNCTION("""COMPUTED_VALUE"""),55694.0)</f>
        <v>55694</v>
      </c>
    </row>
    <row r="424">
      <c r="A424" s="2">
        <f>IFERROR(__xludf.DUMMYFUNCTION("""COMPUTED_VALUE"""),41807.645833333336)</f>
        <v>41807.64583</v>
      </c>
      <c r="B424" s="1">
        <f>IFERROR(__xludf.DUMMYFUNCTION("""COMPUTED_VALUE"""),3600.0)</f>
        <v>3600</v>
      </c>
      <c r="C424" s="1">
        <f>IFERROR(__xludf.DUMMYFUNCTION("""COMPUTED_VALUE"""),3600.0)</f>
        <v>3600</v>
      </c>
      <c r="D424" s="1">
        <f>IFERROR(__xludf.DUMMYFUNCTION("""COMPUTED_VALUE"""),3465.0)</f>
        <v>3465</v>
      </c>
      <c r="E424" s="1">
        <f>IFERROR(__xludf.DUMMYFUNCTION("""COMPUTED_VALUE"""),3475.0)</f>
        <v>3475</v>
      </c>
      <c r="F424" s="1">
        <f>IFERROR(__xludf.DUMMYFUNCTION("""COMPUTED_VALUE"""),54524.0)</f>
        <v>54524</v>
      </c>
    </row>
    <row r="425">
      <c r="A425" s="2">
        <f>IFERROR(__xludf.DUMMYFUNCTION("""COMPUTED_VALUE"""),41808.645833333336)</f>
        <v>41808.64583</v>
      </c>
      <c r="B425" s="1">
        <f>IFERROR(__xludf.DUMMYFUNCTION("""COMPUTED_VALUE"""),3800.0)</f>
        <v>3800</v>
      </c>
      <c r="C425" s="1">
        <f>IFERROR(__xludf.DUMMYFUNCTION("""COMPUTED_VALUE"""),3800.0)</f>
        <v>3800</v>
      </c>
      <c r="D425" s="1">
        <f>IFERROR(__xludf.DUMMYFUNCTION("""COMPUTED_VALUE"""),3400.0)</f>
        <v>3400</v>
      </c>
      <c r="E425" s="1">
        <f>IFERROR(__xludf.DUMMYFUNCTION("""COMPUTED_VALUE"""),3410.0)</f>
        <v>3410</v>
      </c>
      <c r="F425" s="1">
        <f>IFERROR(__xludf.DUMMYFUNCTION("""COMPUTED_VALUE"""),37588.0)</f>
        <v>37588</v>
      </c>
    </row>
    <row r="426">
      <c r="A426" s="2">
        <f>IFERROR(__xludf.DUMMYFUNCTION("""COMPUTED_VALUE"""),41809.645833333336)</f>
        <v>41809.64583</v>
      </c>
      <c r="B426" s="1">
        <f>IFERROR(__xludf.DUMMYFUNCTION("""COMPUTED_VALUE"""),3630.0)</f>
        <v>3630</v>
      </c>
      <c r="C426" s="1">
        <f>IFERROR(__xludf.DUMMYFUNCTION("""COMPUTED_VALUE"""),3630.0)</f>
        <v>3630</v>
      </c>
      <c r="D426" s="1">
        <f>IFERROR(__xludf.DUMMYFUNCTION("""COMPUTED_VALUE"""),3385.0)</f>
        <v>3385</v>
      </c>
      <c r="E426" s="1">
        <f>IFERROR(__xludf.DUMMYFUNCTION("""COMPUTED_VALUE"""),3405.0)</f>
        <v>3405</v>
      </c>
      <c r="F426" s="1">
        <f>IFERROR(__xludf.DUMMYFUNCTION("""COMPUTED_VALUE"""),18825.0)</f>
        <v>18825</v>
      </c>
    </row>
    <row r="427">
      <c r="A427" s="2">
        <f>IFERROR(__xludf.DUMMYFUNCTION("""COMPUTED_VALUE"""),41810.645833333336)</f>
        <v>41810.64583</v>
      </c>
      <c r="B427" s="1">
        <f>IFERROR(__xludf.DUMMYFUNCTION("""COMPUTED_VALUE"""),3410.0)</f>
        <v>3410</v>
      </c>
      <c r="C427" s="1">
        <f>IFERROR(__xludf.DUMMYFUNCTION("""COMPUTED_VALUE"""),3410.0)</f>
        <v>3410</v>
      </c>
      <c r="D427" s="1">
        <f>IFERROR(__xludf.DUMMYFUNCTION("""COMPUTED_VALUE"""),3345.0)</f>
        <v>3345</v>
      </c>
      <c r="E427" s="1">
        <f>IFERROR(__xludf.DUMMYFUNCTION("""COMPUTED_VALUE"""),3345.0)</f>
        <v>3345</v>
      </c>
      <c r="F427" s="1">
        <f>IFERROR(__xludf.DUMMYFUNCTION("""COMPUTED_VALUE"""),10556.0)</f>
        <v>10556</v>
      </c>
    </row>
    <row r="428">
      <c r="A428" s="2">
        <f>IFERROR(__xludf.DUMMYFUNCTION("""COMPUTED_VALUE"""),41813.645833333336)</f>
        <v>41813.64583</v>
      </c>
      <c r="B428" s="1">
        <f>IFERROR(__xludf.DUMMYFUNCTION("""COMPUTED_VALUE"""),3350.0)</f>
        <v>3350</v>
      </c>
      <c r="C428" s="1">
        <f>IFERROR(__xludf.DUMMYFUNCTION("""COMPUTED_VALUE"""),3500.0)</f>
        <v>3500</v>
      </c>
      <c r="D428" s="1">
        <f>IFERROR(__xludf.DUMMYFUNCTION("""COMPUTED_VALUE"""),3200.0)</f>
        <v>3200</v>
      </c>
      <c r="E428" s="1">
        <f>IFERROR(__xludf.DUMMYFUNCTION("""COMPUTED_VALUE"""),3250.0)</f>
        <v>3250</v>
      </c>
      <c r="F428" s="1">
        <f>IFERROR(__xludf.DUMMYFUNCTION("""COMPUTED_VALUE"""),23240.0)</f>
        <v>23240</v>
      </c>
    </row>
    <row r="429">
      <c r="A429" s="2">
        <f>IFERROR(__xludf.DUMMYFUNCTION("""COMPUTED_VALUE"""),41814.645833333336)</f>
        <v>41814.64583</v>
      </c>
      <c r="B429" s="1">
        <f>IFERROR(__xludf.DUMMYFUNCTION("""COMPUTED_VALUE"""),3290.0)</f>
        <v>3290</v>
      </c>
      <c r="C429" s="1">
        <f>IFERROR(__xludf.DUMMYFUNCTION("""COMPUTED_VALUE"""),3375.0)</f>
        <v>3375</v>
      </c>
      <c r="D429" s="1">
        <f>IFERROR(__xludf.DUMMYFUNCTION("""COMPUTED_VALUE"""),3050.0)</f>
        <v>3050</v>
      </c>
      <c r="E429" s="1">
        <f>IFERROR(__xludf.DUMMYFUNCTION("""COMPUTED_VALUE"""),3310.0)</f>
        <v>3310</v>
      </c>
      <c r="F429" s="1">
        <f>IFERROR(__xludf.DUMMYFUNCTION("""COMPUTED_VALUE"""),57372.0)</f>
        <v>57372</v>
      </c>
    </row>
    <row r="430">
      <c r="A430" s="2">
        <f>IFERROR(__xludf.DUMMYFUNCTION("""COMPUTED_VALUE"""),41815.645833333336)</f>
        <v>41815.64583</v>
      </c>
      <c r="B430" s="1">
        <f>IFERROR(__xludf.DUMMYFUNCTION("""COMPUTED_VALUE"""),3420.0)</f>
        <v>3420</v>
      </c>
      <c r="C430" s="1">
        <f>IFERROR(__xludf.DUMMYFUNCTION("""COMPUTED_VALUE"""),3420.0)</f>
        <v>3420</v>
      </c>
      <c r="D430" s="1">
        <f>IFERROR(__xludf.DUMMYFUNCTION("""COMPUTED_VALUE"""),3200.0)</f>
        <v>3200</v>
      </c>
      <c r="E430" s="1">
        <f>IFERROR(__xludf.DUMMYFUNCTION("""COMPUTED_VALUE"""),3270.0)</f>
        <v>3270</v>
      </c>
      <c r="F430" s="1">
        <f>IFERROR(__xludf.DUMMYFUNCTION("""COMPUTED_VALUE"""),22226.0)</f>
        <v>22226</v>
      </c>
    </row>
    <row r="431">
      <c r="A431" s="2">
        <f>IFERROR(__xludf.DUMMYFUNCTION("""COMPUTED_VALUE"""),41816.645833333336)</f>
        <v>41816.64583</v>
      </c>
      <c r="B431" s="1">
        <f>IFERROR(__xludf.DUMMYFUNCTION("""COMPUTED_VALUE"""),3400.0)</f>
        <v>3400</v>
      </c>
      <c r="C431" s="1">
        <f>IFERROR(__xludf.DUMMYFUNCTION("""COMPUTED_VALUE"""),3400.0)</f>
        <v>3400</v>
      </c>
      <c r="D431" s="1">
        <f>IFERROR(__xludf.DUMMYFUNCTION("""COMPUTED_VALUE"""),3170.0)</f>
        <v>3170</v>
      </c>
      <c r="E431" s="1">
        <f>IFERROR(__xludf.DUMMYFUNCTION("""COMPUTED_VALUE"""),3200.0)</f>
        <v>3200</v>
      </c>
      <c r="F431" s="1">
        <f>IFERROR(__xludf.DUMMYFUNCTION("""COMPUTED_VALUE"""),29180.0)</f>
        <v>29180</v>
      </c>
    </row>
    <row r="432">
      <c r="A432" s="2">
        <f>IFERROR(__xludf.DUMMYFUNCTION("""COMPUTED_VALUE"""),41817.645833333336)</f>
        <v>41817.64583</v>
      </c>
      <c r="B432" s="1">
        <f>IFERROR(__xludf.DUMMYFUNCTION("""COMPUTED_VALUE"""),3200.0)</f>
        <v>3200</v>
      </c>
      <c r="C432" s="1">
        <f>IFERROR(__xludf.DUMMYFUNCTION("""COMPUTED_VALUE"""),3455.0)</f>
        <v>3455</v>
      </c>
      <c r="D432" s="1">
        <f>IFERROR(__xludf.DUMMYFUNCTION("""COMPUTED_VALUE"""),3150.0)</f>
        <v>3150</v>
      </c>
      <c r="E432" s="1">
        <f>IFERROR(__xludf.DUMMYFUNCTION("""COMPUTED_VALUE"""),3300.0)</f>
        <v>3300</v>
      </c>
      <c r="F432" s="1">
        <f>IFERROR(__xludf.DUMMYFUNCTION("""COMPUTED_VALUE"""),11143.0)</f>
        <v>11143</v>
      </c>
    </row>
    <row r="433">
      <c r="A433" s="2">
        <f>IFERROR(__xludf.DUMMYFUNCTION("""COMPUTED_VALUE"""),41820.645833333336)</f>
        <v>41820.64583</v>
      </c>
      <c r="B433" s="1">
        <f>IFERROR(__xludf.DUMMYFUNCTION("""COMPUTED_VALUE"""),3480.0)</f>
        <v>3480</v>
      </c>
      <c r="C433" s="1">
        <f>IFERROR(__xludf.DUMMYFUNCTION("""COMPUTED_VALUE"""),3480.0)</f>
        <v>3480</v>
      </c>
      <c r="D433" s="1">
        <f>IFERROR(__xludf.DUMMYFUNCTION("""COMPUTED_VALUE"""),3255.0)</f>
        <v>3255</v>
      </c>
      <c r="E433" s="1">
        <f>IFERROR(__xludf.DUMMYFUNCTION("""COMPUTED_VALUE"""),3380.0)</f>
        <v>3380</v>
      </c>
      <c r="F433" s="1">
        <f>IFERROR(__xludf.DUMMYFUNCTION("""COMPUTED_VALUE"""),7639.0)</f>
        <v>7639</v>
      </c>
    </row>
    <row r="434">
      <c r="A434" s="2">
        <f>IFERROR(__xludf.DUMMYFUNCTION("""COMPUTED_VALUE"""),41821.645833333336)</f>
        <v>41821.64583</v>
      </c>
      <c r="B434" s="1">
        <f>IFERROR(__xludf.DUMMYFUNCTION("""COMPUTED_VALUE"""),3400.0)</f>
        <v>3400</v>
      </c>
      <c r="C434" s="1">
        <f>IFERROR(__xludf.DUMMYFUNCTION("""COMPUTED_VALUE"""),3550.0)</f>
        <v>3550</v>
      </c>
      <c r="D434" s="1">
        <f>IFERROR(__xludf.DUMMYFUNCTION("""COMPUTED_VALUE"""),3350.0)</f>
        <v>3350</v>
      </c>
      <c r="E434" s="1">
        <f>IFERROR(__xludf.DUMMYFUNCTION("""COMPUTED_VALUE"""),3550.0)</f>
        <v>3550</v>
      </c>
      <c r="F434" s="1">
        <f>IFERROR(__xludf.DUMMYFUNCTION("""COMPUTED_VALUE"""),48220.0)</f>
        <v>48220</v>
      </c>
    </row>
    <row r="435">
      <c r="A435" s="2">
        <f>IFERROR(__xludf.DUMMYFUNCTION("""COMPUTED_VALUE"""),41822.645833333336)</f>
        <v>41822.64583</v>
      </c>
      <c r="B435" s="1">
        <f>IFERROR(__xludf.DUMMYFUNCTION("""COMPUTED_VALUE"""),3630.0)</f>
        <v>3630</v>
      </c>
      <c r="C435" s="1">
        <f>IFERROR(__xludf.DUMMYFUNCTION("""COMPUTED_VALUE"""),3740.0)</f>
        <v>3740</v>
      </c>
      <c r="D435" s="1">
        <f>IFERROR(__xludf.DUMMYFUNCTION("""COMPUTED_VALUE"""),3555.0)</f>
        <v>3555</v>
      </c>
      <c r="E435" s="1">
        <f>IFERROR(__xludf.DUMMYFUNCTION("""COMPUTED_VALUE"""),3740.0)</f>
        <v>3740</v>
      </c>
      <c r="F435" s="1">
        <f>IFERROR(__xludf.DUMMYFUNCTION("""COMPUTED_VALUE"""),41996.0)</f>
        <v>41996</v>
      </c>
    </row>
    <row r="436">
      <c r="A436" s="2">
        <f>IFERROR(__xludf.DUMMYFUNCTION("""COMPUTED_VALUE"""),41823.645833333336)</f>
        <v>41823.64583</v>
      </c>
      <c r="B436" s="1">
        <f>IFERROR(__xludf.DUMMYFUNCTION("""COMPUTED_VALUE"""),3740.0)</f>
        <v>3740</v>
      </c>
      <c r="C436" s="1">
        <f>IFERROR(__xludf.DUMMYFUNCTION("""COMPUTED_VALUE"""),3805.0)</f>
        <v>3805</v>
      </c>
      <c r="D436" s="1">
        <f>IFERROR(__xludf.DUMMYFUNCTION("""COMPUTED_VALUE"""),3670.0)</f>
        <v>3670</v>
      </c>
      <c r="E436" s="1">
        <f>IFERROR(__xludf.DUMMYFUNCTION("""COMPUTED_VALUE"""),3730.0)</f>
        <v>3730</v>
      </c>
      <c r="F436" s="1">
        <f>IFERROR(__xludf.DUMMYFUNCTION("""COMPUTED_VALUE"""),95235.0)</f>
        <v>95235</v>
      </c>
    </row>
    <row r="437">
      <c r="A437" s="2">
        <f>IFERROR(__xludf.DUMMYFUNCTION("""COMPUTED_VALUE"""),41824.645833333336)</f>
        <v>41824.64583</v>
      </c>
      <c r="B437" s="1">
        <f>IFERROR(__xludf.DUMMYFUNCTION("""COMPUTED_VALUE"""),3730.0)</f>
        <v>3730</v>
      </c>
      <c r="C437" s="1">
        <f>IFERROR(__xludf.DUMMYFUNCTION("""COMPUTED_VALUE"""),3910.0)</f>
        <v>3910</v>
      </c>
      <c r="D437" s="1">
        <f>IFERROR(__xludf.DUMMYFUNCTION("""COMPUTED_VALUE"""),3730.0)</f>
        <v>3730</v>
      </c>
      <c r="E437" s="1">
        <f>IFERROR(__xludf.DUMMYFUNCTION("""COMPUTED_VALUE"""),3830.0)</f>
        <v>3830</v>
      </c>
      <c r="F437" s="1">
        <f>IFERROR(__xludf.DUMMYFUNCTION("""COMPUTED_VALUE"""),76620.0)</f>
        <v>76620</v>
      </c>
    </row>
    <row r="438">
      <c r="A438" s="2">
        <f>IFERROR(__xludf.DUMMYFUNCTION("""COMPUTED_VALUE"""),41827.645833333336)</f>
        <v>41827.64583</v>
      </c>
      <c r="B438" s="1">
        <f>IFERROR(__xludf.DUMMYFUNCTION("""COMPUTED_VALUE"""),3900.0)</f>
        <v>3900</v>
      </c>
      <c r="C438" s="1">
        <f>IFERROR(__xludf.DUMMYFUNCTION("""COMPUTED_VALUE"""),3900.0)</f>
        <v>3900</v>
      </c>
      <c r="D438" s="1">
        <f>IFERROR(__xludf.DUMMYFUNCTION("""COMPUTED_VALUE"""),3750.0)</f>
        <v>3750</v>
      </c>
      <c r="E438" s="1">
        <f>IFERROR(__xludf.DUMMYFUNCTION("""COMPUTED_VALUE"""),3830.0)</f>
        <v>3830</v>
      </c>
      <c r="F438" s="1">
        <f>IFERROR(__xludf.DUMMYFUNCTION("""COMPUTED_VALUE"""),33179.0)</f>
        <v>33179</v>
      </c>
    </row>
    <row r="439">
      <c r="A439" s="2">
        <f>IFERROR(__xludf.DUMMYFUNCTION("""COMPUTED_VALUE"""),41828.645833333336)</f>
        <v>41828.64583</v>
      </c>
      <c r="B439" s="1">
        <f>IFERROR(__xludf.DUMMYFUNCTION("""COMPUTED_VALUE"""),3845.0)</f>
        <v>3845</v>
      </c>
      <c r="C439" s="1">
        <f>IFERROR(__xludf.DUMMYFUNCTION("""COMPUTED_VALUE"""),3845.0)</f>
        <v>3845</v>
      </c>
      <c r="D439" s="1">
        <f>IFERROR(__xludf.DUMMYFUNCTION("""COMPUTED_VALUE"""),3735.0)</f>
        <v>3735</v>
      </c>
      <c r="E439" s="1">
        <f>IFERROR(__xludf.DUMMYFUNCTION("""COMPUTED_VALUE"""),3800.0)</f>
        <v>3800</v>
      </c>
      <c r="F439" s="1">
        <f>IFERROR(__xludf.DUMMYFUNCTION("""COMPUTED_VALUE"""),9878.0)</f>
        <v>9878</v>
      </c>
    </row>
    <row r="440">
      <c r="A440" s="2">
        <f>IFERROR(__xludf.DUMMYFUNCTION("""COMPUTED_VALUE"""),41829.645833333336)</f>
        <v>41829.64583</v>
      </c>
      <c r="B440" s="1">
        <f>IFERROR(__xludf.DUMMYFUNCTION("""COMPUTED_VALUE"""),3785.0)</f>
        <v>3785</v>
      </c>
      <c r="C440" s="1">
        <f>IFERROR(__xludf.DUMMYFUNCTION("""COMPUTED_VALUE"""),3785.0)</f>
        <v>3785</v>
      </c>
      <c r="D440" s="1">
        <f>IFERROR(__xludf.DUMMYFUNCTION("""COMPUTED_VALUE"""),3685.0)</f>
        <v>3685</v>
      </c>
      <c r="E440" s="1">
        <f>IFERROR(__xludf.DUMMYFUNCTION("""COMPUTED_VALUE"""),3725.0)</f>
        <v>3725</v>
      </c>
      <c r="F440" s="1">
        <f>IFERROR(__xludf.DUMMYFUNCTION("""COMPUTED_VALUE"""),13875.0)</f>
        <v>13875</v>
      </c>
    </row>
    <row r="441">
      <c r="A441" s="2">
        <f>IFERROR(__xludf.DUMMYFUNCTION("""COMPUTED_VALUE"""),41830.645833333336)</f>
        <v>41830.64583</v>
      </c>
      <c r="B441" s="1">
        <f>IFERROR(__xludf.DUMMYFUNCTION("""COMPUTED_VALUE"""),3800.0)</f>
        <v>3800</v>
      </c>
      <c r="C441" s="1">
        <f>IFERROR(__xludf.DUMMYFUNCTION("""COMPUTED_VALUE"""),3800.0)</f>
        <v>3800</v>
      </c>
      <c r="D441" s="1">
        <f>IFERROR(__xludf.DUMMYFUNCTION("""COMPUTED_VALUE"""),3675.0)</f>
        <v>3675</v>
      </c>
      <c r="E441" s="1">
        <f>IFERROR(__xludf.DUMMYFUNCTION("""COMPUTED_VALUE"""),3790.0)</f>
        <v>3790</v>
      </c>
      <c r="F441" s="1">
        <f>IFERROR(__xludf.DUMMYFUNCTION("""COMPUTED_VALUE"""),14176.0)</f>
        <v>14176</v>
      </c>
    </row>
    <row r="442">
      <c r="A442" s="2">
        <f>IFERROR(__xludf.DUMMYFUNCTION("""COMPUTED_VALUE"""),41831.645833333336)</f>
        <v>41831.64583</v>
      </c>
      <c r="B442" s="1">
        <f>IFERROR(__xludf.DUMMYFUNCTION("""COMPUTED_VALUE"""),3830.0)</f>
        <v>3830</v>
      </c>
      <c r="C442" s="1">
        <f>IFERROR(__xludf.DUMMYFUNCTION("""COMPUTED_VALUE"""),3900.0)</f>
        <v>3900</v>
      </c>
      <c r="D442" s="1">
        <f>IFERROR(__xludf.DUMMYFUNCTION("""COMPUTED_VALUE"""),3730.0)</f>
        <v>3730</v>
      </c>
      <c r="E442" s="1">
        <f>IFERROR(__xludf.DUMMYFUNCTION("""COMPUTED_VALUE"""),3800.0)</f>
        <v>3800</v>
      </c>
      <c r="F442" s="1">
        <f>IFERROR(__xludf.DUMMYFUNCTION("""COMPUTED_VALUE"""),2304.0)</f>
        <v>2304</v>
      </c>
    </row>
    <row r="443">
      <c r="A443" s="2">
        <f>IFERROR(__xludf.DUMMYFUNCTION("""COMPUTED_VALUE"""),41834.645833333336)</f>
        <v>41834.64583</v>
      </c>
      <c r="B443" s="1">
        <f>IFERROR(__xludf.DUMMYFUNCTION("""COMPUTED_VALUE"""),3830.0)</f>
        <v>3830</v>
      </c>
      <c r="C443" s="1">
        <f>IFERROR(__xludf.DUMMYFUNCTION("""COMPUTED_VALUE"""),3895.0)</f>
        <v>3895</v>
      </c>
      <c r="D443" s="1">
        <f>IFERROR(__xludf.DUMMYFUNCTION("""COMPUTED_VALUE"""),3800.0)</f>
        <v>3800</v>
      </c>
      <c r="E443" s="1">
        <f>IFERROR(__xludf.DUMMYFUNCTION("""COMPUTED_VALUE"""),3835.0)</f>
        <v>3835</v>
      </c>
      <c r="F443" s="1">
        <f>IFERROR(__xludf.DUMMYFUNCTION("""COMPUTED_VALUE"""),7549.0)</f>
        <v>7549</v>
      </c>
    </row>
    <row r="444">
      <c r="A444" s="2">
        <f>IFERROR(__xludf.DUMMYFUNCTION("""COMPUTED_VALUE"""),41835.645833333336)</f>
        <v>41835.64583</v>
      </c>
      <c r="B444" s="1">
        <f>IFERROR(__xludf.DUMMYFUNCTION("""COMPUTED_VALUE"""),3800.0)</f>
        <v>3800</v>
      </c>
      <c r="C444" s="1">
        <f>IFERROR(__xludf.DUMMYFUNCTION("""COMPUTED_VALUE"""),3870.0)</f>
        <v>3870</v>
      </c>
      <c r="D444" s="1">
        <f>IFERROR(__xludf.DUMMYFUNCTION("""COMPUTED_VALUE"""),3600.0)</f>
        <v>3600</v>
      </c>
      <c r="E444" s="1">
        <f>IFERROR(__xludf.DUMMYFUNCTION("""COMPUTED_VALUE"""),3825.0)</f>
        <v>3825</v>
      </c>
      <c r="F444" s="1">
        <f>IFERROR(__xludf.DUMMYFUNCTION("""COMPUTED_VALUE"""),11604.0)</f>
        <v>11604</v>
      </c>
    </row>
    <row r="445">
      <c r="A445" s="2">
        <f>IFERROR(__xludf.DUMMYFUNCTION("""COMPUTED_VALUE"""),41836.645833333336)</f>
        <v>41836.64583</v>
      </c>
      <c r="B445" s="1">
        <f>IFERROR(__xludf.DUMMYFUNCTION("""COMPUTED_VALUE"""),3840.0)</f>
        <v>3840</v>
      </c>
      <c r="C445" s="1">
        <f>IFERROR(__xludf.DUMMYFUNCTION("""COMPUTED_VALUE"""),3840.0)</f>
        <v>3840</v>
      </c>
      <c r="D445" s="1">
        <f>IFERROR(__xludf.DUMMYFUNCTION("""COMPUTED_VALUE"""),3760.0)</f>
        <v>3760</v>
      </c>
      <c r="E445" s="1">
        <f>IFERROR(__xludf.DUMMYFUNCTION("""COMPUTED_VALUE"""),3790.0)</f>
        <v>3790</v>
      </c>
      <c r="F445" s="1">
        <f>IFERROR(__xludf.DUMMYFUNCTION("""COMPUTED_VALUE"""),14637.0)</f>
        <v>14637</v>
      </c>
    </row>
    <row r="446">
      <c r="A446" s="2">
        <f>IFERROR(__xludf.DUMMYFUNCTION("""COMPUTED_VALUE"""),41837.645833333336)</f>
        <v>41837.64583</v>
      </c>
      <c r="B446" s="1">
        <f>IFERROR(__xludf.DUMMYFUNCTION("""COMPUTED_VALUE"""),3750.0)</f>
        <v>3750</v>
      </c>
      <c r="C446" s="1">
        <f>IFERROR(__xludf.DUMMYFUNCTION("""COMPUTED_VALUE"""),3825.0)</f>
        <v>3825</v>
      </c>
      <c r="D446" s="1">
        <f>IFERROR(__xludf.DUMMYFUNCTION("""COMPUTED_VALUE"""),3725.0)</f>
        <v>3725</v>
      </c>
      <c r="E446" s="1">
        <f>IFERROR(__xludf.DUMMYFUNCTION("""COMPUTED_VALUE"""),3795.0)</f>
        <v>3795</v>
      </c>
      <c r="F446" s="1">
        <f>IFERROR(__xludf.DUMMYFUNCTION("""COMPUTED_VALUE"""),9415.0)</f>
        <v>9415</v>
      </c>
    </row>
    <row r="447">
      <c r="A447" s="2">
        <f>IFERROR(__xludf.DUMMYFUNCTION("""COMPUTED_VALUE"""),41838.645833333336)</f>
        <v>41838.64583</v>
      </c>
      <c r="B447" s="1">
        <f>IFERROR(__xludf.DUMMYFUNCTION("""COMPUTED_VALUE"""),3795.0)</f>
        <v>3795</v>
      </c>
      <c r="C447" s="1">
        <f>IFERROR(__xludf.DUMMYFUNCTION("""COMPUTED_VALUE"""),3800.0)</f>
        <v>3800</v>
      </c>
      <c r="D447" s="1">
        <f>IFERROR(__xludf.DUMMYFUNCTION("""COMPUTED_VALUE"""),3690.0)</f>
        <v>3690</v>
      </c>
      <c r="E447" s="1">
        <f>IFERROR(__xludf.DUMMYFUNCTION("""COMPUTED_VALUE"""),3745.0)</f>
        <v>3745</v>
      </c>
      <c r="F447" s="1">
        <f>IFERROR(__xludf.DUMMYFUNCTION("""COMPUTED_VALUE"""),5405.0)</f>
        <v>5405</v>
      </c>
    </row>
    <row r="448">
      <c r="A448" s="2">
        <f>IFERROR(__xludf.DUMMYFUNCTION("""COMPUTED_VALUE"""),41841.645833333336)</f>
        <v>41841.64583</v>
      </c>
      <c r="B448" s="1">
        <f>IFERROR(__xludf.DUMMYFUNCTION("""COMPUTED_VALUE"""),3755.0)</f>
        <v>3755</v>
      </c>
      <c r="C448" s="1">
        <f>IFERROR(__xludf.DUMMYFUNCTION("""COMPUTED_VALUE"""),3755.0)</f>
        <v>3755</v>
      </c>
      <c r="D448" s="1">
        <f>IFERROR(__xludf.DUMMYFUNCTION("""COMPUTED_VALUE"""),3650.0)</f>
        <v>3650</v>
      </c>
      <c r="E448" s="1">
        <f>IFERROR(__xludf.DUMMYFUNCTION("""COMPUTED_VALUE"""),3690.0)</f>
        <v>3690</v>
      </c>
      <c r="F448" s="1">
        <f>IFERROR(__xludf.DUMMYFUNCTION("""COMPUTED_VALUE"""),19427.0)</f>
        <v>19427</v>
      </c>
    </row>
    <row r="449">
      <c r="A449" s="2">
        <f>IFERROR(__xludf.DUMMYFUNCTION("""COMPUTED_VALUE"""),41842.645833333336)</f>
        <v>41842.64583</v>
      </c>
      <c r="B449" s="1">
        <f>IFERROR(__xludf.DUMMYFUNCTION("""COMPUTED_VALUE"""),3600.0)</f>
        <v>3600</v>
      </c>
      <c r="C449" s="1">
        <f>IFERROR(__xludf.DUMMYFUNCTION("""COMPUTED_VALUE"""),3700.0)</f>
        <v>3700</v>
      </c>
      <c r="D449" s="1">
        <f>IFERROR(__xludf.DUMMYFUNCTION("""COMPUTED_VALUE"""),3570.0)</f>
        <v>3570</v>
      </c>
      <c r="E449" s="1">
        <f>IFERROR(__xludf.DUMMYFUNCTION("""COMPUTED_VALUE"""),3615.0)</f>
        <v>3615</v>
      </c>
      <c r="F449" s="1">
        <f>IFERROR(__xludf.DUMMYFUNCTION("""COMPUTED_VALUE"""),10510.0)</f>
        <v>10510</v>
      </c>
    </row>
    <row r="450">
      <c r="A450" s="2">
        <f>IFERROR(__xludf.DUMMYFUNCTION("""COMPUTED_VALUE"""),41843.645833333336)</f>
        <v>41843.64583</v>
      </c>
      <c r="B450" s="1">
        <f>IFERROR(__xludf.DUMMYFUNCTION("""COMPUTED_VALUE"""),3730.0)</f>
        <v>3730</v>
      </c>
      <c r="C450" s="1">
        <f>IFERROR(__xludf.DUMMYFUNCTION("""COMPUTED_VALUE"""),3730.0)</f>
        <v>3730</v>
      </c>
      <c r="D450" s="1">
        <f>IFERROR(__xludf.DUMMYFUNCTION("""COMPUTED_VALUE"""),3575.0)</f>
        <v>3575</v>
      </c>
      <c r="E450" s="1">
        <f>IFERROR(__xludf.DUMMYFUNCTION("""COMPUTED_VALUE"""),3600.0)</f>
        <v>3600</v>
      </c>
      <c r="F450" s="1">
        <f>IFERROR(__xludf.DUMMYFUNCTION("""COMPUTED_VALUE"""),8297.0)</f>
        <v>8297</v>
      </c>
    </row>
    <row r="451">
      <c r="A451" s="2">
        <f>IFERROR(__xludf.DUMMYFUNCTION("""COMPUTED_VALUE"""),41844.645833333336)</f>
        <v>41844.64583</v>
      </c>
      <c r="B451" s="1">
        <f>IFERROR(__xludf.DUMMYFUNCTION("""COMPUTED_VALUE"""),3645.0)</f>
        <v>3645</v>
      </c>
      <c r="C451" s="1">
        <f>IFERROR(__xludf.DUMMYFUNCTION("""COMPUTED_VALUE"""),3645.0)</f>
        <v>3645</v>
      </c>
      <c r="D451" s="1">
        <f>IFERROR(__xludf.DUMMYFUNCTION("""COMPUTED_VALUE"""),3570.0)</f>
        <v>3570</v>
      </c>
      <c r="E451" s="1">
        <f>IFERROR(__xludf.DUMMYFUNCTION("""COMPUTED_VALUE"""),3580.0)</f>
        <v>3580</v>
      </c>
      <c r="F451" s="1">
        <f>IFERROR(__xludf.DUMMYFUNCTION("""COMPUTED_VALUE"""),11780.0)</f>
        <v>11780</v>
      </c>
    </row>
    <row r="452">
      <c r="A452" s="2">
        <f>IFERROR(__xludf.DUMMYFUNCTION("""COMPUTED_VALUE"""),41845.645833333336)</f>
        <v>41845.64583</v>
      </c>
      <c r="B452" s="1">
        <f>IFERROR(__xludf.DUMMYFUNCTION("""COMPUTED_VALUE"""),3635.0)</f>
        <v>3635</v>
      </c>
      <c r="C452" s="1">
        <f>IFERROR(__xludf.DUMMYFUNCTION("""COMPUTED_VALUE"""),3640.0)</f>
        <v>3640</v>
      </c>
      <c r="D452" s="1">
        <f>IFERROR(__xludf.DUMMYFUNCTION("""COMPUTED_VALUE"""),3370.0)</f>
        <v>3370</v>
      </c>
      <c r="E452" s="1">
        <f>IFERROR(__xludf.DUMMYFUNCTION("""COMPUTED_VALUE"""),3505.0)</f>
        <v>3505</v>
      </c>
      <c r="F452" s="1">
        <f>IFERROR(__xludf.DUMMYFUNCTION("""COMPUTED_VALUE"""),18533.0)</f>
        <v>18533</v>
      </c>
    </row>
    <row r="453">
      <c r="A453" s="2">
        <f>IFERROR(__xludf.DUMMYFUNCTION("""COMPUTED_VALUE"""),41848.645833333336)</f>
        <v>41848.64583</v>
      </c>
      <c r="B453" s="1">
        <f>IFERROR(__xludf.DUMMYFUNCTION("""COMPUTED_VALUE"""),3490.0)</f>
        <v>3490</v>
      </c>
      <c r="C453" s="1">
        <f>IFERROR(__xludf.DUMMYFUNCTION("""COMPUTED_VALUE"""),3550.0)</f>
        <v>3550</v>
      </c>
      <c r="D453" s="1">
        <f>IFERROR(__xludf.DUMMYFUNCTION("""COMPUTED_VALUE"""),3330.0)</f>
        <v>3330</v>
      </c>
      <c r="E453" s="1">
        <f>IFERROR(__xludf.DUMMYFUNCTION("""COMPUTED_VALUE"""),3550.0)</f>
        <v>3550</v>
      </c>
      <c r="F453" s="1">
        <f>IFERROR(__xludf.DUMMYFUNCTION("""COMPUTED_VALUE"""),21131.0)</f>
        <v>21131</v>
      </c>
    </row>
    <row r="454">
      <c r="A454" s="2">
        <f>IFERROR(__xludf.DUMMYFUNCTION("""COMPUTED_VALUE"""),41849.645833333336)</f>
        <v>41849.64583</v>
      </c>
      <c r="B454" s="1">
        <f>IFERROR(__xludf.DUMMYFUNCTION("""COMPUTED_VALUE"""),3650.0)</f>
        <v>3650</v>
      </c>
      <c r="C454" s="1">
        <f>IFERROR(__xludf.DUMMYFUNCTION("""COMPUTED_VALUE"""),3750.0)</f>
        <v>3750</v>
      </c>
      <c r="D454" s="1">
        <f>IFERROR(__xludf.DUMMYFUNCTION("""COMPUTED_VALUE"""),3490.0)</f>
        <v>3490</v>
      </c>
      <c r="E454" s="1">
        <f>IFERROR(__xludf.DUMMYFUNCTION("""COMPUTED_VALUE"""),3555.0)</f>
        <v>3555</v>
      </c>
      <c r="F454" s="1">
        <f>IFERROR(__xludf.DUMMYFUNCTION("""COMPUTED_VALUE"""),1574.0)</f>
        <v>1574</v>
      </c>
    </row>
    <row r="455">
      <c r="A455" s="2">
        <f>IFERROR(__xludf.DUMMYFUNCTION("""COMPUTED_VALUE"""),41850.645833333336)</f>
        <v>41850.64583</v>
      </c>
      <c r="B455" s="1">
        <f>IFERROR(__xludf.DUMMYFUNCTION("""COMPUTED_VALUE"""),3670.0)</f>
        <v>3670</v>
      </c>
      <c r="C455" s="1">
        <f>IFERROR(__xludf.DUMMYFUNCTION("""COMPUTED_VALUE"""),3670.0)</f>
        <v>3670</v>
      </c>
      <c r="D455" s="1">
        <f>IFERROR(__xludf.DUMMYFUNCTION("""COMPUTED_VALUE"""),3415.0)</f>
        <v>3415</v>
      </c>
      <c r="E455" s="1">
        <f>IFERROR(__xludf.DUMMYFUNCTION("""COMPUTED_VALUE"""),3465.0)</f>
        <v>3465</v>
      </c>
      <c r="F455" s="1">
        <f>IFERROR(__xludf.DUMMYFUNCTION("""COMPUTED_VALUE"""),1211.0)</f>
        <v>1211</v>
      </c>
    </row>
    <row r="456">
      <c r="A456" s="2">
        <f>IFERROR(__xludf.DUMMYFUNCTION("""COMPUTED_VALUE"""),41851.645833333336)</f>
        <v>41851.64583</v>
      </c>
      <c r="B456" s="1">
        <f>IFERROR(__xludf.DUMMYFUNCTION("""COMPUTED_VALUE"""),3440.0)</f>
        <v>3440</v>
      </c>
      <c r="C456" s="1">
        <f>IFERROR(__xludf.DUMMYFUNCTION("""COMPUTED_VALUE"""),3440.0)</f>
        <v>3440</v>
      </c>
      <c r="D456" s="1">
        <f>IFERROR(__xludf.DUMMYFUNCTION("""COMPUTED_VALUE"""),3115.0)</f>
        <v>3115</v>
      </c>
      <c r="E456" s="1">
        <f>IFERROR(__xludf.DUMMYFUNCTION("""COMPUTED_VALUE"""),3410.0)</f>
        <v>3410</v>
      </c>
      <c r="F456" s="1">
        <f>IFERROR(__xludf.DUMMYFUNCTION("""COMPUTED_VALUE"""),11039.0)</f>
        <v>11039</v>
      </c>
    </row>
    <row r="457">
      <c r="A457" s="2">
        <f>IFERROR(__xludf.DUMMYFUNCTION("""COMPUTED_VALUE"""),41852.645833333336)</f>
        <v>41852.64583</v>
      </c>
      <c r="B457" s="1">
        <f>IFERROR(__xludf.DUMMYFUNCTION("""COMPUTED_VALUE"""),3400.0)</f>
        <v>3400</v>
      </c>
      <c r="C457" s="1">
        <f>IFERROR(__xludf.DUMMYFUNCTION("""COMPUTED_VALUE"""),3400.0)</f>
        <v>3400</v>
      </c>
      <c r="D457" s="1">
        <f>IFERROR(__xludf.DUMMYFUNCTION("""COMPUTED_VALUE"""),3250.0)</f>
        <v>3250</v>
      </c>
      <c r="E457" s="1">
        <f>IFERROR(__xludf.DUMMYFUNCTION("""COMPUTED_VALUE"""),3345.0)</f>
        <v>3345</v>
      </c>
      <c r="F457" s="1">
        <f>IFERROR(__xludf.DUMMYFUNCTION("""COMPUTED_VALUE"""),13851.0)</f>
        <v>13851</v>
      </c>
    </row>
    <row r="458">
      <c r="A458" s="2">
        <f>IFERROR(__xludf.DUMMYFUNCTION("""COMPUTED_VALUE"""),41855.645833333336)</f>
        <v>41855.64583</v>
      </c>
      <c r="B458" s="1">
        <f>IFERROR(__xludf.DUMMYFUNCTION("""COMPUTED_VALUE"""),3475.0)</f>
        <v>3475</v>
      </c>
      <c r="C458" s="1">
        <f>IFERROR(__xludf.DUMMYFUNCTION("""COMPUTED_VALUE"""),3490.0)</f>
        <v>3490</v>
      </c>
      <c r="D458" s="1">
        <f>IFERROR(__xludf.DUMMYFUNCTION("""COMPUTED_VALUE"""),3345.0)</f>
        <v>3345</v>
      </c>
      <c r="E458" s="1">
        <f>IFERROR(__xludf.DUMMYFUNCTION("""COMPUTED_VALUE"""),3355.0)</f>
        <v>3355</v>
      </c>
      <c r="F458" s="1">
        <f>IFERROR(__xludf.DUMMYFUNCTION("""COMPUTED_VALUE"""),7544.0)</f>
        <v>7544</v>
      </c>
    </row>
    <row r="459">
      <c r="A459" s="2">
        <f>IFERROR(__xludf.DUMMYFUNCTION("""COMPUTED_VALUE"""),41856.645833333336)</f>
        <v>41856.64583</v>
      </c>
      <c r="B459" s="1">
        <f>IFERROR(__xludf.DUMMYFUNCTION("""COMPUTED_VALUE"""),3475.0)</f>
        <v>3475</v>
      </c>
      <c r="C459" s="1">
        <f>IFERROR(__xludf.DUMMYFUNCTION("""COMPUTED_VALUE"""),3475.0)</f>
        <v>3475</v>
      </c>
      <c r="D459" s="1">
        <f>IFERROR(__xludf.DUMMYFUNCTION("""COMPUTED_VALUE"""),3215.0)</f>
        <v>3215</v>
      </c>
      <c r="E459" s="1">
        <f>IFERROR(__xludf.DUMMYFUNCTION("""COMPUTED_VALUE"""),3245.0)</f>
        <v>3245</v>
      </c>
      <c r="F459" s="1">
        <f>IFERROR(__xludf.DUMMYFUNCTION("""COMPUTED_VALUE"""),14021.0)</f>
        <v>14021</v>
      </c>
    </row>
    <row r="460">
      <c r="A460" s="2">
        <f>IFERROR(__xludf.DUMMYFUNCTION("""COMPUTED_VALUE"""),41857.645833333336)</f>
        <v>41857.64583</v>
      </c>
      <c r="B460" s="1">
        <f>IFERROR(__xludf.DUMMYFUNCTION("""COMPUTED_VALUE"""),3245.0)</f>
        <v>3245</v>
      </c>
      <c r="C460" s="1">
        <f>IFERROR(__xludf.DUMMYFUNCTION("""COMPUTED_VALUE"""),3425.0)</f>
        <v>3425</v>
      </c>
      <c r="D460" s="1">
        <f>IFERROR(__xludf.DUMMYFUNCTION("""COMPUTED_VALUE"""),3240.0)</f>
        <v>3240</v>
      </c>
      <c r="E460" s="1">
        <f>IFERROR(__xludf.DUMMYFUNCTION("""COMPUTED_VALUE"""),3280.0)</f>
        <v>3280</v>
      </c>
      <c r="F460" s="1">
        <f>IFERROR(__xludf.DUMMYFUNCTION("""COMPUTED_VALUE"""),14439.0)</f>
        <v>14439</v>
      </c>
    </row>
    <row r="461">
      <c r="A461" s="2">
        <f>IFERROR(__xludf.DUMMYFUNCTION("""COMPUTED_VALUE"""),41858.645833333336)</f>
        <v>41858.64583</v>
      </c>
      <c r="B461" s="1">
        <f>IFERROR(__xludf.DUMMYFUNCTION("""COMPUTED_VALUE"""),3245.0)</f>
        <v>3245</v>
      </c>
      <c r="C461" s="1">
        <f>IFERROR(__xludf.DUMMYFUNCTION("""COMPUTED_VALUE"""),3420.0)</f>
        <v>3420</v>
      </c>
      <c r="D461" s="1">
        <f>IFERROR(__xludf.DUMMYFUNCTION("""COMPUTED_VALUE"""),3125.0)</f>
        <v>3125</v>
      </c>
      <c r="E461" s="1">
        <f>IFERROR(__xludf.DUMMYFUNCTION("""COMPUTED_VALUE"""),3280.0)</f>
        <v>3280</v>
      </c>
      <c r="F461" s="1">
        <f>IFERROR(__xludf.DUMMYFUNCTION("""COMPUTED_VALUE"""),20128.0)</f>
        <v>20128</v>
      </c>
    </row>
    <row r="462">
      <c r="A462" s="2">
        <f>IFERROR(__xludf.DUMMYFUNCTION("""COMPUTED_VALUE"""),41859.645833333336)</f>
        <v>41859.64583</v>
      </c>
      <c r="B462" s="1">
        <f>IFERROR(__xludf.DUMMYFUNCTION("""COMPUTED_VALUE"""),3450.0)</f>
        <v>3450</v>
      </c>
      <c r="C462" s="1">
        <f>IFERROR(__xludf.DUMMYFUNCTION("""COMPUTED_VALUE"""),3450.0)</f>
        <v>3450</v>
      </c>
      <c r="D462" s="1">
        <f>IFERROR(__xludf.DUMMYFUNCTION("""COMPUTED_VALUE"""),3190.0)</f>
        <v>3190</v>
      </c>
      <c r="E462" s="1">
        <f>IFERROR(__xludf.DUMMYFUNCTION("""COMPUTED_VALUE"""),3255.0)</f>
        <v>3255</v>
      </c>
      <c r="F462" s="1">
        <f>IFERROR(__xludf.DUMMYFUNCTION("""COMPUTED_VALUE"""),9394.0)</f>
        <v>9394</v>
      </c>
    </row>
    <row r="463">
      <c r="A463" s="2">
        <f>IFERROR(__xludf.DUMMYFUNCTION("""COMPUTED_VALUE"""),41862.645833333336)</f>
        <v>41862.64583</v>
      </c>
      <c r="B463" s="1">
        <f>IFERROR(__xludf.DUMMYFUNCTION("""COMPUTED_VALUE"""),3210.0)</f>
        <v>3210</v>
      </c>
      <c r="C463" s="1">
        <f>IFERROR(__xludf.DUMMYFUNCTION("""COMPUTED_VALUE"""),3495.0)</f>
        <v>3495</v>
      </c>
      <c r="D463" s="1">
        <f>IFERROR(__xludf.DUMMYFUNCTION("""COMPUTED_VALUE"""),3210.0)</f>
        <v>3210</v>
      </c>
      <c r="E463" s="1">
        <f>IFERROR(__xludf.DUMMYFUNCTION("""COMPUTED_VALUE"""),3445.0)</f>
        <v>3445</v>
      </c>
      <c r="F463" s="1">
        <f>IFERROR(__xludf.DUMMYFUNCTION("""COMPUTED_VALUE"""),6459.0)</f>
        <v>6459</v>
      </c>
    </row>
    <row r="464">
      <c r="A464" s="2">
        <f>IFERROR(__xludf.DUMMYFUNCTION("""COMPUTED_VALUE"""),41863.645833333336)</f>
        <v>41863.64583</v>
      </c>
      <c r="B464" s="1">
        <f>IFERROR(__xludf.DUMMYFUNCTION("""COMPUTED_VALUE"""),3410.0)</f>
        <v>3410</v>
      </c>
      <c r="C464" s="1">
        <f>IFERROR(__xludf.DUMMYFUNCTION("""COMPUTED_VALUE"""),3410.0)</f>
        <v>3410</v>
      </c>
      <c r="D464" s="1">
        <f>IFERROR(__xludf.DUMMYFUNCTION("""COMPUTED_VALUE"""),3180.0)</f>
        <v>3180</v>
      </c>
      <c r="E464" s="1">
        <f>IFERROR(__xludf.DUMMYFUNCTION("""COMPUTED_VALUE"""),3290.0)</f>
        <v>3290</v>
      </c>
      <c r="F464" s="1">
        <f>IFERROR(__xludf.DUMMYFUNCTION("""COMPUTED_VALUE"""),27468.0)</f>
        <v>27468</v>
      </c>
    </row>
    <row r="465">
      <c r="A465" s="2">
        <f>IFERROR(__xludf.DUMMYFUNCTION("""COMPUTED_VALUE"""),41864.645833333336)</f>
        <v>41864.64583</v>
      </c>
      <c r="B465" s="1">
        <f>IFERROR(__xludf.DUMMYFUNCTION("""COMPUTED_VALUE"""),3290.0)</f>
        <v>3290</v>
      </c>
      <c r="C465" s="1">
        <f>IFERROR(__xludf.DUMMYFUNCTION("""COMPUTED_VALUE"""),3290.0)</f>
        <v>3290</v>
      </c>
      <c r="D465" s="1">
        <f>IFERROR(__xludf.DUMMYFUNCTION("""COMPUTED_VALUE"""),3215.0)</f>
        <v>3215</v>
      </c>
      <c r="E465" s="1">
        <f>IFERROR(__xludf.DUMMYFUNCTION("""COMPUTED_VALUE"""),3280.0)</f>
        <v>3280</v>
      </c>
      <c r="F465" s="1">
        <f>IFERROR(__xludf.DUMMYFUNCTION("""COMPUTED_VALUE"""),12757.0)</f>
        <v>12757</v>
      </c>
    </row>
    <row r="466">
      <c r="A466" s="2">
        <f>IFERROR(__xludf.DUMMYFUNCTION("""COMPUTED_VALUE"""),41865.645833333336)</f>
        <v>41865.64583</v>
      </c>
      <c r="B466" s="1">
        <f>IFERROR(__xludf.DUMMYFUNCTION("""COMPUTED_VALUE"""),3175.0)</f>
        <v>3175</v>
      </c>
      <c r="C466" s="1">
        <f>IFERROR(__xludf.DUMMYFUNCTION("""COMPUTED_VALUE"""),3345.0)</f>
        <v>3345</v>
      </c>
      <c r="D466" s="1">
        <f>IFERROR(__xludf.DUMMYFUNCTION("""COMPUTED_VALUE"""),3175.0)</f>
        <v>3175</v>
      </c>
      <c r="E466" s="1">
        <f>IFERROR(__xludf.DUMMYFUNCTION("""COMPUTED_VALUE"""),3225.0)</f>
        <v>3225</v>
      </c>
      <c r="F466" s="1">
        <f>IFERROR(__xludf.DUMMYFUNCTION("""COMPUTED_VALUE"""),14344.0)</f>
        <v>14344</v>
      </c>
    </row>
    <row r="467">
      <c r="A467" s="2">
        <f>IFERROR(__xludf.DUMMYFUNCTION("""COMPUTED_VALUE"""),41869.645833333336)</f>
        <v>41869.64583</v>
      </c>
      <c r="B467" s="1">
        <f>IFERROR(__xludf.DUMMYFUNCTION("""COMPUTED_VALUE"""),3450.0)</f>
        <v>3450</v>
      </c>
      <c r="C467" s="1">
        <f>IFERROR(__xludf.DUMMYFUNCTION("""COMPUTED_VALUE"""),3450.0)</f>
        <v>3450</v>
      </c>
      <c r="D467" s="1">
        <f>IFERROR(__xludf.DUMMYFUNCTION("""COMPUTED_VALUE"""),3185.0)</f>
        <v>3185</v>
      </c>
      <c r="E467" s="1">
        <f>IFERROR(__xludf.DUMMYFUNCTION("""COMPUTED_VALUE"""),3245.0)</f>
        <v>3245</v>
      </c>
      <c r="F467" s="1">
        <f>IFERROR(__xludf.DUMMYFUNCTION("""COMPUTED_VALUE"""),13127.0)</f>
        <v>13127</v>
      </c>
    </row>
    <row r="468">
      <c r="A468" s="2">
        <f>IFERROR(__xludf.DUMMYFUNCTION("""COMPUTED_VALUE"""),41870.645833333336)</f>
        <v>41870.64583</v>
      </c>
      <c r="B468" s="1">
        <f>IFERROR(__xludf.DUMMYFUNCTION("""COMPUTED_VALUE"""),3385.0)</f>
        <v>3385</v>
      </c>
      <c r="C468" s="1">
        <f>IFERROR(__xludf.DUMMYFUNCTION("""COMPUTED_VALUE"""),3385.0)</f>
        <v>3385</v>
      </c>
      <c r="D468" s="1">
        <f>IFERROR(__xludf.DUMMYFUNCTION("""COMPUTED_VALUE"""),3080.0)</f>
        <v>3080</v>
      </c>
      <c r="E468" s="1">
        <f>IFERROR(__xludf.DUMMYFUNCTION("""COMPUTED_VALUE"""),3100.0)</f>
        <v>3100</v>
      </c>
      <c r="F468" s="1">
        <f>IFERROR(__xludf.DUMMYFUNCTION("""COMPUTED_VALUE"""),38032.0)</f>
        <v>38032</v>
      </c>
    </row>
    <row r="469">
      <c r="A469" s="2">
        <f>IFERROR(__xludf.DUMMYFUNCTION("""COMPUTED_VALUE"""),41871.645833333336)</f>
        <v>41871.64583</v>
      </c>
      <c r="B469" s="1">
        <f>IFERROR(__xludf.DUMMYFUNCTION("""COMPUTED_VALUE"""),3195.0)</f>
        <v>3195</v>
      </c>
      <c r="C469" s="1">
        <f>IFERROR(__xludf.DUMMYFUNCTION("""COMPUTED_VALUE"""),3565.0)</f>
        <v>3565</v>
      </c>
      <c r="D469" s="1">
        <f>IFERROR(__xludf.DUMMYFUNCTION("""COMPUTED_VALUE"""),3100.0)</f>
        <v>3100</v>
      </c>
      <c r="E469" s="1">
        <f>IFERROR(__xludf.DUMMYFUNCTION("""COMPUTED_VALUE"""),3565.0)</f>
        <v>3565</v>
      </c>
      <c r="F469" s="1">
        <f>IFERROR(__xludf.DUMMYFUNCTION("""COMPUTED_VALUE"""),138460.0)</f>
        <v>138460</v>
      </c>
    </row>
    <row r="470">
      <c r="A470" s="2">
        <f>IFERROR(__xludf.DUMMYFUNCTION("""COMPUTED_VALUE"""),41872.645833333336)</f>
        <v>41872.64583</v>
      </c>
      <c r="B470" s="1">
        <f>IFERROR(__xludf.DUMMYFUNCTION("""COMPUTED_VALUE"""),4095.0)</f>
        <v>4095</v>
      </c>
      <c r="C470" s="1">
        <f>IFERROR(__xludf.DUMMYFUNCTION("""COMPUTED_VALUE"""),4095.0)</f>
        <v>4095</v>
      </c>
      <c r="D470" s="1">
        <f>IFERROR(__xludf.DUMMYFUNCTION("""COMPUTED_VALUE"""),4095.0)</f>
        <v>4095</v>
      </c>
      <c r="E470" s="1">
        <f>IFERROR(__xludf.DUMMYFUNCTION("""COMPUTED_VALUE"""),4095.0)</f>
        <v>4095</v>
      </c>
      <c r="F470" s="1">
        <f>IFERROR(__xludf.DUMMYFUNCTION("""COMPUTED_VALUE"""),164744.0)</f>
        <v>164744</v>
      </c>
    </row>
    <row r="471">
      <c r="A471" s="2">
        <f>IFERROR(__xludf.DUMMYFUNCTION("""COMPUTED_VALUE"""),41873.645833333336)</f>
        <v>41873.64583</v>
      </c>
      <c r="B471" s="1">
        <f>IFERROR(__xludf.DUMMYFUNCTION("""COMPUTED_VALUE"""),4705.0)</f>
        <v>4705</v>
      </c>
      <c r="C471" s="1">
        <f>IFERROR(__xludf.DUMMYFUNCTION("""COMPUTED_VALUE"""),4705.0)</f>
        <v>4705</v>
      </c>
      <c r="D471" s="1">
        <f>IFERROR(__xludf.DUMMYFUNCTION("""COMPUTED_VALUE"""),4705.0)</f>
        <v>4705</v>
      </c>
      <c r="E471" s="1">
        <f>IFERROR(__xludf.DUMMYFUNCTION("""COMPUTED_VALUE"""),4705.0)</f>
        <v>4705</v>
      </c>
      <c r="F471" s="1">
        <f>IFERROR(__xludf.DUMMYFUNCTION("""COMPUTED_VALUE"""),42232.0)</f>
        <v>42232</v>
      </c>
    </row>
    <row r="472">
      <c r="A472" s="2">
        <f>IFERROR(__xludf.DUMMYFUNCTION("""COMPUTED_VALUE"""),41876.645833333336)</f>
        <v>41876.64583</v>
      </c>
      <c r="B472" s="1">
        <f>IFERROR(__xludf.DUMMYFUNCTION("""COMPUTED_VALUE"""),5410.0)</f>
        <v>5410</v>
      </c>
      <c r="C472" s="1">
        <f>IFERROR(__xludf.DUMMYFUNCTION("""COMPUTED_VALUE"""),5410.0)</f>
        <v>5410</v>
      </c>
      <c r="D472" s="1">
        <f>IFERROR(__xludf.DUMMYFUNCTION("""COMPUTED_VALUE"""),5410.0)</f>
        <v>5410</v>
      </c>
      <c r="E472" s="1">
        <f>IFERROR(__xludf.DUMMYFUNCTION("""COMPUTED_VALUE"""),5410.0)</f>
        <v>5410</v>
      </c>
      <c r="F472" s="1">
        <f>IFERROR(__xludf.DUMMYFUNCTION("""COMPUTED_VALUE"""),66884.0)</f>
        <v>66884</v>
      </c>
    </row>
    <row r="473">
      <c r="A473" s="2">
        <f>IFERROR(__xludf.DUMMYFUNCTION("""COMPUTED_VALUE"""),41877.645833333336)</f>
        <v>41877.64583</v>
      </c>
      <c r="B473" s="1">
        <f>IFERROR(__xludf.DUMMYFUNCTION("""COMPUTED_VALUE"""),5950.0)</f>
        <v>5950</v>
      </c>
      <c r="C473" s="1">
        <f>IFERROR(__xludf.DUMMYFUNCTION("""COMPUTED_VALUE"""),6170.0)</f>
        <v>6170</v>
      </c>
      <c r="D473" s="1">
        <f>IFERROR(__xludf.DUMMYFUNCTION("""COMPUTED_VALUE"""),5170.0)</f>
        <v>5170</v>
      </c>
      <c r="E473" s="1">
        <f>IFERROR(__xludf.DUMMYFUNCTION("""COMPUTED_VALUE"""),5420.0)</f>
        <v>5420</v>
      </c>
      <c r="F473" s="1">
        <f>IFERROR(__xludf.DUMMYFUNCTION("""COMPUTED_VALUE"""),4665490.0)</f>
        <v>4665490</v>
      </c>
    </row>
    <row r="474">
      <c r="A474" s="2">
        <f>IFERROR(__xludf.DUMMYFUNCTION("""COMPUTED_VALUE"""),41878.645833333336)</f>
        <v>41878.64583</v>
      </c>
      <c r="B474" s="1">
        <f>IFERROR(__xludf.DUMMYFUNCTION("""COMPUTED_VALUE"""),5290.0)</f>
        <v>5290</v>
      </c>
      <c r="C474" s="1">
        <f>IFERROR(__xludf.DUMMYFUNCTION("""COMPUTED_VALUE"""),5550.0)</f>
        <v>5550</v>
      </c>
      <c r="D474" s="1">
        <f>IFERROR(__xludf.DUMMYFUNCTION("""COMPUTED_VALUE"""),4980.0)</f>
        <v>4980</v>
      </c>
      <c r="E474" s="1">
        <f>IFERROR(__xludf.DUMMYFUNCTION("""COMPUTED_VALUE"""),5430.0)</f>
        <v>5430</v>
      </c>
      <c r="F474" s="1">
        <f>IFERROR(__xludf.DUMMYFUNCTION("""COMPUTED_VALUE"""),2228527.0)</f>
        <v>2228527</v>
      </c>
    </row>
    <row r="475">
      <c r="A475" s="2">
        <f>IFERROR(__xludf.DUMMYFUNCTION("""COMPUTED_VALUE"""),41879.645833333336)</f>
        <v>41879.64583</v>
      </c>
      <c r="B475" s="1">
        <f>IFERROR(__xludf.DUMMYFUNCTION("""COMPUTED_VALUE"""),5550.0)</f>
        <v>5550</v>
      </c>
      <c r="C475" s="1">
        <f>IFERROR(__xludf.DUMMYFUNCTION("""COMPUTED_VALUE"""),5670.0)</f>
        <v>5670</v>
      </c>
      <c r="D475" s="1">
        <f>IFERROR(__xludf.DUMMYFUNCTION("""COMPUTED_VALUE"""),5100.0)</f>
        <v>5100</v>
      </c>
      <c r="E475" s="1">
        <f>IFERROR(__xludf.DUMMYFUNCTION("""COMPUTED_VALUE"""),5370.0)</f>
        <v>5370</v>
      </c>
      <c r="F475" s="1">
        <f>IFERROR(__xludf.DUMMYFUNCTION("""COMPUTED_VALUE"""),1392853.0)</f>
        <v>1392853</v>
      </c>
    </row>
    <row r="476">
      <c r="A476" s="2">
        <f>IFERROR(__xludf.DUMMYFUNCTION("""COMPUTED_VALUE"""),41880.645833333336)</f>
        <v>41880.64583</v>
      </c>
      <c r="B476" s="1">
        <f>IFERROR(__xludf.DUMMYFUNCTION("""COMPUTED_VALUE"""),5250.0)</f>
        <v>5250</v>
      </c>
      <c r="C476" s="1">
        <f>IFERROR(__xludf.DUMMYFUNCTION("""COMPUTED_VALUE"""),5390.0)</f>
        <v>5390</v>
      </c>
      <c r="D476" s="1">
        <f>IFERROR(__xludf.DUMMYFUNCTION("""COMPUTED_VALUE"""),5000.0)</f>
        <v>5000</v>
      </c>
      <c r="E476" s="1">
        <f>IFERROR(__xludf.DUMMYFUNCTION("""COMPUTED_VALUE"""),5130.0)</f>
        <v>5130</v>
      </c>
      <c r="F476" s="1">
        <f>IFERROR(__xludf.DUMMYFUNCTION("""COMPUTED_VALUE"""),1152385.0)</f>
        <v>1152385</v>
      </c>
    </row>
    <row r="477">
      <c r="A477" s="2">
        <f>IFERROR(__xludf.DUMMYFUNCTION("""COMPUTED_VALUE"""),41883.645833333336)</f>
        <v>41883.64583</v>
      </c>
      <c r="B477" s="1">
        <f>IFERROR(__xludf.DUMMYFUNCTION("""COMPUTED_VALUE"""),5160.0)</f>
        <v>5160</v>
      </c>
      <c r="C477" s="1">
        <f>IFERROR(__xludf.DUMMYFUNCTION("""COMPUTED_VALUE"""),5180.0)</f>
        <v>5180</v>
      </c>
      <c r="D477" s="1">
        <f>IFERROR(__xludf.DUMMYFUNCTION("""COMPUTED_VALUE"""),4825.0)</f>
        <v>4825</v>
      </c>
      <c r="E477" s="1">
        <f>IFERROR(__xludf.DUMMYFUNCTION("""COMPUTED_VALUE"""),4935.0)</f>
        <v>4935</v>
      </c>
      <c r="F477" s="1">
        <f>IFERROR(__xludf.DUMMYFUNCTION("""COMPUTED_VALUE"""),702811.0)</f>
        <v>702811</v>
      </c>
    </row>
    <row r="478">
      <c r="A478" s="2">
        <f>IFERROR(__xludf.DUMMYFUNCTION("""COMPUTED_VALUE"""),41884.645833333336)</f>
        <v>41884.64583</v>
      </c>
      <c r="B478" s="1">
        <f>IFERROR(__xludf.DUMMYFUNCTION("""COMPUTED_VALUE"""),4900.0)</f>
        <v>4900</v>
      </c>
      <c r="C478" s="1">
        <f>IFERROR(__xludf.DUMMYFUNCTION("""COMPUTED_VALUE"""),5670.0)</f>
        <v>5670</v>
      </c>
      <c r="D478" s="1">
        <f>IFERROR(__xludf.DUMMYFUNCTION("""COMPUTED_VALUE"""),4890.0)</f>
        <v>4890</v>
      </c>
      <c r="E478" s="1">
        <f>IFERROR(__xludf.DUMMYFUNCTION("""COMPUTED_VALUE"""),5670.0)</f>
        <v>5670</v>
      </c>
      <c r="F478" s="1">
        <f>IFERROR(__xludf.DUMMYFUNCTION("""COMPUTED_VALUE"""),3789502.0)</f>
        <v>3789502</v>
      </c>
    </row>
    <row r="479">
      <c r="A479" s="2">
        <f>IFERROR(__xludf.DUMMYFUNCTION("""COMPUTED_VALUE"""),41885.645833333336)</f>
        <v>41885.64583</v>
      </c>
      <c r="B479" s="1">
        <f>IFERROR(__xludf.DUMMYFUNCTION("""COMPUTED_VALUE"""),5510.0)</f>
        <v>5510</v>
      </c>
      <c r="C479" s="1">
        <f>IFERROR(__xludf.DUMMYFUNCTION("""COMPUTED_VALUE"""),5950.0)</f>
        <v>5950</v>
      </c>
      <c r="D479" s="1">
        <f>IFERROR(__xludf.DUMMYFUNCTION("""COMPUTED_VALUE"""),5200.0)</f>
        <v>5200</v>
      </c>
      <c r="E479" s="1">
        <f>IFERROR(__xludf.DUMMYFUNCTION("""COMPUTED_VALUE"""),5490.0)</f>
        <v>5490</v>
      </c>
      <c r="F479" s="1">
        <f>IFERROR(__xludf.DUMMYFUNCTION("""COMPUTED_VALUE"""),1512244.0)</f>
        <v>1512244</v>
      </c>
    </row>
    <row r="480">
      <c r="A480" s="2">
        <f>IFERROR(__xludf.DUMMYFUNCTION("""COMPUTED_VALUE"""),41886.645833333336)</f>
        <v>41886.64583</v>
      </c>
      <c r="B480" s="1">
        <f>IFERROR(__xludf.DUMMYFUNCTION("""COMPUTED_VALUE"""),5490.0)</f>
        <v>5490</v>
      </c>
      <c r="C480" s="1">
        <f>IFERROR(__xludf.DUMMYFUNCTION("""COMPUTED_VALUE"""),5840.0)</f>
        <v>5840</v>
      </c>
      <c r="D480" s="1">
        <f>IFERROR(__xludf.DUMMYFUNCTION("""COMPUTED_VALUE"""),5210.0)</f>
        <v>5210</v>
      </c>
      <c r="E480" s="1">
        <f>IFERROR(__xludf.DUMMYFUNCTION("""COMPUTED_VALUE"""),5750.0)</f>
        <v>5750</v>
      </c>
      <c r="F480" s="1">
        <f>IFERROR(__xludf.DUMMYFUNCTION("""COMPUTED_VALUE"""),785965.0)</f>
        <v>785965</v>
      </c>
    </row>
    <row r="481">
      <c r="A481" s="2">
        <f>IFERROR(__xludf.DUMMYFUNCTION("""COMPUTED_VALUE"""),41887.645833333336)</f>
        <v>41887.64583</v>
      </c>
      <c r="B481" s="1">
        <f>IFERROR(__xludf.DUMMYFUNCTION("""COMPUTED_VALUE"""),5900.0)</f>
        <v>5900</v>
      </c>
      <c r="C481" s="1">
        <f>IFERROR(__xludf.DUMMYFUNCTION("""COMPUTED_VALUE"""),5950.0)</f>
        <v>5950</v>
      </c>
      <c r="D481" s="1">
        <f>IFERROR(__xludf.DUMMYFUNCTION("""COMPUTED_VALUE"""),5520.0)</f>
        <v>5520</v>
      </c>
      <c r="E481" s="1">
        <f>IFERROR(__xludf.DUMMYFUNCTION("""COMPUTED_VALUE"""),5750.0)</f>
        <v>5750</v>
      </c>
      <c r="F481" s="1">
        <f>IFERROR(__xludf.DUMMYFUNCTION("""COMPUTED_VALUE"""),664428.0)</f>
        <v>664428</v>
      </c>
    </row>
    <row r="482">
      <c r="A482" s="2">
        <f>IFERROR(__xludf.DUMMYFUNCTION("""COMPUTED_VALUE"""),41893.645833333336)</f>
        <v>41893.64583</v>
      </c>
      <c r="B482" s="1">
        <f>IFERROR(__xludf.DUMMYFUNCTION("""COMPUTED_VALUE"""),5760.0)</f>
        <v>5760</v>
      </c>
      <c r="C482" s="1">
        <f>IFERROR(__xludf.DUMMYFUNCTION("""COMPUTED_VALUE"""),6110.0)</f>
        <v>6110</v>
      </c>
      <c r="D482" s="1">
        <f>IFERROR(__xludf.DUMMYFUNCTION("""COMPUTED_VALUE"""),5610.0)</f>
        <v>5610</v>
      </c>
      <c r="E482" s="1">
        <f>IFERROR(__xludf.DUMMYFUNCTION("""COMPUTED_VALUE"""),5900.0)</f>
        <v>5900</v>
      </c>
      <c r="F482" s="1">
        <f>IFERROR(__xludf.DUMMYFUNCTION("""COMPUTED_VALUE"""),713315.0)</f>
        <v>713315</v>
      </c>
    </row>
    <row r="483">
      <c r="A483" s="2">
        <f>IFERROR(__xludf.DUMMYFUNCTION("""COMPUTED_VALUE"""),41894.645833333336)</f>
        <v>41894.64583</v>
      </c>
      <c r="B483" s="1">
        <f>IFERROR(__xludf.DUMMYFUNCTION("""COMPUTED_VALUE"""),5970.0)</f>
        <v>5970</v>
      </c>
      <c r="C483" s="1">
        <f>IFERROR(__xludf.DUMMYFUNCTION("""COMPUTED_VALUE"""),6190.0)</f>
        <v>6190</v>
      </c>
      <c r="D483" s="1">
        <f>IFERROR(__xludf.DUMMYFUNCTION("""COMPUTED_VALUE"""),5770.0)</f>
        <v>5770</v>
      </c>
      <c r="E483" s="1">
        <f>IFERROR(__xludf.DUMMYFUNCTION("""COMPUTED_VALUE"""),6190.0)</f>
        <v>6190</v>
      </c>
      <c r="F483" s="1">
        <f>IFERROR(__xludf.DUMMYFUNCTION("""COMPUTED_VALUE"""),496907.0)</f>
        <v>496907</v>
      </c>
    </row>
    <row r="484">
      <c r="A484" s="2">
        <f>IFERROR(__xludf.DUMMYFUNCTION("""COMPUTED_VALUE"""),41897.645833333336)</f>
        <v>41897.64583</v>
      </c>
      <c r="B484" s="1">
        <f>IFERROR(__xludf.DUMMYFUNCTION("""COMPUTED_VALUE"""),6000.0)</f>
        <v>6000</v>
      </c>
      <c r="C484" s="1">
        <f>IFERROR(__xludf.DUMMYFUNCTION("""COMPUTED_VALUE"""),6100.0)</f>
        <v>6100</v>
      </c>
      <c r="D484" s="1">
        <f>IFERROR(__xludf.DUMMYFUNCTION("""COMPUTED_VALUE"""),5780.0)</f>
        <v>5780</v>
      </c>
      <c r="E484" s="1">
        <f>IFERROR(__xludf.DUMMYFUNCTION("""COMPUTED_VALUE"""),5880.0)</f>
        <v>5880</v>
      </c>
      <c r="F484" s="1">
        <f>IFERROR(__xludf.DUMMYFUNCTION("""COMPUTED_VALUE"""),366638.0)</f>
        <v>366638</v>
      </c>
    </row>
    <row r="485">
      <c r="A485" s="2">
        <f>IFERROR(__xludf.DUMMYFUNCTION("""COMPUTED_VALUE"""),41898.645833333336)</f>
        <v>41898.64583</v>
      </c>
      <c r="B485" s="1">
        <f>IFERROR(__xludf.DUMMYFUNCTION("""COMPUTED_VALUE"""),5900.0)</f>
        <v>5900</v>
      </c>
      <c r="C485" s="1">
        <f>IFERROR(__xludf.DUMMYFUNCTION("""COMPUTED_VALUE"""),6580.0)</f>
        <v>6580</v>
      </c>
      <c r="D485" s="1">
        <f>IFERROR(__xludf.DUMMYFUNCTION("""COMPUTED_VALUE"""),5490.0)</f>
        <v>5490</v>
      </c>
      <c r="E485" s="1">
        <f>IFERROR(__xludf.DUMMYFUNCTION("""COMPUTED_VALUE"""),5780.0)</f>
        <v>5780</v>
      </c>
      <c r="F485" s="1">
        <f>IFERROR(__xludf.DUMMYFUNCTION("""COMPUTED_VALUE"""),1109340.0)</f>
        <v>1109340</v>
      </c>
    </row>
    <row r="486">
      <c r="A486" s="2">
        <f>IFERROR(__xludf.DUMMYFUNCTION("""COMPUTED_VALUE"""),41899.645833333336)</f>
        <v>41899.64583</v>
      </c>
      <c r="B486" s="1">
        <f>IFERROR(__xludf.DUMMYFUNCTION("""COMPUTED_VALUE"""),5750.0)</f>
        <v>5750</v>
      </c>
      <c r="C486" s="1">
        <f>IFERROR(__xludf.DUMMYFUNCTION("""COMPUTED_VALUE"""),5780.0)</f>
        <v>5780</v>
      </c>
      <c r="D486" s="1">
        <f>IFERROR(__xludf.DUMMYFUNCTION("""COMPUTED_VALUE"""),5410.0)</f>
        <v>5410</v>
      </c>
      <c r="E486" s="1">
        <f>IFERROR(__xludf.DUMMYFUNCTION("""COMPUTED_VALUE"""),5600.0)</f>
        <v>5600</v>
      </c>
      <c r="F486" s="1">
        <f>IFERROR(__xludf.DUMMYFUNCTION("""COMPUTED_VALUE"""),345851.0)</f>
        <v>345851</v>
      </c>
    </row>
    <row r="487">
      <c r="A487" s="2">
        <f>IFERROR(__xludf.DUMMYFUNCTION("""COMPUTED_VALUE"""),41900.645833333336)</f>
        <v>41900.64583</v>
      </c>
      <c r="B487" s="1">
        <f>IFERROR(__xludf.DUMMYFUNCTION("""COMPUTED_VALUE"""),5490.0)</f>
        <v>5490</v>
      </c>
      <c r="C487" s="1">
        <f>IFERROR(__xludf.DUMMYFUNCTION("""COMPUTED_VALUE"""),5700.0)</f>
        <v>5700</v>
      </c>
      <c r="D487" s="1">
        <f>IFERROR(__xludf.DUMMYFUNCTION("""COMPUTED_VALUE"""),5350.0)</f>
        <v>5350</v>
      </c>
      <c r="E487" s="1">
        <f>IFERROR(__xludf.DUMMYFUNCTION("""COMPUTED_VALUE"""),5670.0)</f>
        <v>5670</v>
      </c>
      <c r="F487" s="1">
        <f>IFERROR(__xludf.DUMMYFUNCTION("""COMPUTED_VALUE"""),337231.0)</f>
        <v>337231</v>
      </c>
    </row>
    <row r="488">
      <c r="A488" s="2">
        <f>IFERROR(__xludf.DUMMYFUNCTION("""COMPUTED_VALUE"""),41901.645833333336)</f>
        <v>41901.64583</v>
      </c>
      <c r="B488" s="1">
        <f>IFERROR(__xludf.DUMMYFUNCTION("""COMPUTED_VALUE"""),5670.0)</f>
        <v>5670</v>
      </c>
      <c r="C488" s="1">
        <f>IFERROR(__xludf.DUMMYFUNCTION("""COMPUTED_VALUE"""),5700.0)</f>
        <v>5700</v>
      </c>
      <c r="D488" s="1">
        <f>IFERROR(__xludf.DUMMYFUNCTION("""COMPUTED_VALUE"""),5480.0)</f>
        <v>5480</v>
      </c>
      <c r="E488" s="1">
        <f>IFERROR(__xludf.DUMMYFUNCTION("""COMPUTED_VALUE"""),5650.0)</f>
        <v>5650</v>
      </c>
      <c r="F488" s="1">
        <f>IFERROR(__xludf.DUMMYFUNCTION("""COMPUTED_VALUE"""),167758.0)</f>
        <v>167758</v>
      </c>
    </row>
    <row r="489">
      <c r="A489" s="2">
        <f>IFERROR(__xludf.DUMMYFUNCTION("""COMPUTED_VALUE"""),41904.645833333336)</f>
        <v>41904.64583</v>
      </c>
      <c r="B489" s="1">
        <f>IFERROR(__xludf.DUMMYFUNCTION("""COMPUTED_VALUE"""),5650.0)</f>
        <v>5650</v>
      </c>
      <c r="C489" s="1">
        <f>IFERROR(__xludf.DUMMYFUNCTION("""COMPUTED_VALUE"""),5700.0)</f>
        <v>5700</v>
      </c>
      <c r="D489" s="1">
        <f>IFERROR(__xludf.DUMMYFUNCTION("""COMPUTED_VALUE"""),5530.0)</f>
        <v>5530</v>
      </c>
      <c r="E489" s="1">
        <f>IFERROR(__xludf.DUMMYFUNCTION("""COMPUTED_VALUE"""),5610.0)</f>
        <v>5610</v>
      </c>
      <c r="F489" s="1">
        <f>IFERROR(__xludf.DUMMYFUNCTION("""COMPUTED_VALUE"""),178255.0)</f>
        <v>178255</v>
      </c>
    </row>
    <row r="490">
      <c r="A490" s="2">
        <f>IFERROR(__xludf.DUMMYFUNCTION("""COMPUTED_VALUE"""),41905.645833333336)</f>
        <v>41905.64583</v>
      </c>
      <c r="B490" s="1">
        <f>IFERROR(__xludf.DUMMYFUNCTION("""COMPUTED_VALUE"""),5580.0)</f>
        <v>5580</v>
      </c>
      <c r="C490" s="1">
        <f>IFERROR(__xludf.DUMMYFUNCTION("""COMPUTED_VALUE"""),5580.0)</f>
        <v>5580</v>
      </c>
      <c r="D490" s="1">
        <f>IFERROR(__xludf.DUMMYFUNCTION("""COMPUTED_VALUE"""),5090.0)</f>
        <v>5090</v>
      </c>
      <c r="E490" s="1">
        <f>IFERROR(__xludf.DUMMYFUNCTION("""COMPUTED_VALUE"""),5150.0)</f>
        <v>5150</v>
      </c>
      <c r="F490" s="1">
        <f>IFERROR(__xludf.DUMMYFUNCTION("""COMPUTED_VALUE"""),321092.0)</f>
        <v>321092</v>
      </c>
    </row>
    <row r="491">
      <c r="A491" s="2">
        <f>IFERROR(__xludf.DUMMYFUNCTION("""COMPUTED_VALUE"""),41906.645833333336)</f>
        <v>41906.64583</v>
      </c>
      <c r="B491" s="1">
        <f>IFERROR(__xludf.DUMMYFUNCTION("""COMPUTED_VALUE"""),5130.0)</f>
        <v>5130</v>
      </c>
      <c r="C491" s="1">
        <f>IFERROR(__xludf.DUMMYFUNCTION("""COMPUTED_VALUE"""),5130.0)</f>
        <v>5130</v>
      </c>
      <c r="D491" s="1">
        <f>IFERROR(__xludf.DUMMYFUNCTION("""COMPUTED_VALUE"""),4825.0)</f>
        <v>4825</v>
      </c>
      <c r="E491" s="1">
        <f>IFERROR(__xludf.DUMMYFUNCTION("""COMPUTED_VALUE"""),5000.0)</f>
        <v>5000</v>
      </c>
      <c r="F491" s="1">
        <f>IFERROR(__xludf.DUMMYFUNCTION("""COMPUTED_VALUE"""),316382.0)</f>
        <v>316382</v>
      </c>
    </row>
    <row r="492">
      <c r="A492" s="2">
        <f>IFERROR(__xludf.DUMMYFUNCTION("""COMPUTED_VALUE"""),41907.645833333336)</f>
        <v>41907.64583</v>
      </c>
      <c r="B492" s="1">
        <f>IFERROR(__xludf.DUMMYFUNCTION("""COMPUTED_VALUE"""),5050.0)</f>
        <v>5050</v>
      </c>
      <c r="C492" s="1">
        <f>IFERROR(__xludf.DUMMYFUNCTION("""COMPUTED_VALUE"""),5060.0)</f>
        <v>5060</v>
      </c>
      <c r="D492" s="1">
        <f>IFERROR(__xludf.DUMMYFUNCTION("""COMPUTED_VALUE"""),4605.0)</f>
        <v>4605</v>
      </c>
      <c r="E492" s="1">
        <f>IFERROR(__xludf.DUMMYFUNCTION("""COMPUTED_VALUE"""),4700.0)</f>
        <v>4700</v>
      </c>
      <c r="F492" s="1">
        <f>IFERROR(__xludf.DUMMYFUNCTION("""COMPUTED_VALUE"""),381059.0)</f>
        <v>381059</v>
      </c>
    </row>
    <row r="493">
      <c r="A493" s="2">
        <f>IFERROR(__xludf.DUMMYFUNCTION("""COMPUTED_VALUE"""),41908.645833333336)</f>
        <v>41908.64583</v>
      </c>
      <c r="B493" s="1">
        <f>IFERROR(__xludf.DUMMYFUNCTION("""COMPUTED_VALUE"""),4645.0)</f>
        <v>4645</v>
      </c>
      <c r="C493" s="1">
        <f>IFERROR(__xludf.DUMMYFUNCTION("""COMPUTED_VALUE"""),4925.0)</f>
        <v>4925</v>
      </c>
      <c r="D493" s="1">
        <f>IFERROR(__xludf.DUMMYFUNCTION("""COMPUTED_VALUE"""),4555.0)</f>
        <v>4555</v>
      </c>
      <c r="E493" s="1">
        <f>IFERROR(__xludf.DUMMYFUNCTION("""COMPUTED_VALUE"""),4760.0)</f>
        <v>4760</v>
      </c>
      <c r="F493" s="1">
        <f>IFERROR(__xludf.DUMMYFUNCTION("""COMPUTED_VALUE"""),254524.0)</f>
        <v>254524</v>
      </c>
    </row>
    <row r="494">
      <c r="A494" s="2">
        <f>IFERROR(__xludf.DUMMYFUNCTION("""COMPUTED_VALUE"""),41911.645833333336)</f>
        <v>41911.64583</v>
      </c>
      <c r="B494" s="1">
        <f>IFERROR(__xludf.DUMMYFUNCTION("""COMPUTED_VALUE"""),4860.0)</f>
        <v>4860</v>
      </c>
      <c r="C494" s="1">
        <f>IFERROR(__xludf.DUMMYFUNCTION("""COMPUTED_VALUE"""),4860.0)</f>
        <v>4860</v>
      </c>
      <c r="D494" s="1">
        <f>IFERROR(__xludf.DUMMYFUNCTION("""COMPUTED_VALUE"""),4495.0)</f>
        <v>4495</v>
      </c>
      <c r="E494" s="1">
        <f>IFERROR(__xludf.DUMMYFUNCTION("""COMPUTED_VALUE"""),4520.0)</f>
        <v>4520</v>
      </c>
      <c r="F494" s="1">
        <f>IFERROR(__xludf.DUMMYFUNCTION("""COMPUTED_VALUE"""),226832.0)</f>
        <v>226832</v>
      </c>
    </row>
    <row r="495">
      <c r="A495" s="2">
        <f>IFERROR(__xludf.DUMMYFUNCTION("""COMPUTED_VALUE"""),41912.645833333336)</f>
        <v>41912.64583</v>
      </c>
      <c r="B495" s="1">
        <f>IFERROR(__xludf.DUMMYFUNCTION("""COMPUTED_VALUE"""),4505.0)</f>
        <v>4505</v>
      </c>
      <c r="C495" s="1">
        <f>IFERROR(__xludf.DUMMYFUNCTION("""COMPUTED_VALUE"""),4950.0)</f>
        <v>4950</v>
      </c>
      <c r="D495" s="1">
        <f>IFERROR(__xludf.DUMMYFUNCTION("""COMPUTED_VALUE"""),4500.0)</f>
        <v>4500</v>
      </c>
      <c r="E495" s="1">
        <f>IFERROR(__xludf.DUMMYFUNCTION("""COMPUTED_VALUE"""),4845.0)</f>
        <v>4845</v>
      </c>
      <c r="F495" s="1">
        <f>IFERROR(__xludf.DUMMYFUNCTION("""COMPUTED_VALUE"""),228478.0)</f>
        <v>228478</v>
      </c>
    </row>
    <row r="496">
      <c r="A496" s="2">
        <f>IFERROR(__xludf.DUMMYFUNCTION("""COMPUTED_VALUE"""),41913.645833333336)</f>
        <v>41913.64583</v>
      </c>
      <c r="B496" s="1">
        <f>IFERROR(__xludf.DUMMYFUNCTION("""COMPUTED_VALUE"""),4890.0)</f>
        <v>4890</v>
      </c>
      <c r="C496" s="1">
        <f>IFERROR(__xludf.DUMMYFUNCTION("""COMPUTED_VALUE"""),4890.0)</f>
        <v>4890</v>
      </c>
      <c r="D496" s="1">
        <f>IFERROR(__xludf.DUMMYFUNCTION("""COMPUTED_VALUE"""),4585.0)</f>
        <v>4585</v>
      </c>
      <c r="E496" s="1">
        <f>IFERROR(__xludf.DUMMYFUNCTION("""COMPUTED_VALUE"""),4600.0)</f>
        <v>4600</v>
      </c>
      <c r="F496" s="1">
        <f>IFERROR(__xludf.DUMMYFUNCTION("""COMPUTED_VALUE"""),128112.0)</f>
        <v>128112</v>
      </c>
    </row>
    <row r="497">
      <c r="A497" s="2">
        <f>IFERROR(__xludf.DUMMYFUNCTION("""COMPUTED_VALUE"""),41914.645833333336)</f>
        <v>41914.64583</v>
      </c>
      <c r="B497" s="1">
        <f>IFERROR(__xludf.DUMMYFUNCTION("""COMPUTED_VALUE"""),4500.0)</f>
        <v>4500</v>
      </c>
      <c r="C497" s="1">
        <f>IFERROR(__xludf.DUMMYFUNCTION("""COMPUTED_VALUE"""),4895.0)</f>
        <v>4895</v>
      </c>
      <c r="D497" s="1">
        <f>IFERROR(__xludf.DUMMYFUNCTION("""COMPUTED_VALUE"""),4445.0)</f>
        <v>4445</v>
      </c>
      <c r="E497" s="1">
        <f>IFERROR(__xludf.DUMMYFUNCTION("""COMPUTED_VALUE"""),4820.0)</f>
        <v>4820</v>
      </c>
      <c r="F497" s="1">
        <f>IFERROR(__xludf.DUMMYFUNCTION("""COMPUTED_VALUE"""),140057.0)</f>
        <v>140057</v>
      </c>
    </row>
    <row r="498">
      <c r="A498" s="2">
        <f>IFERROR(__xludf.DUMMYFUNCTION("""COMPUTED_VALUE"""),41918.645833333336)</f>
        <v>41918.64583</v>
      </c>
      <c r="B498" s="1">
        <f>IFERROR(__xludf.DUMMYFUNCTION("""COMPUTED_VALUE"""),4900.0)</f>
        <v>4900</v>
      </c>
      <c r="C498" s="1">
        <f>IFERROR(__xludf.DUMMYFUNCTION("""COMPUTED_VALUE"""),5050.0)</f>
        <v>5050</v>
      </c>
      <c r="D498" s="1">
        <f>IFERROR(__xludf.DUMMYFUNCTION("""COMPUTED_VALUE"""),4640.0)</f>
        <v>4640</v>
      </c>
      <c r="E498" s="1">
        <f>IFERROR(__xludf.DUMMYFUNCTION("""COMPUTED_VALUE"""),4640.0)</f>
        <v>4640</v>
      </c>
      <c r="F498" s="1">
        <f>IFERROR(__xludf.DUMMYFUNCTION("""COMPUTED_VALUE"""),163950.0)</f>
        <v>163950</v>
      </c>
    </row>
    <row r="499">
      <c r="A499" s="2">
        <f>IFERROR(__xludf.DUMMYFUNCTION("""COMPUTED_VALUE"""),41919.645833333336)</f>
        <v>41919.64583</v>
      </c>
      <c r="B499" s="1">
        <f>IFERROR(__xludf.DUMMYFUNCTION("""COMPUTED_VALUE"""),4650.0)</f>
        <v>4650</v>
      </c>
      <c r="C499" s="1">
        <f>IFERROR(__xludf.DUMMYFUNCTION("""COMPUTED_VALUE"""),4750.0)</f>
        <v>4750</v>
      </c>
      <c r="D499" s="1">
        <f>IFERROR(__xludf.DUMMYFUNCTION("""COMPUTED_VALUE"""),4585.0)</f>
        <v>4585</v>
      </c>
      <c r="E499" s="1">
        <f>IFERROR(__xludf.DUMMYFUNCTION("""COMPUTED_VALUE"""),4635.0)</f>
        <v>4635</v>
      </c>
      <c r="F499" s="1">
        <f>IFERROR(__xludf.DUMMYFUNCTION("""COMPUTED_VALUE"""),67175.0)</f>
        <v>67175</v>
      </c>
    </row>
    <row r="500">
      <c r="A500" s="2">
        <f>IFERROR(__xludf.DUMMYFUNCTION("""COMPUTED_VALUE"""),41920.645833333336)</f>
        <v>41920.64583</v>
      </c>
      <c r="B500" s="1">
        <f>IFERROR(__xludf.DUMMYFUNCTION("""COMPUTED_VALUE"""),4490.0)</f>
        <v>4490</v>
      </c>
      <c r="C500" s="1">
        <f>IFERROR(__xludf.DUMMYFUNCTION("""COMPUTED_VALUE"""),4735.0)</f>
        <v>4735</v>
      </c>
      <c r="D500" s="1">
        <f>IFERROR(__xludf.DUMMYFUNCTION("""COMPUTED_VALUE"""),4490.0)</f>
        <v>4490</v>
      </c>
      <c r="E500" s="1">
        <f>IFERROR(__xludf.DUMMYFUNCTION("""COMPUTED_VALUE"""),4630.0)</f>
        <v>4630</v>
      </c>
      <c r="F500" s="1">
        <f>IFERROR(__xludf.DUMMYFUNCTION("""COMPUTED_VALUE"""),145976.0)</f>
        <v>145976</v>
      </c>
    </row>
    <row r="501">
      <c r="A501" s="2">
        <f>IFERROR(__xludf.DUMMYFUNCTION("""COMPUTED_VALUE"""),41922.645833333336)</f>
        <v>41922.64583</v>
      </c>
      <c r="B501" s="1">
        <f>IFERROR(__xludf.DUMMYFUNCTION("""COMPUTED_VALUE"""),4625.0)</f>
        <v>4625</v>
      </c>
      <c r="C501" s="1">
        <f>IFERROR(__xludf.DUMMYFUNCTION("""COMPUTED_VALUE"""),4625.0)</f>
        <v>4625</v>
      </c>
      <c r="D501" s="1">
        <f>IFERROR(__xludf.DUMMYFUNCTION("""COMPUTED_VALUE"""),4210.0)</f>
        <v>4210</v>
      </c>
      <c r="E501" s="1">
        <f>IFERROR(__xludf.DUMMYFUNCTION("""COMPUTED_VALUE"""),4400.0)</f>
        <v>4400</v>
      </c>
      <c r="F501" s="1">
        <f>IFERROR(__xludf.DUMMYFUNCTION("""COMPUTED_VALUE"""),163221.0)</f>
        <v>163221</v>
      </c>
    </row>
    <row r="502">
      <c r="A502" s="2">
        <f>IFERROR(__xludf.DUMMYFUNCTION("""COMPUTED_VALUE"""),41925.645833333336)</f>
        <v>41925.64583</v>
      </c>
      <c r="B502" s="1">
        <f>IFERROR(__xludf.DUMMYFUNCTION("""COMPUTED_VALUE"""),4305.0)</f>
        <v>4305</v>
      </c>
      <c r="C502" s="1">
        <f>IFERROR(__xludf.DUMMYFUNCTION("""COMPUTED_VALUE"""),4305.0)</f>
        <v>4305</v>
      </c>
      <c r="D502" s="1">
        <f>IFERROR(__xludf.DUMMYFUNCTION("""COMPUTED_VALUE"""),4010.0)</f>
        <v>4010</v>
      </c>
      <c r="E502" s="1">
        <f>IFERROR(__xludf.DUMMYFUNCTION("""COMPUTED_VALUE"""),4100.0)</f>
        <v>4100</v>
      </c>
      <c r="F502" s="1">
        <f>IFERROR(__xludf.DUMMYFUNCTION("""COMPUTED_VALUE"""),109333.0)</f>
        <v>109333</v>
      </c>
    </row>
    <row r="503">
      <c r="A503" s="2">
        <f>IFERROR(__xludf.DUMMYFUNCTION("""COMPUTED_VALUE"""),41926.645833333336)</f>
        <v>41926.64583</v>
      </c>
      <c r="B503" s="1">
        <f>IFERROR(__xludf.DUMMYFUNCTION("""COMPUTED_VALUE"""),4100.0)</f>
        <v>4100</v>
      </c>
      <c r="C503" s="1">
        <f>IFERROR(__xludf.DUMMYFUNCTION("""COMPUTED_VALUE"""),4255.0)</f>
        <v>4255</v>
      </c>
      <c r="D503" s="1">
        <f>IFERROR(__xludf.DUMMYFUNCTION("""COMPUTED_VALUE"""),4000.0)</f>
        <v>4000</v>
      </c>
      <c r="E503" s="1">
        <f>IFERROR(__xludf.DUMMYFUNCTION("""COMPUTED_VALUE"""),4255.0)</f>
        <v>4255</v>
      </c>
      <c r="F503" s="1">
        <f>IFERROR(__xludf.DUMMYFUNCTION("""COMPUTED_VALUE"""),170766.0)</f>
        <v>170766</v>
      </c>
    </row>
    <row r="504">
      <c r="A504" s="2">
        <f>IFERROR(__xludf.DUMMYFUNCTION("""COMPUTED_VALUE"""),41927.645833333336)</f>
        <v>41927.64583</v>
      </c>
      <c r="B504" s="1">
        <f>IFERROR(__xludf.DUMMYFUNCTION("""COMPUTED_VALUE"""),4230.0)</f>
        <v>4230</v>
      </c>
      <c r="C504" s="1">
        <f>IFERROR(__xludf.DUMMYFUNCTION("""COMPUTED_VALUE"""),4375.0)</f>
        <v>4375</v>
      </c>
      <c r="D504" s="1">
        <f>IFERROR(__xludf.DUMMYFUNCTION("""COMPUTED_VALUE"""),4110.0)</f>
        <v>4110</v>
      </c>
      <c r="E504" s="1">
        <f>IFERROR(__xludf.DUMMYFUNCTION("""COMPUTED_VALUE"""),4350.0)</f>
        <v>4350</v>
      </c>
      <c r="F504" s="1">
        <f>IFERROR(__xludf.DUMMYFUNCTION("""COMPUTED_VALUE"""),82164.0)</f>
        <v>82164</v>
      </c>
    </row>
    <row r="505">
      <c r="A505" s="2">
        <f>IFERROR(__xludf.DUMMYFUNCTION("""COMPUTED_VALUE"""),41928.645833333336)</f>
        <v>41928.64583</v>
      </c>
      <c r="B505" s="1">
        <f>IFERROR(__xludf.DUMMYFUNCTION("""COMPUTED_VALUE"""),4275.0)</f>
        <v>4275</v>
      </c>
      <c r="C505" s="1">
        <f>IFERROR(__xludf.DUMMYFUNCTION("""COMPUTED_VALUE"""),4790.0)</f>
        <v>4790</v>
      </c>
      <c r="D505" s="1">
        <f>IFERROR(__xludf.DUMMYFUNCTION("""COMPUTED_VALUE"""),4125.0)</f>
        <v>4125</v>
      </c>
      <c r="E505" s="1">
        <f>IFERROR(__xludf.DUMMYFUNCTION("""COMPUTED_VALUE"""),4790.0)</f>
        <v>4790</v>
      </c>
      <c r="F505" s="1">
        <f>IFERROR(__xludf.DUMMYFUNCTION("""COMPUTED_VALUE"""),203430.0)</f>
        <v>203430</v>
      </c>
    </row>
    <row r="506">
      <c r="A506" s="2">
        <f>IFERROR(__xludf.DUMMYFUNCTION("""COMPUTED_VALUE"""),41929.645833333336)</f>
        <v>41929.64583</v>
      </c>
      <c r="B506" s="1">
        <f>IFERROR(__xludf.DUMMYFUNCTION("""COMPUTED_VALUE"""),4770.0)</f>
        <v>4770</v>
      </c>
      <c r="C506" s="1">
        <f>IFERROR(__xludf.DUMMYFUNCTION("""COMPUTED_VALUE"""),4850.0)</f>
        <v>4850</v>
      </c>
      <c r="D506" s="1">
        <f>IFERROR(__xludf.DUMMYFUNCTION("""COMPUTED_VALUE"""),4510.0)</f>
        <v>4510</v>
      </c>
      <c r="E506" s="1">
        <f>IFERROR(__xludf.DUMMYFUNCTION("""COMPUTED_VALUE"""),4700.0)</f>
        <v>4700</v>
      </c>
      <c r="F506" s="1">
        <f>IFERROR(__xludf.DUMMYFUNCTION("""COMPUTED_VALUE"""),162171.0)</f>
        <v>162171</v>
      </c>
    </row>
    <row r="507">
      <c r="A507" s="2">
        <f>IFERROR(__xludf.DUMMYFUNCTION("""COMPUTED_VALUE"""),41932.645833333336)</f>
        <v>41932.64583</v>
      </c>
      <c r="B507" s="1">
        <f>IFERROR(__xludf.DUMMYFUNCTION("""COMPUTED_VALUE"""),4700.0)</f>
        <v>4700</v>
      </c>
      <c r="C507" s="1">
        <f>IFERROR(__xludf.DUMMYFUNCTION("""COMPUTED_VALUE"""),4750.0)</f>
        <v>4750</v>
      </c>
      <c r="D507" s="1">
        <f>IFERROR(__xludf.DUMMYFUNCTION("""COMPUTED_VALUE"""),4570.0)</f>
        <v>4570</v>
      </c>
      <c r="E507" s="1">
        <f>IFERROR(__xludf.DUMMYFUNCTION("""COMPUTED_VALUE"""),4700.0)</f>
        <v>4700</v>
      </c>
      <c r="F507" s="1">
        <f>IFERROR(__xludf.DUMMYFUNCTION("""COMPUTED_VALUE"""),98027.0)</f>
        <v>98027</v>
      </c>
    </row>
    <row r="508">
      <c r="A508" s="2">
        <f>IFERROR(__xludf.DUMMYFUNCTION("""COMPUTED_VALUE"""),41933.645833333336)</f>
        <v>41933.64583</v>
      </c>
      <c r="B508" s="1">
        <f>IFERROR(__xludf.DUMMYFUNCTION("""COMPUTED_VALUE"""),4655.0)</f>
        <v>4655</v>
      </c>
      <c r="C508" s="1">
        <f>IFERROR(__xludf.DUMMYFUNCTION("""COMPUTED_VALUE"""),4745.0)</f>
        <v>4745</v>
      </c>
      <c r="D508" s="1">
        <f>IFERROR(__xludf.DUMMYFUNCTION("""COMPUTED_VALUE"""),4420.0)</f>
        <v>4420</v>
      </c>
      <c r="E508" s="1">
        <f>IFERROR(__xludf.DUMMYFUNCTION("""COMPUTED_VALUE"""),4500.0)</f>
        <v>4500</v>
      </c>
      <c r="F508" s="1">
        <f>IFERROR(__xludf.DUMMYFUNCTION("""COMPUTED_VALUE"""),101667.0)</f>
        <v>101667</v>
      </c>
    </row>
    <row r="509">
      <c r="A509" s="2">
        <f>IFERROR(__xludf.DUMMYFUNCTION("""COMPUTED_VALUE"""),41934.645833333336)</f>
        <v>41934.64583</v>
      </c>
      <c r="B509" s="1">
        <f>IFERROR(__xludf.DUMMYFUNCTION("""COMPUTED_VALUE"""),4925.0)</f>
        <v>4925</v>
      </c>
      <c r="C509" s="1">
        <f>IFERROR(__xludf.DUMMYFUNCTION("""COMPUTED_VALUE"""),5170.0)</f>
        <v>5170</v>
      </c>
      <c r="D509" s="1">
        <f>IFERROR(__xludf.DUMMYFUNCTION("""COMPUTED_VALUE"""),4900.0)</f>
        <v>4900</v>
      </c>
      <c r="E509" s="1">
        <f>IFERROR(__xludf.DUMMYFUNCTION("""COMPUTED_VALUE"""),4965.0)</f>
        <v>4965</v>
      </c>
      <c r="F509" s="1">
        <f>IFERROR(__xludf.DUMMYFUNCTION("""COMPUTED_VALUE"""),1478757.0)</f>
        <v>1478757</v>
      </c>
    </row>
    <row r="510">
      <c r="A510" s="2">
        <f>IFERROR(__xludf.DUMMYFUNCTION("""COMPUTED_VALUE"""),41935.645833333336)</f>
        <v>41935.64583</v>
      </c>
      <c r="B510" s="1">
        <f>IFERROR(__xludf.DUMMYFUNCTION("""COMPUTED_VALUE"""),4910.0)</f>
        <v>4910</v>
      </c>
      <c r="C510" s="1">
        <f>IFERROR(__xludf.DUMMYFUNCTION("""COMPUTED_VALUE"""),5030.0)</f>
        <v>5030</v>
      </c>
      <c r="D510" s="1">
        <f>IFERROR(__xludf.DUMMYFUNCTION("""COMPUTED_VALUE"""),4720.0)</f>
        <v>4720</v>
      </c>
      <c r="E510" s="1">
        <f>IFERROR(__xludf.DUMMYFUNCTION("""COMPUTED_VALUE"""),4790.0)</f>
        <v>4790</v>
      </c>
      <c r="F510" s="1">
        <f>IFERROR(__xludf.DUMMYFUNCTION("""COMPUTED_VALUE"""),329193.0)</f>
        <v>329193</v>
      </c>
    </row>
    <row r="511">
      <c r="A511" s="2">
        <f>IFERROR(__xludf.DUMMYFUNCTION("""COMPUTED_VALUE"""),41936.645833333336)</f>
        <v>41936.64583</v>
      </c>
      <c r="B511" s="1">
        <f>IFERROR(__xludf.DUMMYFUNCTION("""COMPUTED_VALUE"""),4775.0)</f>
        <v>4775</v>
      </c>
      <c r="C511" s="1">
        <f>IFERROR(__xludf.DUMMYFUNCTION("""COMPUTED_VALUE"""),5030.0)</f>
        <v>5030</v>
      </c>
      <c r="D511" s="1">
        <f>IFERROR(__xludf.DUMMYFUNCTION("""COMPUTED_VALUE"""),4700.0)</f>
        <v>4700</v>
      </c>
      <c r="E511" s="1">
        <f>IFERROR(__xludf.DUMMYFUNCTION("""COMPUTED_VALUE"""),4985.0)</f>
        <v>4985</v>
      </c>
      <c r="F511" s="1">
        <f>IFERROR(__xludf.DUMMYFUNCTION("""COMPUTED_VALUE"""),242666.0)</f>
        <v>242666</v>
      </c>
    </row>
    <row r="512">
      <c r="A512" s="2">
        <f>IFERROR(__xludf.DUMMYFUNCTION("""COMPUTED_VALUE"""),41939.645833333336)</f>
        <v>41939.64583</v>
      </c>
      <c r="B512" s="1">
        <f>IFERROR(__xludf.DUMMYFUNCTION("""COMPUTED_VALUE"""),4920.0)</f>
        <v>4920</v>
      </c>
      <c r="C512" s="1">
        <f>IFERROR(__xludf.DUMMYFUNCTION("""COMPUTED_VALUE"""),5100.0)</f>
        <v>5100</v>
      </c>
      <c r="D512" s="1">
        <f>IFERROR(__xludf.DUMMYFUNCTION("""COMPUTED_VALUE"""),4765.0)</f>
        <v>4765</v>
      </c>
      <c r="E512" s="1">
        <f>IFERROR(__xludf.DUMMYFUNCTION("""COMPUTED_VALUE"""),4795.0)</f>
        <v>4795</v>
      </c>
      <c r="F512" s="1">
        <f>IFERROR(__xludf.DUMMYFUNCTION("""COMPUTED_VALUE"""),172135.0)</f>
        <v>172135</v>
      </c>
    </row>
    <row r="513">
      <c r="A513" s="2">
        <f>IFERROR(__xludf.DUMMYFUNCTION("""COMPUTED_VALUE"""),41940.645833333336)</f>
        <v>41940.64583</v>
      </c>
      <c r="B513" s="1">
        <f>IFERROR(__xludf.DUMMYFUNCTION("""COMPUTED_VALUE"""),4865.0)</f>
        <v>4865</v>
      </c>
      <c r="C513" s="1">
        <f>IFERROR(__xludf.DUMMYFUNCTION("""COMPUTED_VALUE"""),4900.0)</f>
        <v>4900</v>
      </c>
      <c r="D513" s="1">
        <f>IFERROR(__xludf.DUMMYFUNCTION("""COMPUTED_VALUE"""),4670.0)</f>
        <v>4670</v>
      </c>
      <c r="E513" s="1">
        <f>IFERROR(__xludf.DUMMYFUNCTION("""COMPUTED_VALUE"""),4700.0)</f>
        <v>4700</v>
      </c>
      <c r="F513" s="1">
        <f>IFERROR(__xludf.DUMMYFUNCTION("""COMPUTED_VALUE"""),120086.0)</f>
        <v>120086</v>
      </c>
    </row>
    <row r="514">
      <c r="A514" s="2">
        <f>IFERROR(__xludf.DUMMYFUNCTION("""COMPUTED_VALUE"""),41941.645833333336)</f>
        <v>41941.64583</v>
      </c>
      <c r="B514" s="1">
        <f>IFERROR(__xludf.DUMMYFUNCTION("""COMPUTED_VALUE"""),4860.0)</f>
        <v>4860</v>
      </c>
      <c r="C514" s="1">
        <f>IFERROR(__xludf.DUMMYFUNCTION("""COMPUTED_VALUE"""),4860.0)</f>
        <v>4860</v>
      </c>
      <c r="D514" s="1">
        <f>IFERROR(__xludf.DUMMYFUNCTION("""COMPUTED_VALUE"""),4550.0)</f>
        <v>4550</v>
      </c>
      <c r="E514" s="1">
        <f>IFERROR(__xludf.DUMMYFUNCTION("""COMPUTED_VALUE"""),4590.0)</f>
        <v>4590</v>
      </c>
      <c r="F514" s="1">
        <f>IFERROR(__xludf.DUMMYFUNCTION("""COMPUTED_VALUE"""),95904.0)</f>
        <v>95904</v>
      </c>
    </row>
    <row r="515">
      <c r="A515" s="2">
        <f>IFERROR(__xludf.DUMMYFUNCTION("""COMPUTED_VALUE"""),41942.645833333336)</f>
        <v>41942.64583</v>
      </c>
      <c r="B515" s="1">
        <f>IFERROR(__xludf.DUMMYFUNCTION("""COMPUTED_VALUE"""),4630.0)</f>
        <v>4630</v>
      </c>
      <c r="C515" s="1">
        <f>IFERROR(__xludf.DUMMYFUNCTION("""COMPUTED_VALUE"""),4630.0)</f>
        <v>4630</v>
      </c>
      <c r="D515" s="1">
        <f>IFERROR(__xludf.DUMMYFUNCTION("""COMPUTED_VALUE"""),4390.0)</f>
        <v>4390</v>
      </c>
      <c r="E515" s="1">
        <f>IFERROR(__xludf.DUMMYFUNCTION("""COMPUTED_VALUE"""),4525.0)</f>
        <v>4525</v>
      </c>
      <c r="F515" s="1">
        <f>IFERROR(__xludf.DUMMYFUNCTION("""COMPUTED_VALUE"""),153454.0)</f>
        <v>153454</v>
      </c>
    </row>
    <row r="516">
      <c r="A516" s="2">
        <f>IFERROR(__xludf.DUMMYFUNCTION("""COMPUTED_VALUE"""),41943.645833333336)</f>
        <v>41943.64583</v>
      </c>
      <c r="B516" s="1">
        <f>IFERROR(__xludf.DUMMYFUNCTION("""COMPUTED_VALUE"""),4525.0)</f>
        <v>4525</v>
      </c>
      <c r="C516" s="1">
        <f>IFERROR(__xludf.DUMMYFUNCTION("""COMPUTED_VALUE"""),4630.0)</f>
        <v>4630</v>
      </c>
      <c r="D516" s="1">
        <f>IFERROR(__xludf.DUMMYFUNCTION("""COMPUTED_VALUE"""),4420.0)</f>
        <v>4420</v>
      </c>
      <c r="E516" s="1">
        <f>IFERROR(__xludf.DUMMYFUNCTION("""COMPUTED_VALUE"""),4630.0)</f>
        <v>4630</v>
      </c>
      <c r="F516" s="1">
        <f>IFERROR(__xludf.DUMMYFUNCTION("""COMPUTED_VALUE"""),61241.0)</f>
        <v>61241</v>
      </c>
    </row>
    <row r="517">
      <c r="A517" s="2">
        <f>IFERROR(__xludf.DUMMYFUNCTION("""COMPUTED_VALUE"""),41946.645833333336)</f>
        <v>41946.64583</v>
      </c>
      <c r="B517" s="1">
        <f>IFERROR(__xludf.DUMMYFUNCTION("""COMPUTED_VALUE"""),4600.0)</f>
        <v>4600</v>
      </c>
      <c r="C517" s="1">
        <f>IFERROR(__xludf.DUMMYFUNCTION("""COMPUTED_VALUE"""),4810.0)</f>
        <v>4810</v>
      </c>
      <c r="D517" s="1">
        <f>IFERROR(__xludf.DUMMYFUNCTION("""COMPUTED_VALUE"""),4505.0)</f>
        <v>4505</v>
      </c>
      <c r="E517" s="1">
        <f>IFERROR(__xludf.DUMMYFUNCTION("""COMPUTED_VALUE"""),4530.0)</f>
        <v>4530</v>
      </c>
      <c r="F517" s="1">
        <f>IFERROR(__xludf.DUMMYFUNCTION("""COMPUTED_VALUE"""),100572.0)</f>
        <v>100572</v>
      </c>
    </row>
    <row r="518">
      <c r="A518" s="2">
        <f>IFERROR(__xludf.DUMMYFUNCTION("""COMPUTED_VALUE"""),41947.645833333336)</f>
        <v>41947.64583</v>
      </c>
      <c r="B518" s="1">
        <f>IFERROR(__xludf.DUMMYFUNCTION("""COMPUTED_VALUE"""),4480.0)</f>
        <v>4480</v>
      </c>
      <c r="C518" s="1">
        <f>IFERROR(__xludf.DUMMYFUNCTION("""COMPUTED_VALUE"""),4580.0)</f>
        <v>4580</v>
      </c>
      <c r="D518" s="1">
        <f>IFERROR(__xludf.DUMMYFUNCTION("""COMPUTED_VALUE"""),4240.0)</f>
        <v>4240</v>
      </c>
      <c r="E518" s="1">
        <f>IFERROR(__xludf.DUMMYFUNCTION("""COMPUTED_VALUE"""),4240.0)</f>
        <v>4240</v>
      </c>
      <c r="F518" s="1">
        <f>IFERROR(__xludf.DUMMYFUNCTION("""COMPUTED_VALUE"""),88463.0)</f>
        <v>88463</v>
      </c>
    </row>
    <row r="519">
      <c r="A519" s="2">
        <f>IFERROR(__xludf.DUMMYFUNCTION("""COMPUTED_VALUE"""),41948.645833333336)</f>
        <v>41948.64583</v>
      </c>
      <c r="B519" s="1">
        <f>IFERROR(__xludf.DUMMYFUNCTION("""COMPUTED_VALUE"""),4315.0)</f>
        <v>4315</v>
      </c>
      <c r="C519" s="1">
        <f>IFERROR(__xludf.DUMMYFUNCTION("""COMPUTED_VALUE"""),4360.0)</f>
        <v>4360</v>
      </c>
      <c r="D519" s="1">
        <f>IFERROR(__xludf.DUMMYFUNCTION("""COMPUTED_VALUE"""),4190.0)</f>
        <v>4190</v>
      </c>
      <c r="E519" s="1">
        <f>IFERROR(__xludf.DUMMYFUNCTION("""COMPUTED_VALUE"""),4360.0)</f>
        <v>4360</v>
      </c>
      <c r="F519" s="1">
        <f>IFERROR(__xludf.DUMMYFUNCTION("""COMPUTED_VALUE"""),50885.0)</f>
        <v>50885</v>
      </c>
    </row>
    <row r="520">
      <c r="A520" s="2">
        <f>IFERROR(__xludf.DUMMYFUNCTION("""COMPUTED_VALUE"""),41949.645833333336)</f>
        <v>41949.64583</v>
      </c>
      <c r="B520" s="1">
        <f>IFERROR(__xludf.DUMMYFUNCTION("""COMPUTED_VALUE"""),4360.0)</f>
        <v>4360</v>
      </c>
      <c r="C520" s="1">
        <f>IFERROR(__xludf.DUMMYFUNCTION("""COMPUTED_VALUE"""),4540.0)</f>
        <v>4540</v>
      </c>
      <c r="D520" s="1">
        <f>IFERROR(__xludf.DUMMYFUNCTION("""COMPUTED_VALUE"""),4235.0)</f>
        <v>4235</v>
      </c>
      <c r="E520" s="1">
        <f>IFERROR(__xludf.DUMMYFUNCTION("""COMPUTED_VALUE"""),4415.0)</f>
        <v>4415</v>
      </c>
      <c r="F520" s="1">
        <f>IFERROR(__xludf.DUMMYFUNCTION("""COMPUTED_VALUE"""),62368.0)</f>
        <v>62368</v>
      </c>
    </row>
    <row r="521">
      <c r="A521" s="2">
        <f>IFERROR(__xludf.DUMMYFUNCTION("""COMPUTED_VALUE"""),41950.645833333336)</f>
        <v>41950.64583</v>
      </c>
      <c r="B521" s="1">
        <f>IFERROR(__xludf.DUMMYFUNCTION("""COMPUTED_VALUE"""),4415.0)</f>
        <v>4415</v>
      </c>
      <c r="C521" s="1">
        <f>IFERROR(__xludf.DUMMYFUNCTION("""COMPUTED_VALUE"""),4475.0)</f>
        <v>4475</v>
      </c>
      <c r="D521" s="1">
        <f>IFERROR(__xludf.DUMMYFUNCTION("""COMPUTED_VALUE"""),4335.0)</f>
        <v>4335</v>
      </c>
      <c r="E521" s="1">
        <f>IFERROR(__xludf.DUMMYFUNCTION("""COMPUTED_VALUE"""),4410.0)</f>
        <v>4410</v>
      </c>
      <c r="F521" s="1">
        <f>IFERROR(__xludf.DUMMYFUNCTION("""COMPUTED_VALUE"""),30253.0)</f>
        <v>30253</v>
      </c>
    </row>
    <row r="522">
      <c r="A522" s="2">
        <f>IFERROR(__xludf.DUMMYFUNCTION("""COMPUTED_VALUE"""),41953.64583333333)</f>
        <v>41953.64583</v>
      </c>
      <c r="B522" s="1">
        <f>IFERROR(__xludf.DUMMYFUNCTION("""COMPUTED_VALUE"""),4410.0)</f>
        <v>4410</v>
      </c>
      <c r="C522" s="1">
        <f>IFERROR(__xludf.DUMMYFUNCTION("""COMPUTED_VALUE"""),4600.0)</f>
        <v>4600</v>
      </c>
      <c r="D522" s="1">
        <f>IFERROR(__xludf.DUMMYFUNCTION("""COMPUTED_VALUE"""),4330.0)</f>
        <v>4330</v>
      </c>
      <c r="E522" s="1">
        <f>IFERROR(__xludf.DUMMYFUNCTION("""COMPUTED_VALUE"""),4420.0)</f>
        <v>4420</v>
      </c>
      <c r="F522" s="1">
        <f>IFERROR(__xludf.DUMMYFUNCTION("""COMPUTED_VALUE"""),43577.0)</f>
        <v>43577</v>
      </c>
    </row>
    <row r="523">
      <c r="A523" s="2">
        <f>IFERROR(__xludf.DUMMYFUNCTION("""COMPUTED_VALUE"""),41954.64583333333)</f>
        <v>41954.64583</v>
      </c>
      <c r="B523" s="1">
        <f>IFERROR(__xludf.DUMMYFUNCTION("""COMPUTED_VALUE"""),4425.0)</f>
        <v>4425</v>
      </c>
      <c r="C523" s="1">
        <f>IFERROR(__xludf.DUMMYFUNCTION("""COMPUTED_VALUE"""),4750.0)</f>
        <v>4750</v>
      </c>
      <c r="D523" s="1">
        <f>IFERROR(__xludf.DUMMYFUNCTION("""COMPUTED_VALUE"""),4425.0)</f>
        <v>4425</v>
      </c>
      <c r="E523" s="1">
        <f>IFERROR(__xludf.DUMMYFUNCTION("""COMPUTED_VALUE"""),4600.0)</f>
        <v>4600</v>
      </c>
      <c r="F523" s="1">
        <f>IFERROR(__xludf.DUMMYFUNCTION("""COMPUTED_VALUE"""),139658.0)</f>
        <v>139658</v>
      </c>
    </row>
    <row r="524">
      <c r="A524" s="2">
        <f>IFERROR(__xludf.DUMMYFUNCTION("""COMPUTED_VALUE"""),41955.64583333333)</f>
        <v>41955.64583</v>
      </c>
      <c r="B524" s="1">
        <f>IFERROR(__xludf.DUMMYFUNCTION("""COMPUTED_VALUE"""),4650.0)</f>
        <v>4650</v>
      </c>
      <c r="C524" s="1">
        <f>IFERROR(__xludf.DUMMYFUNCTION("""COMPUTED_VALUE"""),4650.0)</f>
        <v>4650</v>
      </c>
      <c r="D524" s="1">
        <f>IFERROR(__xludf.DUMMYFUNCTION("""COMPUTED_VALUE"""),4415.0)</f>
        <v>4415</v>
      </c>
      <c r="E524" s="1">
        <f>IFERROR(__xludf.DUMMYFUNCTION("""COMPUTED_VALUE"""),4570.0)</f>
        <v>4570</v>
      </c>
      <c r="F524" s="1">
        <f>IFERROR(__xludf.DUMMYFUNCTION("""COMPUTED_VALUE"""),100273.0)</f>
        <v>100273</v>
      </c>
    </row>
    <row r="525">
      <c r="A525" s="2">
        <f>IFERROR(__xludf.DUMMYFUNCTION("""COMPUTED_VALUE"""),41956.64583333333)</f>
        <v>41956.64583</v>
      </c>
      <c r="B525" s="1">
        <f>IFERROR(__xludf.DUMMYFUNCTION("""COMPUTED_VALUE"""),4570.0)</f>
        <v>4570</v>
      </c>
      <c r="C525" s="1">
        <f>IFERROR(__xludf.DUMMYFUNCTION("""COMPUTED_VALUE"""),4570.0)</f>
        <v>4570</v>
      </c>
      <c r="D525" s="1">
        <f>IFERROR(__xludf.DUMMYFUNCTION("""COMPUTED_VALUE"""),4440.0)</f>
        <v>4440</v>
      </c>
      <c r="E525" s="1">
        <f>IFERROR(__xludf.DUMMYFUNCTION("""COMPUTED_VALUE"""),4540.0)</f>
        <v>4540</v>
      </c>
      <c r="F525" s="1">
        <f>IFERROR(__xludf.DUMMYFUNCTION("""COMPUTED_VALUE"""),39082.0)</f>
        <v>39082</v>
      </c>
    </row>
    <row r="526">
      <c r="A526" s="2">
        <f>IFERROR(__xludf.DUMMYFUNCTION("""COMPUTED_VALUE"""),41957.64583333333)</f>
        <v>41957.64583</v>
      </c>
      <c r="B526" s="1">
        <f>IFERROR(__xludf.DUMMYFUNCTION("""COMPUTED_VALUE"""),4455.0)</f>
        <v>4455</v>
      </c>
      <c r="C526" s="1">
        <f>IFERROR(__xludf.DUMMYFUNCTION("""COMPUTED_VALUE"""),4595.0)</f>
        <v>4595</v>
      </c>
      <c r="D526" s="1">
        <f>IFERROR(__xludf.DUMMYFUNCTION("""COMPUTED_VALUE"""),4440.0)</f>
        <v>4440</v>
      </c>
      <c r="E526" s="1">
        <f>IFERROR(__xludf.DUMMYFUNCTION("""COMPUTED_VALUE"""),4580.0)</f>
        <v>4580</v>
      </c>
      <c r="F526" s="1">
        <f>IFERROR(__xludf.DUMMYFUNCTION("""COMPUTED_VALUE"""),41826.0)</f>
        <v>41826</v>
      </c>
    </row>
    <row r="527">
      <c r="A527" s="2">
        <f>IFERROR(__xludf.DUMMYFUNCTION("""COMPUTED_VALUE"""),41960.64583333333)</f>
        <v>41960.64583</v>
      </c>
      <c r="B527" s="1">
        <f>IFERROR(__xludf.DUMMYFUNCTION("""COMPUTED_VALUE"""),4600.0)</f>
        <v>4600</v>
      </c>
      <c r="C527" s="1">
        <f>IFERROR(__xludf.DUMMYFUNCTION("""COMPUTED_VALUE"""),4600.0)</f>
        <v>4600</v>
      </c>
      <c r="D527" s="1">
        <f>IFERROR(__xludf.DUMMYFUNCTION("""COMPUTED_VALUE"""),4390.0)</f>
        <v>4390</v>
      </c>
      <c r="E527" s="1">
        <f>IFERROR(__xludf.DUMMYFUNCTION("""COMPUTED_VALUE"""),4470.0)</f>
        <v>4470</v>
      </c>
      <c r="F527" s="1">
        <f>IFERROR(__xludf.DUMMYFUNCTION("""COMPUTED_VALUE"""),69693.0)</f>
        <v>69693</v>
      </c>
    </row>
    <row r="528">
      <c r="A528" s="2">
        <f>IFERROR(__xludf.DUMMYFUNCTION("""COMPUTED_VALUE"""),41961.64583333333)</f>
        <v>41961.64583</v>
      </c>
      <c r="B528" s="1">
        <f>IFERROR(__xludf.DUMMYFUNCTION("""COMPUTED_VALUE"""),4425.0)</f>
        <v>4425</v>
      </c>
      <c r="C528" s="1">
        <f>IFERROR(__xludf.DUMMYFUNCTION("""COMPUTED_VALUE"""),4595.0)</f>
        <v>4595</v>
      </c>
      <c r="D528" s="1">
        <f>IFERROR(__xludf.DUMMYFUNCTION("""COMPUTED_VALUE"""),4400.0)</f>
        <v>4400</v>
      </c>
      <c r="E528" s="1">
        <f>IFERROR(__xludf.DUMMYFUNCTION("""COMPUTED_VALUE"""),4500.0)</f>
        <v>4500</v>
      </c>
      <c r="F528" s="1">
        <f>IFERROR(__xludf.DUMMYFUNCTION("""COMPUTED_VALUE"""),57619.0)</f>
        <v>57619</v>
      </c>
    </row>
    <row r="529">
      <c r="A529" s="2">
        <f>IFERROR(__xludf.DUMMYFUNCTION("""COMPUTED_VALUE"""),41962.64583333333)</f>
        <v>41962.64583</v>
      </c>
      <c r="B529" s="1">
        <f>IFERROR(__xludf.DUMMYFUNCTION("""COMPUTED_VALUE"""),4470.0)</f>
        <v>4470</v>
      </c>
      <c r="C529" s="1">
        <f>IFERROR(__xludf.DUMMYFUNCTION("""COMPUTED_VALUE"""),4540.0)</f>
        <v>4540</v>
      </c>
      <c r="D529" s="1">
        <f>IFERROR(__xludf.DUMMYFUNCTION("""COMPUTED_VALUE"""),4330.0)</f>
        <v>4330</v>
      </c>
      <c r="E529" s="1">
        <f>IFERROR(__xludf.DUMMYFUNCTION("""COMPUTED_VALUE"""),4360.0)</f>
        <v>4360</v>
      </c>
      <c r="F529" s="1">
        <f>IFERROR(__xludf.DUMMYFUNCTION("""COMPUTED_VALUE"""),49024.0)</f>
        <v>49024</v>
      </c>
    </row>
    <row r="530">
      <c r="A530" s="2">
        <f>IFERROR(__xludf.DUMMYFUNCTION("""COMPUTED_VALUE"""),41963.64583333333)</f>
        <v>41963.64583</v>
      </c>
      <c r="B530" s="1">
        <f>IFERROR(__xludf.DUMMYFUNCTION("""COMPUTED_VALUE"""),4460.0)</f>
        <v>4460</v>
      </c>
      <c r="C530" s="1">
        <f>IFERROR(__xludf.DUMMYFUNCTION("""COMPUTED_VALUE"""),4500.0)</f>
        <v>4500</v>
      </c>
      <c r="D530" s="1">
        <f>IFERROR(__xludf.DUMMYFUNCTION("""COMPUTED_VALUE"""),4310.0)</f>
        <v>4310</v>
      </c>
      <c r="E530" s="1">
        <f>IFERROR(__xludf.DUMMYFUNCTION("""COMPUTED_VALUE"""),4360.0)</f>
        <v>4360</v>
      </c>
      <c r="F530" s="1">
        <f>IFERROR(__xludf.DUMMYFUNCTION("""COMPUTED_VALUE"""),54748.0)</f>
        <v>54748</v>
      </c>
    </row>
    <row r="531">
      <c r="A531" s="2">
        <f>IFERROR(__xludf.DUMMYFUNCTION("""COMPUTED_VALUE"""),41964.64583333333)</f>
        <v>41964.64583</v>
      </c>
      <c r="B531" s="1">
        <f>IFERROR(__xludf.DUMMYFUNCTION("""COMPUTED_VALUE"""),4470.0)</f>
        <v>4470</v>
      </c>
      <c r="C531" s="1">
        <f>IFERROR(__xludf.DUMMYFUNCTION("""COMPUTED_VALUE"""),4485.0)</f>
        <v>4485</v>
      </c>
      <c r="D531" s="1">
        <f>IFERROR(__xludf.DUMMYFUNCTION("""COMPUTED_VALUE"""),4330.0)</f>
        <v>4330</v>
      </c>
      <c r="E531" s="1">
        <f>IFERROR(__xludf.DUMMYFUNCTION("""COMPUTED_VALUE"""),4410.0)</f>
        <v>4410</v>
      </c>
      <c r="F531" s="1">
        <f>IFERROR(__xludf.DUMMYFUNCTION("""COMPUTED_VALUE"""),42365.0)</f>
        <v>42365</v>
      </c>
    </row>
    <row r="532">
      <c r="A532" s="2">
        <f>IFERROR(__xludf.DUMMYFUNCTION("""COMPUTED_VALUE"""),41967.64583333333)</f>
        <v>41967.64583</v>
      </c>
      <c r="B532" s="1">
        <f>IFERROR(__xludf.DUMMYFUNCTION("""COMPUTED_VALUE"""),4410.0)</f>
        <v>4410</v>
      </c>
      <c r="C532" s="1">
        <f>IFERROR(__xludf.DUMMYFUNCTION("""COMPUTED_VALUE"""),4900.0)</f>
        <v>4900</v>
      </c>
      <c r="D532" s="1">
        <f>IFERROR(__xludf.DUMMYFUNCTION("""COMPUTED_VALUE"""),4410.0)</f>
        <v>4410</v>
      </c>
      <c r="E532" s="1">
        <f>IFERROR(__xludf.DUMMYFUNCTION("""COMPUTED_VALUE"""),4810.0)</f>
        <v>4810</v>
      </c>
      <c r="F532" s="1">
        <f>IFERROR(__xludf.DUMMYFUNCTION("""COMPUTED_VALUE"""),99557.0)</f>
        <v>99557</v>
      </c>
    </row>
    <row r="533">
      <c r="A533" s="2">
        <f>IFERROR(__xludf.DUMMYFUNCTION("""COMPUTED_VALUE"""),41968.64583333333)</f>
        <v>41968.64583</v>
      </c>
      <c r="B533" s="1">
        <f>IFERROR(__xludf.DUMMYFUNCTION("""COMPUTED_VALUE"""),4805.0)</f>
        <v>4805</v>
      </c>
      <c r="C533" s="1">
        <f>IFERROR(__xludf.DUMMYFUNCTION("""COMPUTED_VALUE"""),4965.0)</f>
        <v>4965</v>
      </c>
      <c r="D533" s="1">
        <f>IFERROR(__xludf.DUMMYFUNCTION("""COMPUTED_VALUE"""),4550.0)</f>
        <v>4550</v>
      </c>
      <c r="E533" s="1">
        <f>IFERROR(__xludf.DUMMYFUNCTION("""COMPUTED_VALUE"""),4750.0)</f>
        <v>4750</v>
      </c>
      <c r="F533" s="1">
        <f>IFERROR(__xludf.DUMMYFUNCTION("""COMPUTED_VALUE"""),171134.0)</f>
        <v>171134</v>
      </c>
    </row>
    <row r="534">
      <c r="A534" s="2">
        <f>IFERROR(__xludf.DUMMYFUNCTION("""COMPUTED_VALUE"""),41969.64583333333)</f>
        <v>41969.64583</v>
      </c>
      <c r="B534" s="1">
        <f>IFERROR(__xludf.DUMMYFUNCTION("""COMPUTED_VALUE"""),4890.0)</f>
        <v>4890</v>
      </c>
      <c r="C534" s="1">
        <f>IFERROR(__xludf.DUMMYFUNCTION("""COMPUTED_VALUE"""),4920.0)</f>
        <v>4920</v>
      </c>
      <c r="D534" s="1">
        <f>IFERROR(__xludf.DUMMYFUNCTION("""COMPUTED_VALUE"""),4655.0)</f>
        <v>4655</v>
      </c>
      <c r="E534" s="1">
        <f>IFERROR(__xludf.DUMMYFUNCTION("""COMPUTED_VALUE"""),4860.0)</f>
        <v>4860</v>
      </c>
      <c r="F534" s="1">
        <f>IFERROR(__xludf.DUMMYFUNCTION("""COMPUTED_VALUE"""),98066.0)</f>
        <v>98066</v>
      </c>
    </row>
    <row r="535">
      <c r="A535" s="2">
        <f>IFERROR(__xludf.DUMMYFUNCTION("""COMPUTED_VALUE"""),41970.64583333333)</f>
        <v>41970.64583</v>
      </c>
      <c r="B535" s="1">
        <f>IFERROR(__xludf.DUMMYFUNCTION("""COMPUTED_VALUE"""),4895.0)</f>
        <v>4895</v>
      </c>
      <c r="C535" s="1">
        <f>IFERROR(__xludf.DUMMYFUNCTION("""COMPUTED_VALUE"""),5120.0)</f>
        <v>5120</v>
      </c>
      <c r="D535" s="1">
        <f>IFERROR(__xludf.DUMMYFUNCTION("""COMPUTED_VALUE"""),4860.0)</f>
        <v>4860</v>
      </c>
      <c r="E535" s="1">
        <f>IFERROR(__xludf.DUMMYFUNCTION("""COMPUTED_VALUE"""),5120.0)</f>
        <v>5120</v>
      </c>
      <c r="F535" s="1">
        <f>IFERROR(__xludf.DUMMYFUNCTION("""COMPUTED_VALUE"""),189082.0)</f>
        <v>189082</v>
      </c>
    </row>
    <row r="536">
      <c r="A536" s="2">
        <f>IFERROR(__xludf.DUMMYFUNCTION("""COMPUTED_VALUE"""),41971.64583333333)</f>
        <v>41971.64583</v>
      </c>
      <c r="B536" s="1">
        <f>IFERROR(__xludf.DUMMYFUNCTION("""COMPUTED_VALUE"""),5050.0)</f>
        <v>5050</v>
      </c>
      <c r="C536" s="1">
        <f>IFERROR(__xludf.DUMMYFUNCTION("""COMPUTED_VALUE"""),5200.0)</f>
        <v>5200</v>
      </c>
      <c r="D536" s="1">
        <f>IFERROR(__xludf.DUMMYFUNCTION("""COMPUTED_VALUE"""),4960.0)</f>
        <v>4960</v>
      </c>
      <c r="E536" s="1">
        <f>IFERROR(__xludf.DUMMYFUNCTION("""COMPUTED_VALUE"""),5080.0)</f>
        <v>5080</v>
      </c>
      <c r="F536" s="1">
        <f>IFERROR(__xludf.DUMMYFUNCTION("""COMPUTED_VALUE"""),97667.0)</f>
        <v>97667</v>
      </c>
    </row>
    <row r="537">
      <c r="A537" s="2">
        <f>IFERROR(__xludf.DUMMYFUNCTION("""COMPUTED_VALUE"""),41974.64583333333)</f>
        <v>41974.64583</v>
      </c>
      <c r="B537" s="1">
        <f>IFERROR(__xludf.DUMMYFUNCTION("""COMPUTED_VALUE"""),5040.0)</f>
        <v>5040</v>
      </c>
      <c r="C537" s="1">
        <f>IFERROR(__xludf.DUMMYFUNCTION("""COMPUTED_VALUE"""),5080.0)</f>
        <v>5080</v>
      </c>
      <c r="D537" s="1">
        <f>IFERROR(__xludf.DUMMYFUNCTION("""COMPUTED_VALUE"""),4700.0)</f>
        <v>4700</v>
      </c>
      <c r="E537" s="1">
        <f>IFERROR(__xludf.DUMMYFUNCTION("""COMPUTED_VALUE"""),4700.0)</f>
        <v>4700</v>
      </c>
      <c r="F537" s="1">
        <f>IFERROR(__xludf.DUMMYFUNCTION("""COMPUTED_VALUE"""),95366.0)</f>
        <v>95366</v>
      </c>
    </row>
    <row r="538">
      <c r="A538" s="2">
        <f>IFERROR(__xludf.DUMMYFUNCTION("""COMPUTED_VALUE"""),41975.64583333333)</f>
        <v>41975.64583</v>
      </c>
      <c r="B538" s="1">
        <f>IFERROR(__xludf.DUMMYFUNCTION("""COMPUTED_VALUE"""),4725.0)</f>
        <v>4725</v>
      </c>
      <c r="C538" s="1">
        <f>IFERROR(__xludf.DUMMYFUNCTION("""COMPUTED_VALUE"""),4785.0)</f>
        <v>4785</v>
      </c>
      <c r="D538" s="1">
        <f>IFERROR(__xludf.DUMMYFUNCTION("""COMPUTED_VALUE"""),4610.0)</f>
        <v>4610</v>
      </c>
      <c r="E538" s="1">
        <f>IFERROR(__xludf.DUMMYFUNCTION("""COMPUTED_VALUE"""),4785.0)</f>
        <v>4785</v>
      </c>
      <c r="F538" s="1">
        <f>IFERROR(__xludf.DUMMYFUNCTION("""COMPUTED_VALUE"""),43562.0)</f>
        <v>43562</v>
      </c>
    </row>
    <row r="539">
      <c r="A539" s="2">
        <f>IFERROR(__xludf.DUMMYFUNCTION("""COMPUTED_VALUE"""),41976.64583333333)</f>
        <v>41976.64583</v>
      </c>
      <c r="B539" s="1">
        <f>IFERROR(__xludf.DUMMYFUNCTION("""COMPUTED_VALUE"""),4785.0)</f>
        <v>4785</v>
      </c>
      <c r="C539" s="1">
        <f>IFERROR(__xludf.DUMMYFUNCTION("""COMPUTED_VALUE"""),4785.0)</f>
        <v>4785</v>
      </c>
      <c r="D539" s="1">
        <f>IFERROR(__xludf.DUMMYFUNCTION("""COMPUTED_VALUE"""),4605.0)</f>
        <v>4605</v>
      </c>
      <c r="E539" s="1">
        <f>IFERROR(__xludf.DUMMYFUNCTION("""COMPUTED_VALUE"""),4605.0)</f>
        <v>4605</v>
      </c>
      <c r="F539" s="1">
        <f>IFERROR(__xludf.DUMMYFUNCTION("""COMPUTED_VALUE"""),54203.0)</f>
        <v>54203</v>
      </c>
    </row>
    <row r="540">
      <c r="A540" s="2">
        <f>IFERROR(__xludf.DUMMYFUNCTION("""COMPUTED_VALUE"""),41977.64583333333)</f>
        <v>41977.64583</v>
      </c>
      <c r="B540" s="1">
        <f>IFERROR(__xludf.DUMMYFUNCTION("""COMPUTED_VALUE"""),4610.0)</f>
        <v>4610</v>
      </c>
      <c r="C540" s="1">
        <f>IFERROR(__xludf.DUMMYFUNCTION("""COMPUTED_VALUE"""),4710.0)</f>
        <v>4710</v>
      </c>
      <c r="D540" s="1">
        <f>IFERROR(__xludf.DUMMYFUNCTION("""COMPUTED_VALUE"""),4535.0)</f>
        <v>4535</v>
      </c>
      <c r="E540" s="1">
        <f>IFERROR(__xludf.DUMMYFUNCTION("""COMPUTED_VALUE"""),4690.0)</f>
        <v>4690</v>
      </c>
      <c r="F540" s="1">
        <f>IFERROR(__xludf.DUMMYFUNCTION("""COMPUTED_VALUE"""),32178.0)</f>
        <v>32178</v>
      </c>
    </row>
    <row r="541">
      <c r="A541" s="2">
        <f>IFERROR(__xludf.DUMMYFUNCTION("""COMPUTED_VALUE"""),41978.64583333333)</f>
        <v>41978.64583</v>
      </c>
      <c r="B541" s="1">
        <f>IFERROR(__xludf.DUMMYFUNCTION("""COMPUTED_VALUE"""),4690.0)</f>
        <v>4690</v>
      </c>
      <c r="C541" s="1">
        <f>IFERROR(__xludf.DUMMYFUNCTION("""COMPUTED_VALUE"""),4820.0)</f>
        <v>4820</v>
      </c>
      <c r="D541" s="1">
        <f>IFERROR(__xludf.DUMMYFUNCTION("""COMPUTED_VALUE"""),4605.0)</f>
        <v>4605</v>
      </c>
      <c r="E541" s="1">
        <f>IFERROR(__xludf.DUMMYFUNCTION("""COMPUTED_VALUE"""),4690.0)</f>
        <v>4690</v>
      </c>
      <c r="F541" s="1">
        <f>IFERROR(__xludf.DUMMYFUNCTION("""COMPUTED_VALUE"""),45186.0)</f>
        <v>45186</v>
      </c>
    </row>
    <row r="542">
      <c r="A542" s="2">
        <f>IFERROR(__xludf.DUMMYFUNCTION("""COMPUTED_VALUE"""),41981.64583333333)</f>
        <v>41981.64583</v>
      </c>
      <c r="B542" s="1">
        <f>IFERROR(__xludf.DUMMYFUNCTION("""COMPUTED_VALUE"""),4705.0)</f>
        <v>4705</v>
      </c>
      <c r="C542" s="1">
        <f>IFERROR(__xludf.DUMMYFUNCTION("""COMPUTED_VALUE"""),4800.0)</f>
        <v>4800</v>
      </c>
      <c r="D542" s="1">
        <f>IFERROR(__xludf.DUMMYFUNCTION("""COMPUTED_VALUE"""),4625.0)</f>
        <v>4625</v>
      </c>
      <c r="E542" s="1">
        <f>IFERROR(__xludf.DUMMYFUNCTION("""COMPUTED_VALUE"""),4660.0)</f>
        <v>4660</v>
      </c>
      <c r="F542" s="1">
        <f>IFERROR(__xludf.DUMMYFUNCTION("""COMPUTED_VALUE"""),37631.0)</f>
        <v>37631</v>
      </c>
    </row>
    <row r="543">
      <c r="A543" s="2">
        <f>IFERROR(__xludf.DUMMYFUNCTION("""COMPUTED_VALUE"""),41982.64583333333)</f>
        <v>41982.64583</v>
      </c>
      <c r="B543" s="1">
        <f>IFERROR(__xludf.DUMMYFUNCTION("""COMPUTED_VALUE"""),4665.0)</f>
        <v>4665</v>
      </c>
      <c r="C543" s="1">
        <f>IFERROR(__xludf.DUMMYFUNCTION("""COMPUTED_VALUE"""),4740.0)</f>
        <v>4740</v>
      </c>
      <c r="D543" s="1">
        <f>IFERROR(__xludf.DUMMYFUNCTION("""COMPUTED_VALUE"""),4595.0)</f>
        <v>4595</v>
      </c>
      <c r="E543" s="1">
        <f>IFERROR(__xludf.DUMMYFUNCTION("""COMPUTED_VALUE"""),4700.0)</f>
        <v>4700</v>
      </c>
      <c r="F543" s="1">
        <f>IFERROR(__xludf.DUMMYFUNCTION("""COMPUTED_VALUE"""),23800.0)</f>
        <v>23800</v>
      </c>
    </row>
    <row r="544">
      <c r="A544" s="2">
        <f>IFERROR(__xludf.DUMMYFUNCTION("""COMPUTED_VALUE"""),41983.64583333333)</f>
        <v>41983.64583</v>
      </c>
      <c r="B544" s="1">
        <f>IFERROR(__xludf.DUMMYFUNCTION("""COMPUTED_VALUE"""),4700.0)</f>
        <v>4700</v>
      </c>
      <c r="C544" s="1">
        <f>IFERROR(__xludf.DUMMYFUNCTION("""COMPUTED_VALUE"""),4800.0)</f>
        <v>4800</v>
      </c>
      <c r="D544" s="1">
        <f>IFERROR(__xludf.DUMMYFUNCTION("""COMPUTED_VALUE"""),4620.0)</f>
        <v>4620</v>
      </c>
      <c r="E544" s="1">
        <f>IFERROR(__xludf.DUMMYFUNCTION("""COMPUTED_VALUE"""),4800.0)</f>
        <v>4800</v>
      </c>
      <c r="F544" s="1">
        <f>IFERROR(__xludf.DUMMYFUNCTION("""COMPUTED_VALUE"""),37349.0)</f>
        <v>37349</v>
      </c>
    </row>
    <row r="545">
      <c r="A545" s="2">
        <f>IFERROR(__xludf.DUMMYFUNCTION("""COMPUTED_VALUE"""),41984.64583333333)</f>
        <v>41984.64583</v>
      </c>
      <c r="B545" s="1">
        <f>IFERROR(__xludf.DUMMYFUNCTION("""COMPUTED_VALUE"""),4795.0)</f>
        <v>4795</v>
      </c>
      <c r="C545" s="1">
        <f>IFERROR(__xludf.DUMMYFUNCTION("""COMPUTED_VALUE"""),4885.0)</f>
        <v>4885</v>
      </c>
      <c r="D545" s="1">
        <f>IFERROR(__xludf.DUMMYFUNCTION("""COMPUTED_VALUE"""),4670.0)</f>
        <v>4670</v>
      </c>
      <c r="E545" s="1">
        <f>IFERROR(__xludf.DUMMYFUNCTION("""COMPUTED_VALUE"""),4860.0)</f>
        <v>4860</v>
      </c>
      <c r="F545" s="1">
        <f>IFERROR(__xludf.DUMMYFUNCTION("""COMPUTED_VALUE"""),78474.0)</f>
        <v>78474</v>
      </c>
    </row>
    <row r="546">
      <c r="A546" s="2">
        <f>IFERROR(__xludf.DUMMYFUNCTION("""COMPUTED_VALUE"""),41985.64583333333)</f>
        <v>41985.64583</v>
      </c>
      <c r="B546" s="1">
        <f>IFERROR(__xludf.DUMMYFUNCTION("""COMPUTED_VALUE"""),4815.0)</f>
        <v>4815</v>
      </c>
      <c r="C546" s="1">
        <f>IFERROR(__xludf.DUMMYFUNCTION("""COMPUTED_VALUE"""),4950.0)</f>
        <v>4950</v>
      </c>
      <c r="D546" s="1">
        <f>IFERROR(__xludf.DUMMYFUNCTION("""COMPUTED_VALUE"""),4765.0)</f>
        <v>4765</v>
      </c>
      <c r="E546" s="1">
        <f>IFERROR(__xludf.DUMMYFUNCTION("""COMPUTED_VALUE"""),4795.0)</f>
        <v>4795</v>
      </c>
      <c r="F546" s="1">
        <f>IFERROR(__xludf.DUMMYFUNCTION("""COMPUTED_VALUE"""),47556.0)</f>
        <v>47556</v>
      </c>
    </row>
    <row r="547">
      <c r="A547" s="2">
        <f>IFERROR(__xludf.DUMMYFUNCTION("""COMPUTED_VALUE"""),41988.64583333333)</f>
        <v>41988.64583</v>
      </c>
      <c r="B547" s="1">
        <f>IFERROR(__xludf.DUMMYFUNCTION("""COMPUTED_VALUE"""),4710.0)</f>
        <v>4710</v>
      </c>
      <c r="C547" s="1">
        <f>IFERROR(__xludf.DUMMYFUNCTION("""COMPUTED_VALUE"""),4815.0)</f>
        <v>4815</v>
      </c>
      <c r="D547" s="1">
        <f>IFERROR(__xludf.DUMMYFUNCTION("""COMPUTED_VALUE"""),4665.0)</f>
        <v>4665</v>
      </c>
      <c r="E547" s="1">
        <f>IFERROR(__xludf.DUMMYFUNCTION("""COMPUTED_VALUE"""),4710.0)</f>
        <v>4710</v>
      </c>
      <c r="F547" s="1">
        <f>IFERROR(__xludf.DUMMYFUNCTION("""COMPUTED_VALUE"""),43440.0)</f>
        <v>43440</v>
      </c>
    </row>
    <row r="548">
      <c r="A548" s="2">
        <f>IFERROR(__xludf.DUMMYFUNCTION("""COMPUTED_VALUE"""),41989.64583333333)</f>
        <v>41989.64583</v>
      </c>
      <c r="B548" s="1">
        <f>IFERROR(__xludf.DUMMYFUNCTION("""COMPUTED_VALUE"""),4710.0)</f>
        <v>4710</v>
      </c>
      <c r="C548" s="1">
        <f>IFERROR(__xludf.DUMMYFUNCTION("""COMPUTED_VALUE"""),4725.0)</f>
        <v>4725</v>
      </c>
      <c r="D548" s="1">
        <f>IFERROR(__xludf.DUMMYFUNCTION("""COMPUTED_VALUE"""),4430.0)</f>
        <v>4430</v>
      </c>
      <c r="E548" s="1">
        <f>IFERROR(__xludf.DUMMYFUNCTION("""COMPUTED_VALUE"""),4470.0)</f>
        <v>4470</v>
      </c>
      <c r="F548" s="1">
        <f>IFERROR(__xludf.DUMMYFUNCTION("""COMPUTED_VALUE"""),84734.0)</f>
        <v>84734</v>
      </c>
    </row>
    <row r="549">
      <c r="A549" s="2">
        <f>IFERROR(__xludf.DUMMYFUNCTION("""COMPUTED_VALUE"""),41990.64583333333)</f>
        <v>41990.64583</v>
      </c>
      <c r="B549" s="1">
        <f>IFERROR(__xludf.DUMMYFUNCTION("""COMPUTED_VALUE"""),4475.0)</f>
        <v>4475</v>
      </c>
      <c r="C549" s="1">
        <f>IFERROR(__xludf.DUMMYFUNCTION("""COMPUTED_VALUE"""),4600.0)</f>
        <v>4600</v>
      </c>
      <c r="D549" s="1">
        <f>IFERROR(__xludf.DUMMYFUNCTION("""COMPUTED_VALUE"""),4355.0)</f>
        <v>4355</v>
      </c>
      <c r="E549" s="1">
        <f>IFERROR(__xludf.DUMMYFUNCTION("""COMPUTED_VALUE"""),4355.0)</f>
        <v>4355</v>
      </c>
      <c r="F549" s="1">
        <f>IFERROR(__xludf.DUMMYFUNCTION("""COMPUTED_VALUE"""),36541.0)</f>
        <v>36541</v>
      </c>
    </row>
    <row r="550">
      <c r="A550" s="2">
        <f>IFERROR(__xludf.DUMMYFUNCTION("""COMPUTED_VALUE"""),41991.64583333333)</f>
        <v>41991.64583</v>
      </c>
      <c r="B550" s="1">
        <f>IFERROR(__xludf.DUMMYFUNCTION("""COMPUTED_VALUE"""),4355.0)</f>
        <v>4355</v>
      </c>
      <c r="C550" s="1">
        <f>IFERROR(__xludf.DUMMYFUNCTION("""COMPUTED_VALUE"""),4470.0)</f>
        <v>4470</v>
      </c>
      <c r="D550" s="1">
        <f>IFERROR(__xludf.DUMMYFUNCTION("""COMPUTED_VALUE"""),4265.0)</f>
        <v>4265</v>
      </c>
      <c r="E550" s="1">
        <f>IFERROR(__xludf.DUMMYFUNCTION("""COMPUTED_VALUE"""),4310.0)</f>
        <v>4310</v>
      </c>
      <c r="F550" s="1">
        <f>IFERROR(__xludf.DUMMYFUNCTION("""COMPUTED_VALUE"""),59676.0)</f>
        <v>59676</v>
      </c>
    </row>
    <row r="551">
      <c r="A551" s="2">
        <f>IFERROR(__xludf.DUMMYFUNCTION("""COMPUTED_VALUE"""),41992.64583333333)</f>
        <v>41992.64583</v>
      </c>
      <c r="B551" s="1">
        <f>IFERROR(__xludf.DUMMYFUNCTION("""COMPUTED_VALUE"""),4250.0)</f>
        <v>4250</v>
      </c>
      <c r="C551" s="1">
        <f>IFERROR(__xludf.DUMMYFUNCTION("""COMPUTED_VALUE"""),4430.0)</f>
        <v>4430</v>
      </c>
      <c r="D551" s="1">
        <f>IFERROR(__xludf.DUMMYFUNCTION("""COMPUTED_VALUE"""),4250.0)</f>
        <v>4250</v>
      </c>
      <c r="E551" s="1">
        <f>IFERROR(__xludf.DUMMYFUNCTION("""COMPUTED_VALUE"""),4320.0)</f>
        <v>4320</v>
      </c>
      <c r="F551" s="1">
        <f>IFERROR(__xludf.DUMMYFUNCTION("""COMPUTED_VALUE"""),49578.0)</f>
        <v>49578</v>
      </c>
    </row>
    <row r="552">
      <c r="A552" s="2">
        <f>IFERROR(__xludf.DUMMYFUNCTION("""COMPUTED_VALUE"""),41995.64583333333)</f>
        <v>41995.64583</v>
      </c>
      <c r="B552" s="1">
        <f>IFERROR(__xludf.DUMMYFUNCTION("""COMPUTED_VALUE"""),4350.0)</f>
        <v>4350</v>
      </c>
      <c r="C552" s="1">
        <f>IFERROR(__xludf.DUMMYFUNCTION("""COMPUTED_VALUE"""),4470.0)</f>
        <v>4470</v>
      </c>
      <c r="D552" s="1">
        <f>IFERROR(__xludf.DUMMYFUNCTION("""COMPUTED_VALUE"""),4280.0)</f>
        <v>4280</v>
      </c>
      <c r="E552" s="1">
        <f>IFERROR(__xludf.DUMMYFUNCTION("""COMPUTED_VALUE"""),4415.0)</f>
        <v>4415</v>
      </c>
      <c r="F552" s="1">
        <f>IFERROR(__xludf.DUMMYFUNCTION("""COMPUTED_VALUE"""),28712.0)</f>
        <v>28712</v>
      </c>
    </row>
    <row r="553">
      <c r="A553" s="2">
        <f>IFERROR(__xludf.DUMMYFUNCTION("""COMPUTED_VALUE"""),41996.64583333333)</f>
        <v>41996.64583</v>
      </c>
      <c r="B553" s="1">
        <f>IFERROR(__xludf.DUMMYFUNCTION("""COMPUTED_VALUE"""),4500.0)</f>
        <v>4500</v>
      </c>
      <c r="C553" s="1">
        <f>IFERROR(__xludf.DUMMYFUNCTION("""COMPUTED_VALUE"""),5070.0)</f>
        <v>5070</v>
      </c>
      <c r="D553" s="1">
        <f>IFERROR(__xludf.DUMMYFUNCTION("""COMPUTED_VALUE"""),4500.0)</f>
        <v>4500</v>
      </c>
      <c r="E553" s="1">
        <f>IFERROR(__xludf.DUMMYFUNCTION("""COMPUTED_VALUE"""),4590.0)</f>
        <v>4590</v>
      </c>
      <c r="F553" s="1">
        <f>IFERROR(__xludf.DUMMYFUNCTION("""COMPUTED_VALUE"""),382556.0)</f>
        <v>382556</v>
      </c>
    </row>
    <row r="554">
      <c r="A554" s="2">
        <f>IFERROR(__xludf.DUMMYFUNCTION("""COMPUTED_VALUE"""),41997.64583333333)</f>
        <v>41997.64583</v>
      </c>
      <c r="B554" s="1">
        <f>IFERROR(__xludf.DUMMYFUNCTION("""COMPUTED_VALUE"""),4545.0)</f>
        <v>4545</v>
      </c>
      <c r="C554" s="1">
        <f>IFERROR(__xludf.DUMMYFUNCTION("""COMPUTED_VALUE"""),4680.0)</f>
        <v>4680</v>
      </c>
      <c r="D554" s="1">
        <f>IFERROR(__xludf.DUMMYFUNCTION("""COMPUTED_VALUE"""),4545.0)</f>
        <v>4545</v>
      </c>
      <c r="E554" s="1">
        <f>IFERROR(__xludf.DUMMYFUNCTION("""COMPUTED_VALUE"""),4565.0)</f>
        <v>4565</v>
      </c>
      <c r="F554" s="1">
        <f>IFERROR(__xludf.DUMMYFUNCTION("""COMPUTED_VALUE"""),47262.0)</f>
        <v>47262</v>
      </c>
    </row>
    <row r="555">
      <c r="A555" s="2">
        <f>IFERROR(__xludf.DUMMYFUNCTION("""COMPUTED_VALUE"""),41999.64583333333)</f>
        <v>41999.64583</v>
      </c>
      <c r="B555" s="1">
        <f>IFERROR(__xludf.DUMMYFUNCTION("""COMPUTED_VALUE"""),4600.0)</f>
        <v>4600</v>
      </c>
      <c r="C555" s="1">
        <f>IFERROR(__xludf.DUMMYFUNCTION("""COMPUTED_VALUE"""),4690.0)</f>
        <v>4690</v>
      </c>
      <c r="D555" s="1">
        <f>IFERROR(__xludf.DUMMYFUNCTION("""COMPUTED_VALUE"""),4435.0)</f>
        <v>4435</v>
      </c>
      <c r="E555" s="1">
        <f>IFERROR(__xludf.DUMMYFUNCTION("""COMPUTED_VALUE"""),4480.0)</f>
        <v>4480</v>
      </c>
      <c r="F555" s="1">
        <f>IFERROR(__xludf.DUMMYFUNCTION("""COMPUTED_VALUE"""),83959.0)</f>
        <v>83959</v>
      </c>
    </row>
    <row r="556">
      <c r="A556" s="2">
        <f>IFERROR(__xludf.DUMMYFUNCTION("""COMPUTED_VALUE"""),42002.64583333333)</f>
        <v>42002.64583</v>
      </c>
      <c r="B556" s="1">
        <f>IFERROR(__xludf.DUMMYFUNCTION("""COMPUTED_VALUE"""),4490.0)</f>
        <v>4490</v>
      </c>
      <c r="C556" s="1">
        <f>IFERROR(__xludf.DUMMYFUNCTION("""COMPUTED_VALUE"""),4650.0)</f>
        <v>4650</v>
      </c>
      <c r="D556" s="1">
        <f>IFERROR(__xludf.DUMMYFUNCTION("""COMPUTED_VALUE"""),4425.0)</f>
        <v>4425</v>
      </c>
      <c r="E556" s="1">
        <f>IFERROR(__xludf.DUMMYFUNCTION("""COMPUTED_VALUE"""),4440.0)</f>
        <v>4440</v>
      </c>
      <c r="F556" s="1">
        <f>IFERROR(__xludf.DUMMYFUNCTION("""COMPUTED_VALUE"""),29161.0)</f>
        <v>29161</v>
      </c>
    </row>
    <row r="557">
      <c r="A557" s="2">
        <f>IFERROR(__xludf.DUMMYFUNCTION("""COMPUTED_VALUE"""),42003.64583333333)</f>
        <v>42003.64583</v>
      </c>
      <c r="B557" s="1">
        <f>IFERROR(__xludf.DUMMYFUNCTION("""COMPUTED_VALUE"""),4440.0)</f>
        <v>4440</v>
      </c>
      <c r="C557" s="1">
        <f>IFERROR(__xludf.DUMMYFUNCTION("""COMPUTED_VALUE"""),4590.0)</f>
        <v>4590</v>
      </c>
      <c r="D557" s="1">
        <f>IFERROR(__xludf.DUMMYFUNCTION("""COMPUTED_VALUE"""),4420.0)</f>
        <v>4420</v>
      </c>
      <c r="E557" s="1">
        <f>IFERROR(__xludf.DUMMYFUNCTION("""COMPUTED_VALUE"""),4590.0)</f>
        <v>4590</v>
      </c>
      <c r="F557" s="1">
        <f>IFERROR(__xludf.DUMMYFUNCTION("""COMPUTED_VALUE"""),31281.0)</f>
        <v>31281</v>
      </c>
    </row>
    <row r="558">
      <c r="A558" s="2">
        <f>IFERROR(__xludf.DUMMYFUNCTION("""COMPUTED_VALUE"""),42006.64583333333)</f>
        <v>42006.64583</v>
      </c>
      <c r="B558" s="1">
        <f>IFERROR(__xludf.DUMMYFUNCTION("""COMPUTED_VALUE"""),4560.0)</f>
        <v>4560</v>
      </c>
      <c r="C558" s="1">
        <f>IFERROR(__xludf.DUMMYFUNCTION("""COMPUTED_VALUE"""),4710.0)</f>
        <v>4710</v>
      </c>
      <c r="D558" s="1">
        <f>IFERROR(__xludf.DUMMYFUNCTION("""COMPUTED_VALUE"""),4560.0)</f>
        <v>4560</v>
      </c>
      <c r="E558" s="1">
        <f>IFERROR(__xludf.DUMMYFUNCTION("""COMPUTED_VALUE"""),4640.0)</f>
        <v>4640</v>
      </c>
      <c r="F558" s="1">
        <f>IFERROR(__xludf.DUMMYFUNCTION("""COMPUTED_VALUE"""),70405.0)</f>
        <v>70405</v>
      </c>
    </row>
    <row r="559">
      <c r="A559" s="2">
        <f>IFERROR(__xludf.DUMMYFUNCTION("""COMPUTED_VALUE"""),42009.64583333333)</f>
        <v>42009.64583</v>
      </c>
      <c r="B559" s="1">
        <f>IFERROR(__xludf.DUMMYFUNCTION("""COMPUTED_VALUE"""),4730.0)</f>
        <v>4730</v>
      </c>
      <c r="C559" s="1">
        <f>IFERROR(__xludf.DUMMYFUNCTION("""COMPUTED_VALUE"""),4750.0)</f>
        <v>4750</v>
      </c>
      <c r="D559" s="1">
        <f>IFERROR(__xludf.DUMMYFUNCTION("""COMPUTED_VALUE"""),4570.0)</f>
        <v>4570</v>
      </c>
      <c r="E559" s="1">
        <f>IFERROR(__xludf.DUMMYFUNCTION("""COMPUTED_VALUE"""),4650.0)</f>
        <v>4650</v>
      </c>
      <c r="F559" s="1">
        <f>IFERROR(__xludf.DUMMYFUNCTION("""COMPUTED_VALUE"""),61633.0)</f>
        <v>61633</v>
      </c>
    </row>
    <row r="560">
      <c r="A560" s="2">
        <f>IFERROR(__xludf.DUMMYFUNCTION("""COMPUTED_VALUE"""),42010.64583333333)</f>
        <v>42010.64583</v>
      </c>
      <c r="B560" s="1">
        <f>IFERROR(__xludf.DUMMYFUNCTION("""COMPUTED_VALUE"""),4650.0)</f>
        <v>4650</v>
      </c>
      <c r="C560" s="1">
        <f>IFERROR(__xludf.DUMMYFUNCTION("""COMPUTED_VALUE"""),4740.0)</f>
        <v>4740</v>
      </c>
      <c r="D560" s="1">
        <f>IFERROR(__xludf.DUMMYFUNCTION("""COMPUTED_VALUE"""),4600.0)</f>
        <v>4600</v>
      </c>
      <c r="E560" s="1">
        <f>IFERROR(__xludf.DUMMYFUNCTION("""COMPUTED_VALUE"""),4610.0)</f>
        <v>4610</v>
      </c>
      <c r="F560" s="1">
        <f>IFERROR(__xludf.DUMMYFUNCTION("""COMPUTED_VALUE"""),52151.0)</f>
        <v>52151</v>
      </c>
    </row>
    <row r="561">
      <c r="A561" s="2">
        <f>IFERROR(__xludf.DUMMYFUNCTION("""COMPUTED_VALUE"""),42012.64583333333)</f>
        <v>42012.64583</v>
      </c>
      <c r="B561" s="1">
        <f>IFERROR(__xludf.DUMMYFUNCTION("""COMPUTED_VALUE"""),4630.0)</f>
        <v>4630</v>
      </c>
      <c r="C561" s="1">
        <f>IFERROR(__xludf.DUMMYFUNCTION("""COMPUTED_VALUE"""),4780.0)</f>
        <v>4780</v>
      </c>
      <c r="D561" s="1">
        <f>IFERROR(__xludf.DUMMYFUNCTION("""COMPUTED_VALUE"""),4615.0)</f>
        <v>4615</v>
      </c>
      <c r="E561" s="1">
        <f>IFERROR(__xludf.DUMMYFUNCTION("""COMPUTED_VALUE"""),4695.0)</f>
        <v>4695</v>
      </c>
      <c r="F561" s="1">
        <f>IFERROR(__xludf.DUMMYFUNCTION("""COMPUTED_VALUE"""),27658.0)</f>
        <v>27658</v>
      </c>
    </row>
    <row r="562">
      <c r="A562" s="2">
        <f>IFERROR(__xludf.DUMMYFUNCTION("""COMPUTED_VALUE"""),42013.64583333333)</f>
        <v>42013.64583</v>
      </c>
      <c r="B562" s="1">
        <f>IFERROR(__xludf.DUMMYFUNCTION("""COMPUTED_VALUE"""),4700.0)</f>
        <v>4700</v>
      </c>
      <c r="C562" s="1">
        <f>IFERROR(__xludf.DUMMYFUNCTION("""COMPUTED_VALUE"""),4795.0)</f>
        <v>4795</v>
      </c>
      <c r="D562" s="1">
        <f>IFERROR(__xludf.DUMMYFUNCTION("""COMPUTED_VALUE"""),4670.0)</f>
        <v>4670</v>
      </c>
      <c r="E562" s="1">
        <f>IFERROR(__xludf.DUMMYFUNCTION("""COMPUTED_VALUE"""),4670.0)</f>
        <v>4670</v>
      </c>
      <c r="F562" s="1">
        <f>IFERROR(__xludf.DUMMYFUNCTION("""COMPUTED_VALUE"""),48322.0)</f>
        <v>48322</v>
      </c>
    </row>
    <row r="563">
      <c r="A563" s="2">
        <f>IFERROR(__xludf.DUMMYFUNCTION("""COMPUTED_VALUE"""),42016.64583333333)</f>
        <v>42016.64583</v>
      </c>
      <c r="B563" s="1">
        <f>IFERROR(__xludf.DUMMYFUNCTION("""COMPUTED_VALUE"""),4650.0)</f>
        <v>4650</v>
      </c>
      <c r="C563" s="1">
        <f>IFERROR(__xludf.DUMMYFUNCTION("""COMPUTED_VALUE"""),4920.0)</f>
        <v>4920</v>
      </c>
      <c r="D563" s="1">
        <f>IFERROR(__xludf.DUMMYFUNCTION("""COMPUTED_VALUE"""),4650.0)</f>
        <v>4650</v>
      </c>
      <c r="E563" s="1">
        <f>IFERROR(__xludf.DUMMYFUNCTION("""COMPUTED_VALUE"""),4735.0)</f>
        <v>4735</v>
      </c>
      <c r="F563" s="1">
        <f>IFERROR(__xludf.DUMMYFUNCTION("""COMPUTED_VALUE"""),63746.0)</f>
        <v>63746</v>
      </c>
    </row>
    <row r="564">
      <c r="A564" s="2">
        <f>IFERROR(__xludf.DUMMYFUNCTION("""COMPUTED_VALUE"""),42017.64583333333)</f>
        <v>42017.64583</v>
      </c>
      <c r="B564" s="1">
        <f>IFERROR(__xludf.DUMMYFUNCTION("""COMPUTED_VALUE"""),4735.0)</f>
        <v>4735</v>
      </c>
      <c r="C564" s="1">
        <f>IFERROR(__xludf.DUMMYFUNCTION("""COMPUTED_VALUE"""),5000.0)</f>
        <v>5000</v>
      </c>
      <c r="D564" s="1">
        <f>IFERROR(__xludf.DUMMYFUNCTION("""COMPUTED_VALUE"""),4735.0)</f>
        <v>4735</v>
      </c>
      <c r="E564" s="1">
        <f>IFERROR(__xludf.DUMMYFUNCTION("""COMPUTED_VALUE"""),4860.0)</f>
        <v>4860</v>
      </c>
      <c r="F564" s="1">
        <f>IFERROR(__xludf.DUMMYFUNCTION("""COMPUTED_VALUE"""),307834.0)</f>
        <v>307834</v>
      </c>
    </row>
    <row r="565">
      <c r="A565" s="2">
        <f>IFERROR(__xludf.DUMMYFUNCTION("""COMPUTED_VALUE"""),42018.64583333333)</f>
        <v>42018.64583</v>
      </c>
      <c r="B565" s="1">
        <f>IFERROR(__xludf.DUMMYFUNCTION("""COMPUTED_VALUE"""),4950.0)</f>
        <v>4950</v>
      </c>
      <c r="C565" s="1">
        <f>IFERROR(__xludf.DUMMYFUNCTION("""COMPUTED_VALUE"""),5480.0)</f>
        <v>5480</v>
      </c>
      <c r="D565" s="1">
        <f>IFERROR(__xludf.DUMMYFUNCTION("""COMPUTED_VALUE"""),4875.0)</f>
        <v>4875</v>
      </c>
      <c r="E565" s="1">
        <f>IFERROR(__xludf.DUMMYFUNCTION("""COMPUTED_VALUE"""),5250.0)</f>
        <v>5250</v>
      </c>
      <c r="F565" s="1">
        <f>IFERROR(__xludf.DUMMYFUNCTION("""COMPUTED_VALUE"""),629892.0)</f>
        <v>629892</v>
      </c>
    </row>
    <row r="566">
      <c r="A566" s="2">
        <f>IFERROR(__xludf.DUMMYFUNCTION("""COMPUTED_VALUE"""),42019.64583333333)</f>
        <v>42019.64583</v>
      </c>
      <c r="B566" s="1">
        <f>IFERROR(__xludf.DUMMYFUNCTION("""COMPUTED_VALUE"""),5400.0)</f>
        <v>5400</v>
      </c>
      <c r="C566" s="1">
        <f>IFERROR(__xludf.DUMMYFUNCTION("""COMPUTED_VALUE"""),5530.0)</f>
        <v>5530</v>
      </c>
      <c r="D566" s="1">
        <f>IFERROR(__xludf.DUMMYFUNCTION("""COMPUTED_VALUE"""),5180.0)</f>
        <v>5180</v>
      </c>
      <c r="E566" s="1">
        <f>IFERROR(__xludf.DUMMYFUNCTION("""COMPUTED_VALUE"""),5250.0)</f>
        <v>5250</v>
      </c>
      <c r="F566" s="1">
        <f>IFERROR(__xludf.DUMMYFUNCTION("""COMPUTED_VALUE"""),202521.0)</f>
        <v>202521</v>
      </c>
    </row>
    <row r="567">
      <c r="A567" s="2">
        <f>IFERROR(__xludf.DUMMYFUNCTION("""COMPUTED_VALUE"""),42020.64583333333)</f>
        <v>42020.64583</v>
      </c>
      <c r="B567" s="1">
        <f>IFERROR(__xludf.DUMMYFUNCTION("""COMPUTED_VALUE"""),5300.0)</f>
        <v>5300</v>
      </c>
      <c r="C567" s="1">
        <f>IFERROR(__xludf.DUMMYFUNCTION("""COMPUTED_VALUE"""),5500.0)</f>
        <v>5500</v>
      </c>
      <c r="D567" s="1">
        <f>IFERROR(__xludf.DUMMYFUNCTION("""COMPUTED_VALUE"""),5080.0)</f>
        <v>5080</v>
      </c>
      <c r="E567" s="1">
        <f>IFERROR(__xludf.DUMMYFUNCTION("""COMPUTED_VALUE"""),5480.0)</f>
        <v>5480</v>
      </c>
      <c r="F567" s="1">
        <f>IFERROR(__xludf.DUMMYFUNCTION("""COMPUTED_VALUE"""),232861.0)</f>
        <v>232861</v>
      </c>
    </row>
    <row r="568">
      <c r="A568" s="2">
        <f>IFERROR(__xludf.DUMMYFUNCTION("""COMPUTED_VALUE"""),42023.64583333333)</f>
        <v>42023.64583</v>
      </c>
      <c r="B568" s="1">
        <f>IFERROR(__xludf.DUMMYFUNCTION("""COMPUTED_VALUE"""),5570.0)</f>
        <v>5570</v>
      </c>
      <c r="C568" s="1">
        <f>IFERROR(__xludf.DUMMYFUNCTION("""COMPUTED_VALUE"""),5720.0)</f>
        <v>5720</v>
      </c>
      <c r="D568" s="1">
        <f>IFERROR(__xludf.DUMMYFUNCTION("""COMPUTED_VALUE"""),5380.0)</f>
        <v>5380</v>
      </c>
      <c r="E568" s="1">
        <f>IFERROR(__xludf.DUMMYFUNCTION("""COMPUTED_VALUE"""),5390.0)</f>
        <v>5390</v>
      </c>
      <c r="F568" s="1">
        <f>IFERROR(__xludf.DUMMYFUNCTION("""COMPUTED_VALUE"""),161095.0)</f>
        <v>161095</v>
      </c>
    </row>
    <row r="569">
      <c r="A569" s="2">
        <f>IFERROR(__xludf.DUMMYFUNCTION("""COMPUTED_VALUE"""),42024.64583333333)</f>
        <v>42024.64583</v>
      </c>
      <c r="B569" s="1">
        <f>IFERROR(__xludf.DUMMYFUNCTION("""COMPUTED_VALUE"""),5390.0)</f>
        <v>5390</v>
      </c>
      <c r="C569" s="1">
        <f>IFERROR(__xludf.DUMMYFUNCTION("""COMPUTED_VALUE"""),5490.0)</f>
        <v>5490</v>
      </c>
      <c r="D569" s="1">
        <f>IFERROR(__xludf.DUMMYFUNCTION("""COMPUTED_VALUE"""),5250.0)</f>
        <v>5250</v>
      </c>
      <c r="E569" s="1">
        <f>IFERROR(__xludf.DUMMYFUNCTION("""COMPUTED_VALUE"""),5300.0)</f>
        <v>5300</v>
      </c>
      <c r="F569" s="1">
        <f>IFERROR(__xludf.DUMMYFUNCTION("""COMPUTED_VALUE"""),97727.0)</f>
        <v>97727</v>
      </c>
    </row>
    <row r="570">
      <c r="A570" s="2">
        <f>IFERROR(__xludf.DUMMYFUNCTION("""COMPUTED_VALUE"""),42025.64583333333)</f>
        <v>42025.64583</v>
      </c>
      <c r="B570" s="1">
        <f>IFERROR(__xludf.DUMMYFUNCTION("""COMPUTED_VALUE"""),5300.0)</f>
        <v>5300</v>
      </c>
      <c r="C570" s="1">
        <f>IFERROR(__xludf.DUMMYFUNCTION("""COMPUTED_VALUE"""),5480.0)</f>
        <v>5480</v>
      </c>
      <c r="D570" s="1">
        <f>IFERROR(__xludf.DUMMYFUNCTION("""COMPUTED_VALUE"""),5250.0)</f>
        <v>5250</v>
      </c>
      <c r="E570" s="1">
        <f>IFERROR(__xludf.DUMMYFUNCTION("""COMPUTED_VALUE"""),5390.0)</f>
        <v>5390</v>
      </c>
      <c r="F570" s="1">
        <f>IFERROR(__xludf.DUMMYFUNCTION("""COMPUTED_VALUE"""),57398.0)</f>
        <v>57398</v>
      </c>
    </row>
    <row r="571">
      <c r="A571" s="2">
        <f>IFERROR(__xludf.DUMMYFUNCTION("""COMPUTED_VALUE"""),42026.64583333333)</f>
        <v>42026.64583</v>
      </c>
      <c r="B571" s="1">
        <f>IFERROR(__xludf.DUMMYFUNCTION("""COMPUTED_VALUE"""),5390.0)</f>
        <v>5390</v>
      </c>
      <c r="C571" s="1">
        <f>IFERROR(__xludf.DUMMYFUNCTION("""COMPUTED_VALUE"""),5590.0)</f>
        <v>5590</v>
      </c>
      <c r="D571" s="1">
        <f>IFERROR(__xludf.DUMMYFUNCTION("""COMPUTED_VALUE"""),5340.0)</f>
        <v>5340</v>
      </c>
      <c r="E571" s="1">
        <f>IFERROR(__xludf.DUMMYFUNCTION("""COMPUTED_VALUE"""),5450.0)</f>
        <v>5450</v>
      </c>
      <c r="F571" s="1">
        <f>IFERROR(__xludf.DUMMYFUNCTION("""COMPUTED_VALUE"""),184546.0)</f>
        <v>184546</v>
      </c>
    </row>
    <row r="572">
      <c r="A572" s="2">
        <f>IFERROR(__xludf.DUMMYFUNCTION("""COMPUTED_VALUE"""),42027.64583333333)</f>
        <v>42027.64583</v>
      </c>
      <c r="B572" s="1">
        <f>IFERROR(__xludf.DUMMYFUNCTION("""COMPUTED_VALUE"""),5470.0)</f>
        <v>5470</v>
      </c>
      <c r="C572" s="1">
        <f>IFERROR(__xludf.DUMMYFUNCTION("""COMPUTED_VALUE"""),5500.0)</f>
        <v>5500</v>
      </c>
      <c r="D572" s="1">
        <f>IFERROR(__xludf.DUMMYFUNCTION("""COMPUTED_VALUE"""),5390.0)</f>
        <v>5390</v>
      </c>
      <c r="E572" s="1">
        <f>IFERROR(__xludf.DUMMYFUNCTION("""COMPUTED_VALUE"""),5450.0)</f>
        <v>5450</v>
      </c>
      <c r="F572" s="1">
        <f>IFERROR(__xludf.DUMMYFUNCTION("""COMPUTED_VALUE"""),77453.0)</f>
        <v>77453</v>
      </c>
    </row>
    <row r="573">
      <c r="A573" s="2">
        <f>IFERROR(__xludf.DUMMYFUNCTION("""COMPUTED_VALUE"""),42030.64583333333)</f>
        <v>42030.64583</v>
      </c>
      <c r="B573" s="1">
        <f>IFERROR(__xludf.DUMMYFUNCTION("""COMPUTED_VALUE"""),5460.0)</f>
        <v>5460</v>
      </c>
      <c r="C573" s="1">
        <f>IFERROR(__xludf.DUMMYFUNCTION("""COMPUTED_VALUE"""),5660.0)</f>
        <v>5660</v>
      </c>
      <c r="D573" s="1">
        <f>IFERROR(__xludf.DUMMYFUNCTION("""COMPUTED_VALUE"""),5410.0)</f>
        <v>5410</v>
      </c>
      <c r="E573" s="1">
        <f>IFERROR(__xludf.DUMMYFUNCTION("""COMPUTED_VALUE"""),5640.0)</f>
        <v>5640</v>
      </c>
      <c r="F573" s="1">
        <f>IFERROR(__xludf.DUMMYFUNCTION("""COMPUTED_VALUE"""),181009.0)</f>
        <v>181009</v>
      </c>
    </row>
    <row r="574">
      <c r="A574" s="2">
        <f>IFERROR(__xludf.DUMMYFUNCTION("""COMPUTED_VALUE"""),42031.64583333333)</f>
        <v>42031.64583</v>
      </c>
      <c r="B574" s="1">
        <f>IFERROR(__xludf.DUMMYFUNCTION("""COMPUTED_VALUE"""),5660.0)</f>
        <v>5660</v>
      </c>
      <c r="C574" s="1">
        <f>IFERROR(__xludf.DUMMYFUNCTION("""COMPUTED_VALUE"""),5730.0)</f>
        <v>5730</v>
      </c>
      <c r="D574" s="1">
        <f>IFERROR(__xludf.DUMMYFUNCTION("""COMPUTED_VALUE"""),5500.0)</f>
        <v>5500</v>
      </c>
      <c r="E574" s="1">
        <f>IFERROR(__xludf.DUMMYFUNCTION("""COMPUTED_VALUE"""),5520.0)</f>
        <v>5520</v>
      </c>
      <c r="F574" s="1">
        <f>IFERROR(__xludf.DUMMYFUNCTION("""COMPUTED_VALUE"""),143464.0)</f>
        <v>143464</v>
      </c>
    </row>
    <row r="575">
      <c r="A575" s="2">
        <f>IFERROR(__xludf.DUMMYFUNCTION("""COMPUTED_VALUE"""),42032.64583333333)</f>
        <v>42032.64583</v>
      </c>
      <c r="B575" s="1">
        <f>IFERROR(__xludf.DUMMYFUNCTION("""COMPUTED_VALUE"""),5490.0)</f>
        <v>5490</v>
      </c>
      <c r="C575" s="1">
        <f>IFERROR(__xludf.DUMMYFUNCTION("""COMPUTED_VALUE"""),5490.0)</f>
        <v>5490</v>
      </c>
      <c r="D575" s="1">
        <f>IFERROR(__xludf.DUMMYFUNCTION("""COMPUTED_VALUE"""),5220.0)</f>
        <v>5220</v>
      </c>
      <c r="E575" s="1">
        <f>IFERROR(__xludf.DUMMYFUNCTION("""COMPUTED_VALUE"""),5450.0)</f>
        <v>5450</v>
      </c>
      <c r="F575" s="1">
        <f>IFERROR(__xludf.DUMMYFUNCTION("""COMPUTED_VALUE"""),170219.0)</f>
        <v>170219</v>
      </c>
    </row>
    <row r="576">
      <c r="A576" s="2">
        <f>IFERROR(__xludf.DUMMYFUNCTION("""COMPUTED_VALUE"""),42033.64583333333)</f>
        <v>42033.64583</v>
      </c>
      <c r="B576" s="1">
        <f>IFERROR(__xludf.DUMMYFUNCTION("""COMPUTED_VALUE"""),5480.0)</f>
        <v>5480</v>
      </c>
      <c r="C576" s="1">
        <f>IFERROR(__xludf.DUMMYFUNCTION("""COMPUTED_VALUE"""),5590.0)</f>
        <v>5590</v>
      </c>
      <c r="D576" s="1">
        <f>IFERROR(__xludf.DUMMYFUNCTION("""COMPUTED_VALUE"""),5350.0)</f>
        <v>5350</v>
      </c>
      <c r="E576" s="1">
        <f>IFERROR(__xludf.DUMMYFUNCTION("""COMPUTED_VALUE"""),5410.0)</f>
        <v>5410</v>
      </c>
      <c r="F576" s="1">
        <f>IFERROR(__xludf.DUMMYFUNCTION("""COMPUTED_VALUE"""),97698.0)</f>
        <v>97698</v>
      </c>
    </row>
    <row r="577">
      <c r="A577" s="2">
        <f>IFERROR(__xludf.DUMMYFUNCTION("""COMPUTED_VALUE"""),42034.64583333333)</f>
        <v>42034.64583</v>
      </c>
      <c r="B577" s="1">
        <f>IFERROR(__xludf.DUMMYFUNCTION("""COMPUTED_VALUE"""),5410.0)</f>
        <v>5410</v>
      </c>
      <c r="C577" s="1">
        <f>IFERROR(__xludf.DUMMYFUNCTION("""COMPUTED_VALUE"""),5450.0)</f>
        <v>5450</v>
      </c>
      <c r="D577" s="1">
        <f>IFERROR(__xludf.DUMMYFUNCTION("""COMPUTED_VALUE"""),5270.0)</f>
        <v>5270</v>
      </c>
      <c r="E577" s="1">
        <f>IFERROR(__xludf.DUMMYFUNCTION("""COMPUTED_VALUE"""),5410.0)</f>
        <v>5410</v>
      </c>
      <c r="F577" s="1">
        <f>IFERROR(__xludf.DUMMYFUNCTION("""COMPUTED_VALUE"""),73947.0)</f>
        <v>73947</v>
      </c>
    </row>
    <row r="578">
      <c r="A578" s="2">
        <f>IFERROR(__xludf.DUMMYFUNCTION("""COMPUTED_VALUE"""),42037.64583333333)</f>
        <v>42037.64583</v>
      </c>
      <c r="B578" s="1">
        <f>IFERROR(__xludf.DUMMYFUNCTION("""COMPUTED_VALUE"""),5410.0)</f>
        <v>5410</v>
      </c>
      <c r="C578" s="1">
        <f>IFERROR(__xludf.DUMMYFUNCTION("""COMPUTED_VALUE"""),5650.0)</f>
        <v>5650</v>
      </c>
      <c r="D578" s="1">
        <f>IFERROR(__xludf.DUMMYFUNCTION("""COMPUTED_VALUE"""),5410.0)</f>
        <v>5410</v>
      </c>
      <c r="E578" s="1">
        <f>IFERROR(__xludf.DUMMYFUNCTION("""COMPUTED_VALUE"""),5650.0)</f>
        <v>5650</v>
      </c>
      <c r="F578" s="1">
        <f>IFERROR(__xludf.DUMMYFUNCTION("""COMPUTED_VALUE"""),159475.0)</f>
        <v>159475</v>
      </c>
    </row>
    <row r="579">
      <c r="A579" s="2">
        <f>IFERROR(__xludf.DUMMYFUNCTION("""COMPUTED_VALUE"""),42038.64583333333)</f>
        <v>42038.64583</v>
      </c>
      <c r="B579" s="1">
        <f>IFERROR(__xludf.DUMMYFUNCTION("""COMPUTED_VALUE"""),5650.0)</f>
        <v>5650</v>
      </c>
      <c r="C579" s="1">
        <f>IFERROR(__xludf.DUMMYFUNCTION("""COMPUTED_VALUE"""),5720.0)</f>
        <v>5720</v>
      </c>
      <c r="D579" s="1">
        <f>IFERROR(__xludf.DUMMYFUNCTION("""COMPUTED_VALUE"""),5430.0)</f>
        <v>5430</v>
      </c>
      <c r="E579" s="1">
        <f>IFERROR(__xludf.DUMMYFUNCTION("""COMPUTED_VALUE"""),5570.0)</f>
        <v>5570</v>
      </c>
      <c r="F579" s="1">
        <f>IFERROR(__xludf.DUMMYFUNCTION("""COMPUTED_VALUE"""),98961.0)</f>
        <v>98961</v>
      </c>
    </row>
    <row r="580">
      <c r="A580" s="2">
        <f>IFERROR(__xludf.DUMMYFUNCTION("""COMPUTED_VALUE"""),42039.64583333333)</f>
        <v>42039.64583</v>
      </c>
      <c r="B580" s="1">
        <f>IFERROR(__xludf.DUMMYFUNCTION("""COMPUTED_VALUE"""),5570.0)</f>
        <v>5570</v>
      </c>
      <c r="C580" s="1">
        <f>IFERROR(__xludf.DUMMYFUNCTION("""COMPUTED_VALUE"""),5630.0)</f>
        <v>5630</v>
      </c>
      <c r="D580" s="1">
        <f>IFERROR(__xludf.DUMMYFUNCTION("""COMPUTED_VALUE"""),5430.0)</f>
        <v>5430</v>
      </c>
      <c r="E580" s="1">
        <f>IFERROR(__xludf.DUMMYFUNCTION("""COMPUTED_VALUE"""),5520.0)</f>
        <v>5520</v>
      </c>
      <c r="F580" s="1">
        <f>IFERROR(__xludf.DUMMYFUNCTION("""COMPUTED_VALUE"""),47658.0)</f>
        <v>47658</v>
      </c>
    </row>
    <row r="581">
      <c r="A581" s="2">
        <f>IFERROR(__xludf.DUMMYFUNCTION("""COMPUTED_VALUE"""),42040.64583333333)</f>
        <v>42040.64583</v>
      </c>
      <c r="B581" s="1">
        <f>IFERROR(__xludf.DUMMYFUNCTION("""COMPUTED_VALUE"""),5520.0)</f>
        <v>5520</v>
      </c>
      <c r="C581" s="1">
        <f>IFERROR(__xludf.DUMMYFUNCTION("""COMPUTED_VALUE"""),5800.0)</f>
        <v>5800</v>
      </c>
      <c r="D581" s="1">
        <f>IFERROR(__xludf.DUMMYFUNCTION("""COMPUTED_VALUE"""),5470.0)</f>
        <v>5470</v>
      </c>
      <c r="E581" s="1">
        <f>IFERROR(__xludf.DUMMYFUNCTION("""COMPUTED_VALUE"""),5690.0)</f>
        <v>5690</v>
      </c>
      <c r="F581" s="1">
        <f>IFERROR(__xludf.DUMMYFUNCTION("""COMPUTED_VALUE"""),191994.0)</f>
        <v>191994</v>
      </c>
    </row>
    <row r="582">
      <c r="A582" s="2">
        <f>IFERROR(__xludf.DUMMYFUNCTION("""COMPUTED_VALUE"""),42041.64583333333)</f>
        <v>42041.64583</v>
      </c>
      <c r="B582" s="1">
        <f>IFERROR(__xludf.DUMMYFUNCTION("""COMPUTED_VALUE"""),5710.0)</f>
        <v>5710</v>
      </c>
      <c r="C582" s="1">
        <f>IFERROR(__xludf.DUMMYFUNCTION("""COMPUTED_VALUE"""),6020.0)</f>
        <v>6020</v>
      </c>
      <c r="D582" s="1">
        <f>IFERROR(__xludf.DUMMYFUNCTION("""COMPUTED_VALUE"""),5710.0)</f>
        <v>5710</v>
      </c>
      <c r="E582" s="1">
        <f>IFERROR(__xludf.DUMMYFUNCTION("""COMPUTED_VALUE"""),6000.0)</f>
        <v>6000</v>
      </c>
      <c r="F582" s="1">
        <f>IFERROR(__xludf.DUMMYFUNCTION("""COMPUTED_VALUE"""),363508.0)</f>
        <v>363508</v>
      </c>
    </row>
    <row r="583">
      <c r="A583" s="2">
        <f>IFERROR(__xludf.DUMMYFUNCTION("""COMPUTED_VALUE"""),42044.64583333333)</f>
        <v>42044.64583</v>
      </c>
      <c r="B583" s="1">
        <f>IFERROR(__xludf.DUMMYFUNCTION("""COMPUTED_VALUE"""),6020.0)</f>
        <v>6020</v>
      </c>
      <c r="C583" s="1">
        <f>IFERROR(__xludf.DUMMYFUNCTION("""COMPUTED_VALUE"""),6080.0)</f>
        <v>6080</v>
      </c>
      <c r="D583" s="1">
        <f>IFERROR(__xludf.DUMMYFUNCTION("""COMPUTED_VALUE"""),5800.0)</f>
        <v>5800</v>
      </c>
      <c r="E583" s="1">
        <f>IFERROR(__xludf.DUMMYFUNCTION("""COMPUTED_VALUE"""),5900.0)</f>
        <v>5900</v>
      </c>
      <c r="F583" s="1">
        <f>IFERROR(__xludf.DUMMYFUNCTION("""COMPUTED_VALUE"""),126566.0)</f>
        <v>126566</v>
      </c>
    </row>
    <row r="584">
      <c r="A584" s="2">
        <f>IFERROR(__xludf.DUMMYFUNCTION("""COMPUTED_VALUE"""),42045.64583333333)</f>
        <v>42045.64583</v>
      </c>
      <c r="B584" s="1">
        <f>IFERROR(__xludf.DUMMYFUNCTION("""COMPUTED_VALUE"""),5900.0)</f>
        <v>5900</v>
      </c>
      <c r="C584" s="1">
        <f>IFERROR(__xludf.DUMMYFUNCTION("""COMPUTED_VALUE"""),6060.0)</f>
        <v>6060</v>
      </c>
      <c r="D584" s="1">
        <f>IFERROR(__xludf.DUMMYFUNCTION("""COMPUTED_VALUE"""),5780.0)</f>
        <v>5780</v>
      </c>
      <c r="E584" s="1">
        <f>IFERROR(__xludf.DUMMYFUNCTION("""COMPUTED_VALUE"""),5950.0)</f>
        <v>5950</v>
      </c>
      <c r="F584" s="1">
        <f>IFERROR(__xludf.DUMMYFUNCTION("""COMPUTED_VALUE"""),136575.0)</f>
        <v>136575</v>
      </c>
    </row>
    <row r="585">
      <c r="A585" s="2">
        <f>IFERROR(__xludf.DUMMYFUNCTION("""COMPUTED_VALUE"""),42046.64583333333)</f>
        <v>42046.64583</v>
      </c>
      <c r="B585" s="1">
        <f>IFERROR(__xludf.DUMMYFUNCTION("""COMPUTED_VALUE"""),5970.0)</f>
        <v>5970</v>
      </c>
      <c r="C585" s="1">
        <f>IFERROR(__xludf.DUMMYFUNCTION("""COMPUTED_VALUE"""),6190.0)</f>
        <v>6190</v>
      </c>
      <c r="D585" s="1">
        <f>IFERROR(__xludf.DUMMYFUNCTION("""COMPUTED_VALUE"""),5560.0)</f>
        <v>5560</v>
      </c>
      <c r="E585" s="1">
        <f>IFERROR(__xludf.DUMMYFUNCTION("""COMPUTED_VALUE"""),5650.0)</f>
        <v>5650</v>
      </c>
      <c r="F585" s="1">
        <f>IFERROR(__xludf.DUMMYFUNCTION("""COMPUTED_VALUE"""),246131.0)</f>
        <v>246131</v>
      </c>
    </row>
    <row r="586">
      <c r="A586" s="2">
        <f>IFERROR(__xludf.DUMMYFUNCTION("""COMPUTED_VALUE"""),42047.64583333333)</f>
        <v>42047.64583</v>
      </c>
      <c r="B586" s="1">
        <f>IFERROR(__xludf.DUMMYFUNCTION("""COMPUTED_VALUE"""),5650.0)</f>
        <v>5650</v>
      </c>
      <c r="C586" s="1">
        <f>IFERROR(__xludf.DUMMYFUNCTION("""COMPUTED_VALUE"""),5690.0)</f>
        <v>5690</v>
      </c>
      <c r="D586" s="1">
        <f>IFERROR(__xludf.DUMMYFUNCTION("""COMPUTED_VALUE"""),5250.0)</f>
        <v>5250</v>
      </c>
      <c r="E586" s="1">
        <f>IFERROR(__xludf.DUMMYFUNCTION("""COMPUTED_VALUE"""),5420.0)</f>
        <v>5420</v>
      </c>
      <c r="F586" s="1">
        <f>IFERROR(__xludf.DUMMYFUNCTION("""COMPUTED_VALUE"""),164098.0)</f>
        <v>164098</v>
      </c>
    </row>
    <row r="587">
      <c r="A587" s="2">
        <f>IFERROR(__xludf.DUMMYFUNCTION("""COMPUTED_VALUE"""),42048.64583333333)</f>
        <v>42048.64583</v>
      </c>
      <c r="B587" s="1">
        <f>IFERROR(__xludf.DUMMYFUNCTION("""COMPUTED_VALUE"""),5380.0)</f>
        <v>5380</v>
      </c>
      <c r="C587" s="1">
        <f>IFERROR(__xludf.DUMMYFUNCTION("""COMPUTED_VALUE"""),5620.0)</f>
        <v>5620</v>
      </c>
      <c r="D587" s="1">
        <f>IFERROR(__xludf.DUMMYFUNCTION("""COMPUTED_VALUE"""),5260.0)</f>
        <v>5260</v>
      </c>
      <c r="E587" s="1">
        <f>IFERROR(__xludf.DUMMYFUNCTION("""COMPUTED_VALUE"""),5620.0)</f>
        <v>5620</v>
      </c>
      <c r="F587" s="1">
        <f>IFERROR(__xludf.DUMMYFUNCTION("""COMPUTED_VALUE"""),79016.0)</f>
        <v>79016</v>
      </c>
    </row>
    <row r="588">
      <c r="A588" s="2">
        <f>IFERROR(__xludf.DUMMYFUNCTION("""COMPUTED_VALUE"""),42051.64583333333)</f>
        <v>42051.64583</v>
      </c>
      <c r="B588" s="1">
        <f>IFERROR(__xludf.DUMMYFUNCTION("""COMPUTED_VALUE"""),5620.0)</f>
        <v>5620</v>
      </c>
      <c r="C588" s="1">
        <f>IFERROR(__xludf.DUMMYFUNCTION("""COMPUTED_VALUE"""),5760.0)</f>
        <v>5760</v>
      </c>
      <c r="D588" s="1">
        <f>IFERROR(__xludf.DUMMYFUNCTION("""COMPUTED_VALUE"""),5560.0)</f>
        <v>5560</v>
      </c>
      <c r="E588" s="1">
        <f>IFERROR(__xludf.DUMMYFUNCTION("""COMPUTED_VALUE"""),5680.0)</f>
        <v>5680</v>
      </c>
      <c r="F588" s="1">
        <f>IFERROR(__xludf.DUMMYFUNCTION("""COMPUTED_VALUE"""),77873.0)</f>
        <v>77873</v>
      </c>
    </row>
    <row r="589">
      <c r="A589" s="2">
        <f>IFERROR(__xludf.DUMMYFUNCTION("""COMPUTED_VALUE"""),42052.64583333333)</f>
        <v>42052.64583</v>
      </c>
      <c r="B589" s="1">
        <f>IFERROR(__xludf.DUMMYFUNCTION("""COMPUTED_VALUE"""),5650.0)</f>
        <v>5650</v>
      </c>
      <c r="C589" s="1">
        <f>IFERROR(__xludf.DUMMYFUNCTION("""COMPUTED_VALUE"""),5680.0)</f>
        <v>5680</v>
      </c>
      <c r="D589" s="1">
        <f>IFERROR(__xludf.DUMMYFUNCTION("""COMPUTED_VALUE"""),5530.0)</f>
        <v>5530</v>
      </c>
      <c r="E589" s="1">
        <f>IFERROR(__xludf.DUMMYFUNCTION("""COMPUTED_VALUE"""),5630.0)</f>
        <v>5630</v>
      </c>
      <c r="F589" s="1">
        <f>IFERROR(__xludf.DUMMYFUNCTION("""COMPUTED_VALUE"""),33538.0)</f>
        <v>33538</v>
      </c>
    </row>
    <row r="590">
      <c r="A590" s="2">
        <f>IFERROR(__xludf.DUMMYFUNCTION("""COMPUTED_VALUE"""),42058.64583333333)</f>
        <v>42058.64583</v>
      </c>
      <c r="B590" s="1">
        <f>IFERROR(__xludf.DUMMYFUNCTION("""COMPUTED_VALUE"""),5840.0)</f>
        <v>5840</v>
      </c>
      <c r="C590" s="1">
        <f>IFERROR(__xludf.DUMMYFUNCTION("""COMPUTED_VALUE"""),5840.0)</f>
        <v>5840</v>
      </c>
      <c r="D590" s="1">
        <f>IFERROR(__xludf.DUMMYFUNCTION("""COMPUTED_VALUE"""),5370.0)</f>
        <v>5370</v>
      </c>
      <c r="E590" s="1">
        <f>IFERROR(__xludf.DUMMYFUNCTION("""COMPUTED_VALUE"""),5410.0)</f>
        <v>5410</v>
      </c>
      <c r="F590" s="1">
        <f>IFERROR(__xludf.DUMMYFUNCTION("""COMPUTED_VALUE"""),89694.0)</f>
        <v>89694</v>
      </c>
    </row>
    <row r="591">
      <c r="A591" s="2">
        <f>IFERROR(__xludf.DUMMYFUNCTION("""COMPUTED_VALUE"""),42059.64583333333)</f>
        <v>42059.64583</v>
      </c>
      <c r="B591" s="1">
        <f>IFERROR(__xludf.DUMMYFUNCTION("""COMPUTED_VALUE"""),5440.0)</f>
        <v>5440</v>
      </c>
      <c r="C591" s="1">
        <f>IFERROR(__xludf.DUMMYFUNCTION("""COMPUTED_VALUE"""),5580.0)</f>
        <v>5580</v>
      </c>
      <c r="D591" s="1">
        <f>IFERROR(__xludf.DUMMYFUNCTION("""COMPUTED_VALUE"""),5340.0)</f>
        <v>5340</v>
      </c>
      <c r="E591" s="1">
        <f>IFERROR(__xludf.DUMMYFUNCTION("""COMPUTED_VALUE"""),5380.0)</f>
        <v>5380</v>
      </c>
      <c r="F591" s="1">
        <f>IFERROR(__xludf.DUMMYFUNCTION("""COMPUTED_VALUE"""),92018.0)</f>
        <v>92018</v>
      </c>
    </row>
    <row r="592">
      <c r="A592" s="2">
        <f>IFERROR(__xludf.DUMMYFUNCTION("""COMPUTED_VALUE"""),42060.64583333333)</f>
        <v>42060.64583</v>
      </c>
      <c r="B592" s="1">
        <f>IFERROR(__xludf.DUMMYFUNCTION("""COMPUTED_VALUE"""),5420.0)</f>
        <v>5420</v>
      </c>
      <c r="C592" s="1">
        <f>IFERROR(__xludf.DUMMYFUNCTION("""COMPUTED_VALUE"""),5420.0)</f>
        <v>5420</v>
      </c>
      <c r="D592" s="1">
        <f>IFERROR(__xludf.DUMMYFUNCTION("""COMPUTED_VALUE"""),5120.0)</f>
        <v>5120</v>
      </c>
      <c r="E592" s="1">
        <f>IFERROR(__xludf.DUMMYFUNCTION("""COMPUTED_VALUE"""),5250.0)</f>
        <v>5250</v>
      </c>
      <c r="F592" s="1">
        <f>IFERROR(__xludf.DUMMYFUNCTION("""COMPUTED_VALUE"""),106612.0)</f>
        <v>106612</v>
      </c>
    </row>
    <row r="593">
      <c r="A593" s="2">
        <f>IFERROR(__xludf.DUMMYFUNCTION("""COMPUTED_VALUE"""),42061.64583333333)</f>
        <v>42061.64583</v>
      </c>
      <c r="B593" s="1">
        <f>IFERROR(__xludf.DUMMYFUNCTION("""COMPUTED_VALUE"""),5250.0)</f>
        <v>5250</v>
      </c>
      <c r="C593" s="1">
        <f>IFERROR(__xludf.DUMMYFUNCTION("""COMPUTED_VALUE"""),5390.0)</f>
        <v>5390</v>
      </c>
      <c r="D593" s="1">
        <f>IFERROR(__xludf.DUMMYFUNCTION("""COMPUTED_VALUE"""),5250.0)</f>
        <v>5250</v>
      </c>
      <c r="E593" s="1">
        <f>IFERROR(__xludf.DUMMYFUNCTION("""COMPUTED_VALUE"""),5250.0)</f>
        <v>5250</v>
      </c>
      <c r="F593" s="1">
        <f>IFERROR(__xludf.DUMMYFUNCTION("""COMPUTED_VALUE"""),32892.0)</f>
        <v>32892</v>
      </c>
    </row>
    <row r="594">
      <c r="A594" s="2">
        <f>IFERROR(__xludf.DUMMYFUNCTION("""COMPUTED_VALUE"""),42062.64583333333)</f>
        <v>42062.64583</v>
      </c>
      <c r="B594" s="1">
        <f>IFERROR(__xludf.DUMMYFUNCTION("""COMPUTED_VALUE"""),5220.0)</f>
        <v>5220</v>
      </c>
      <c r="C594" s="1">
        <f>IFERROR(__xludf.DUMMYFUNCTION("""COMPUTED_VALUE"""),5320.0)</f>
        <v>5320</v>
      </c>
      <c r="D594" s="1">
        <f>IFERROR(__xludf.DUMMYFUNCTION("""COMPUTED_VALUE"""),5180.0)</f>
        <v>5180</v>
      </c>
      <c r="E594" s="1">
        <f>IFERROR(__xludf.DUMMYFUNCTION("""COMPUTED_VALUE"""),5300.0)</f>
        <v>5300</v>
      </c>
      <c r="F594" s="1">
        <f>IFERROR(__xludf.DUMMYFUNCTION("""COMPUTED_VALUE"""),41062.0)</f>
        <v>41062</v>
      </c>
    </row>
    <row r="595">
      <c r="A595" s="2">
        <f>IFERROR(__xludf.DUMMYFUNCTION("""COMPUTED_VALUE"""),42065.64583333333)</f>
        <v>42065.64583</v>
      </c>
      <c r="B595" s="1">
        <f>IFERROR(__xludf.DUMMYFUNCTION("""COMPUTED_VALUE"""),5230.0)</f>
        <v>5230</v>
      </c>
      <c r="C595" s="1">
        <f>IFERROR(__xludf.DUMMYFUNCTION("""COMPUTED_VALUE"""),5350.0)</f>
        <v>5350</v>
      </c>
      <c r="D595" s="1">
        <f>IFERROR(__xludf.DUMMYFUNCTION("""COMPUTED_VALUE"""),5230.0)</f>
        <v>5230</v>
      </c>
      <c r="E595" s="1">
        <f>IFERROR(__xludf.DUMMYFUNCTION("""COMPUTED_VALUE"""),5330.0)</f>
        <v>5330</v>
      </c>
      <c r="F595" s="1">
        <f>IFERROR(__xludf.DUMMYFUNCTION("""COMPUTED_VALUE"""),30704.0)</f>
        <v>30704</v>
      </c>
    </row>
    <row r="596">
      <c r="A596" s="2">
        <f>IFERROR(__xludf.DUMMYFUNCTION("""COMPUTED_VALUE"""),42066.64583333333)</f>
        <v>42066.64583</v>
      </c>
      <c r="B596" s="1">
        <f>IFERROR(__xludf.DUMMYFUNCTION("""COMPUTED_VALUE"""),5310.0)</f>
        <v>5310</v>
      </c>
      <c r="C596" s="1">
        <f>IFERROR(__xludf.DUMMYFUNCTION("""COMPUTED_VALUE"""),5450.0)</f>
        <v>5450</v>
      </c>
      <c r="D596" s="1">
        <f>IFERROR(__xludf.DUMMYFUNCTION("""COMPUTED_VALUE"""),5300.0)</f>
        <v>5300</v>
      </c>
      <c r="E596" s="1">
        <f>IFERROR(__xludf.DUMMYFUNCTION("""COMPUTED_VALUE"""),5360.0)</f>
        <v>5360</v>
      </c>
      <c r="F596" s="1">
        <f>IFERROR(__xludf.DUMMYFUNCTION("""COMPUTED_VALUE"""),43605.0)</f>
        <v>43605</v>
      </c>
    </row>
    <row r="597">
      <c r="A597" s="2">
        <f>IFERROR(__xludf.DUMMYFUNCTION("""COMPUTED_VALUE"""),42067.64583333333)</f>
        <v>42067.64583</v>
      </c>
      <c r="B597" s="1">
        <f>IFERROR(__xludf.DUMMYFUNCTION("""COMPUTED_VALUE"""),5400.0)</f>
        <v>5400</v>
      </c>
      <c r="C597" s="1">
        <f>IFERROR(__xludf.DUMMYFUNCTION("""COMPUTED_VALUE"""),5410.0)</f>
        <v>5410</v>
      </c>
      <c r="D597" s="1">
        <f>IFERROR(__xludf.DUMMYFUNCTION("""COMPUTED_VALUE"""),5290.0)</f>
        <v>5290</v>
      </c>
      <c r="E597" s="1">
        <f>IFERROR(__xludf.DUMMYFUNCTION("""COMPUTED_VALUE"""),5350.0)</f>
        <v>5350</v>
      </c>
      <c r="F597" s="1">
        <f>IFERROR(__xludf.DUMMYFUNCTION("""COMPUTED_VALUE"""),37516.0)</f>
        <v>37516</v>
      </c>
    </row>
    <row r="598">
      <c r="A598" s="2">
        <f>IFERROR(__xludf.DUMMYFUNCTION("""COMPUTED_VALUE"""),42068.64583333333)</f>
        <v>42068.64583</v>
      </c>
      <c r="B598" s="1">
        <f>IFERROR(__xludf.DUMMYFUNCTION("""COMPUTED_VALUE"""),5390.0)</f>
        <v>5390</v>
      </c>
      <c r="C598" s="1">
        <f>IFERROR(__xludf.DUMMYFUNCTION("""COMPUTED_VALUE"""),5450.0)</f>
        <v>5450</v>
      </c>
      <c r="D598" s="1">
        <f>IFERROR(__xludf.DUMMYFUNCTION("""COMPUTED_VALUE"""),5260.0)</f>
        <v>5260</v>
      </c>
      <c r="E598" s="1">
        <f>IFERROR(__xludf.DUMMYFUNCTION("""COMPUTED_VALUE"""),5450.0)</f>
        <v>5450</v>
      </c>
      <c r="F598" s="1">
        <f>IFERROR(__xludf.DUMMYFUNCTION("""COMPUTED_VALUE"""),37795.0)</f>
        <v>37795</v>
      </c>
    </row>
    <row r="599">
      <c r="A599" s="2">
        <f>IFERROR(__xludf.DUMMYFUNCTION("""COMPUTED_VALUE"""),42069.64583333333)</f>
        <v>42069.64583</v>
      </c>
      <c r="B599" s="1">
        <f>IFERROR(__xludf.DUMMYFUNCTION("""COMPUTED_VALUE"""),5400.0)</f>
        <v>5400</v>
      </c>
      <c r="C599" s="1">
        <f>IFERROR(__xludf.DUMMYFUNCTION("""COMPUTED_VALUE"""),5430.0)</f>
        <v>5430</v>
      </c>
      <c r="D599" s="1">
        <f>IFERROR(__xludf.DUMMYFUNCTION("""COMPUTED_VALUE"""),5300.0)</f>
        <v>5300</v>
      </c>
      <c r="E599" s="1">
        <f>IFERROR(__xludf.DUMMYFUNCTION("""COMPUTED_VALUE"""),5300.0)</f>
        <v>5300</v>
      </c>
      <c r="F599" s="1">
        <f>IFERROR(__xludf.DUMMYFUNCTION("""COMPUTED_VALUE"""),73919.0)</f>
        <v>73919</v>
      </c>
    </row>
    <row r="600">
      <c r="A600" s="2">
        <f>IFERROR(__xludf.DUMMYFUNCTION("""COMPUTED_VALUE"""),42072.64583333333)</f>
        <v>42072.64583</v>
      </c>
      <c r="B600" s="1">
        <f>IFERROR(__xludf.DUMMYFUNCTION("""COMPUTED_VALUE"""),5360.0)</f>
        <v>5360</v>
      </c>
      <c r="C600" s="1">
        <f>IFERROR(__xludf.DUMMYFUNCTION("""COMPUTED_VALUE"""),5360.0)</f>
        <v>5360</v>
      </c>
      <c r="D600" s="1">
        <f>IFERROR(__xludf.DUMMYFUNCTION("""COMPUTED_VALUE"""),5230.0)</f>
        <v>5230</v>
      </c>
      <c r="E600" s="1">
        <f>IFERROR(__xludf.DUMMYFUNCTION("""COMPUTED_VALUE"""),5240.0)</f>
        <v>5240</v>
      </c>
      <c r="F600" s="1">
        <f>IFERROR(__xludf.DUMMYFUNCTION("""COMPUTED_VALUE"""),26918.0)</f>
        <v>26918</v>
      </c>
    </row>
    <row r="601">
      <c r="A601" s="2">
        <f>IFERROR(__xludf.DUMMYFUNCTION("""COMPUTED_VALUE"""),42073.64583333333)</f>
        <v>42073.64583</v>
      </c>
      <c r="B601" s="1">
        <f>IFERROR(__xludf.DUMMYFUNCTION("""COMPUTED_VALUE"""),5240.0)</f>
        <v>5240</v>
      </c>
      <c r="C601" s="1">
        <f>IFERROR(__xludf.DUMMYFUNCTION("""COMPUTED_VALUE"""),5320.0)</f>
        <v>5320</v>
      </c>
      <c r="D601" s="1">
        <f>IFERROR(__xludf.DUMMYFUNCTION("""COMPUTED_VALUE"""),5100.0)</f>
        <v>5100</v>
      </c>
      <c r="E601" s="1">
        <f>IFERROR(__xludf.DUMMYFUNCTION("""COMPUTED_VALUE"""),5190.0)</f>
        <v>5190</v>
      </c>
      <c r="F601" s="1">
        <f>IFERROR(__xludf.DUMMYFUNCTION("""COMPUTED_VALUE"""),48341.0)</f>
        <v>48341</v>
      </c>
    </row>
    <row r="602">
      <c r="A602" s="2">
        <f>IFERROR(__xludf.DUMMYFUNCTION("""COMPUTED_VALUE"""),42074.64583333333)</f>
        <v>42074.64583</v>
      </c>
      <c r="B602" s="1">
        <f>IFERROR(__xludf.DUMMYFUNCTION("""COMPUTED_VALUE"""),5340.0)</f>
        <v>5340</v>
      </c>
      <c r="C602" s="1">
        <f>IFERROR(__xludf.DUMMYFUNCTION("""COMPUTED_VALUE"""),5340.0)</f>
        <v>5340</v>
      </c>
      <c r="D602" s="1">
        <f>IFERROR(__xludf.DUMMYFUNCTION("""COMPUTED_VALUE"""),5140.0)</f>
        <v>5140</v>
      </c>
      <c r="E602" s="1">
        <f>IFERROR(__xludf.DUMMYFUNCTION("""COMPUTED_VALUE"""),5260.0)</f>
        <v>5260</v>
      </c>
      <c r="F602" s="1">
        <f>IFERROR(__xludf.DUMMYFUNCTION("""COMPUTED_VALUE"""),18868.0)</f>
        <v>18868</v>
      </c>
    </row>
    <row r="603">
      <c r="A603" s="2">
        <f>IFERROR(__xludf.DUMMYFUNCTION("""COMPUTED_VALUE"""),42075.64583333333)</f>
        <v>42075.64583</v>
      </c>
      <c r="B603" s="1">
        <f>IFERROR(__xludf.DUMMYFUNCTION("""COMPUTED_VALUE"""),5350.0)</f>
        <v>5350</v>
      </c>
      <c r="C603" s="1">
        <f>IFERROR(__xludf.DUMMYFUNCTION("""COMPUTED_VALUE"""),5350.0)</f>
        <v>5350</v>
      </c>
      <c r="D603" s="1">
        <f>IFERROR(__xludf.DUMMYFUNCTION("""COMPUTED_VALUE"""),5150.0)</f>
        <v>5150</v>
      </c>
      <c r="E603" s="1">
        <f>IFERROR(__xludf.DUMMYFUNCTION("""COMPUTED_VALUE"""),5300.0)</f>
        <v>5300</v>
      </c>
      <c r="F603" s="1">
        <f>IFERROR(__xludf.DUMMYFUNCTION("""COMPUTED_VALUE"""),13780.0)</f>
        <v>13780</v>
      </c>
    </row>
    <row r="604">
      <c r="A604" s="2">
        <f>IFERROR(__xludf.DUMMYFUNCTION("""COMPUTED_VALUE"""),42076.64583333333)</f>
        <v>42076.64583</v>
      </c>
      <c r="B604" s="1">
        <f>IFERROR(__xludf.DUMMYFUNCTION("""COMPUTED_VALUE"""),5270.0)</f>
        <v>5270</v>
      </c>
      <c r="C604" s="1">
        <f>IFERROR(__xludf.DUMMYFUNCTION("""COMPUTED_VALUE"""),5400.0)</f>
        <v>5400</v>
      </c>
      <c r="D604" s="1">
        <f>IFERROR(__xludf.DUMMYFUNCTION("""COMPUTED_VALUE"""),5180.0)</f>
        <v>5180</v>
      </c>
      <c r="E604" s="1">
        <f>IFERROR(__xludf.DUMMYFUNCTION("""COMPUTED_VALUE"""),5270.0)</f>
        <v>5270</v>
      </c>
      <c r="F604" s="1">
        <f>IFERROR(__xludf.DUMMYFUNCTION("""COMPUTED_VALUE"""),21998.0)</f>
        <v>21998</v>
      </c>
    </row>
    <row r="605">
      <c r="A605" s="2">
        <f>IFERROR(__xludf.DUMMYFUNCTION("""COMPUTED_VALUE"""),42079.64583333333)</f>
        <v>42079.64583</v>
      </c>
      <c r="B605" s="1">
        <f>IFERROR(__xludf.DUMMYFUNCTION("""COMPUTED_VALUE"""),5250.0)</f>
        <v>5250</v>
      </c>
      <c r="C605" s="1">
        <f>IFERROR(__xludf.DUMMYFUNCTION("""COMPUTED_VALUE"""),5250.0)</f>
        <v>5250</v>
      </c>
      <c r="D605" s="1">
        <f>IFERROR(__xludf.DUMMYFUNCTION("""COMPUTED_VALUE"""),5130.0)</f>
        <v>5130</v>
      </c>
      <c r="E605" s="1">
        <f>IFERROR(__xludf.DUMMYFUNCTION("""COMPUTED_VALUE"""),5200.0)</f>
        <v>5200</v>
      </c>
      <c r="F605" s="1">
        <f>IFERROR(__xludf.DUMMYFUNCTION("""COMPUTED_VALUE"""),29040.0)</f>
        <v>29040</v>
      </c>
    </row>
    <row r="606">
      <c r="A606" s="2">
        <f>IFERROR(__xludf.DUMMYFUNCTION("""COMPUTED_VALUE"""),42080.64583333333)</f>
        <v>42080.64583</v>
      </c>
      <c r="B606" s="1">
        <f>IFERROR(__xludf.DUMMYFUNCTION("""COMPUTED_VALUE"""),5170.0)</f>
        <v>5170</v>
      </c>
      <c r="C606" s="1">
        <f>IFERROR(__xludf.DUMMYFUNCTION("""COMPUTED_VALUE"""),5200.0)</f>
        <v>5200</v>
      </c>
      <c r="D606" s="1">
        <f>IFERROR(__xludf.DUMMYFUNCTION("""COMPUTED_VALUE"""),5040.0)</f>
        <v>5040</v>
      </c>
      <c r="E606" s="1">
        <f>IFERROR(__xludf.DUMMYFUNCTION("""COMPUTED_VALUE"""),5070.0)</f>
        <v>5070</v>
      </c>
      <c r="F606" s="1">
        <f>IFERROR(__xludf.DUMMYFUNCTION("""COMPUTED_VALUE"""),47590.0)</f>
        <v>47590</v>
      </c>
    </row>
    <row r="607">
      <c r="A607" s="2">
        <f>IFERROR(__xludf.DUMMYFUNCTION("""COMPUTED_VALUE"""),42081.64583333333)</f>
        <v>42081.64583</v>
      </c>
      <c r="B607" s="1">
        <f>IFERROR(__xludf.DUMMYFUNCTION("""COMPUTED_VALUE"""),5010.0)</f>
        <v>5010</v>
      </c>
      <c r="C607" s="1">
        <f>IFERROR(__xludf.DUMMYFUNCTION("""COMPUTED_VALUE"""),5340.0)</f>
        <v>5340</v>
      </c>
      <c r="D607" s="1">
        <f>IFERROR(__xludf.DUMMYFUNCTION("""COMPUTED_VALUE"""),5010.0)</f>
        <v>5010</v>
      </c>
      <c r="E607" s="1">
        <f>IFERROR(__xludf.DUMMYFUNCTION("""COMPUTED_VALUE"""),5310.0)</f>
        <v>5310</v>
      </c>
      <c r="F607" s="1">
        <f>IFERROR(__xludf.DUMMYFUNCTION("""COMPUTED_VALUE"""),84134.0)</f>
        <v>84134</v>
      </c>
    </row>
    <row r="608">
      <c r="A608" s="2">
        <f>IFERROR(__xludf.DUMMYFUNCTION("""COMPUTED_VALUE"""),42082.64583333333)</f>
        <v>42082.64583</v>
      </c>
      <c r="B608" s="1">
        <f>IFERROR(__xludf.DUMMYFUNCTION("""COMPUTED_VALUE"""),5400.0)</f>
        <v>5400</v>
      </c>
      <c r="C608" s="1">
        <f>IFERROR(__xludf.DUMMYFUNCTION("""COMPUTED_VALUE"""),5580.0)</f>
        <v>5580</v>
      </c>
      <c r="D608" s="1">
        <f>IFERROR(__xludf.DUMMYFUNCTION("""COMPUTED_VALUE"""),5310.0)</f>
        <v>5310</v>
      </c>
      <c r="E608" s="1">
        <f>IFERROR(__xludf.DUMMYFUNCTION("""COMPUTED_VALUE"""),5460.0)</f>
        <v>5460</v>
      </c>
      <c r="F608" s="1">
        <f>IFERROR(__xludf.DUMMYFUNCTION("""COMPUTED_VALUE"""),98252.0)</f>
        <v>98252</v>
      </c>
    </row>
    <row r="609">
      <c r="A609" s="2">
        <f>IFERROR(__xludf.DUMMYFUNCTION("""COMPUTED_VALUE"""),42083.64583333333)</f>
        <v>42083.64583</v>
      </c>
      <c r="B609" s="1">
        <f>IFERROR(__xludf.DUMMYFUNCTION("""COMPUTED_VALUE"""),5540.0)</f>
        <v>5540</v>
      </c>
      <c r="C609" s="1">
        <f>IFERROR(__xludf.DUMMYFUNCTION("""COMPUTED_VALUE"""),5540.0)</f>
        <v>5540</v>
      </c>
      <c r="D609" s="1">
        <f>IFERROR(__xludf.DUMMYFUNCTION("""COMPUTED_VALUE"""),5300.0)</f>
        <v>5300</v>
      </c>
      <c r="E609" s="1">
        <f>IFERROR(__xludf.DUMMYFUNCTION("""COMPUTED_VALUE"""),5340.0)</f>
        <v>5340</v>
      </c>
      <c r="F609" s="1">
        <f>IFERROR(__xludf.DUMMYFUNCTION("""COMPUTED_VALUE"""),55010.0)</f>
        <v>55010</v>
      </c>
    </row>
    <row r="610">
      <c r="A610" s="2">
        <f>IFERROR(__xludf.DUMMYFUNCTION("""COMPUTED_VALUE"""),42086.64583333333)</f>
        <v>42086.64583</v>
      </c>
      <c r="B610" s="1">
        <f>IFERROR(__xludf.DUMMYFUNCTION("""COMPUTED_VALUE"""),5450.0)</f>
        <v>5450</v>
      </c>
      <c r="C610" s="1">
        <f>IFERROR(__xludf.DUMMYFUNCTION("""COMPUTED_VALUE"""),5500.0)</f>
        <v>5500</v>
      </c>
      <c r="D610" s="1">
        <f>IFERROR(__xludf.DUMMYFUNCTION("""COMPUTED_VALUE"""),5200.0)</f>
        <v>5200</v>
      </c>
      <c r="E610" s="1">
        <f>IFERROR(__xludf.DUMMYFUNCTION("""COMPUTED_VALUE"""),5210.0)</f>
        <v>5210</v>
      </c>
      <c r="F610" s="1">
        <f>IFERROR(__xludf.DUMMYFUNCTION("""COMPUTED_VALUE"""),41710.0)</f>
        <v>41710</v>
      </c>
    </row>
    <row r="611">
      <c r="A611" s="2">
        <f>IFERROR(__xludf.DUMMYFUNCTION("""COMPUTED_VALUE"""),42087.64583333333)</f>
        <v>42087.64583</v>
      </c>
      <c r="B611" s="1">
        <f>IFERROR(__xludf.DUMMYFUNCTION("""COMPUTED_VALUE"""),5160.0)</f>
        <v>5160</v>
      </c>
      <c r="C611" s="1">
        <f>IFERROR(__xludf.DUMMYFUNCTION("""COMPUTED_VALUE"""),5320.0)</f>
        <v>5320</v>
      </c>
      <c r="D611" s="1">
        <f>IFERROR(__xludf.DUMMYFUNCTION("""COMPUTED_VALUE"""),5120.0)</f>
        <v>5120</v>
      </c>
      <c r="E611" s="1">
        <f>IFERROR(__xludf.DUMMYFUNCTION("""COMPUTED_VALUE"""),5230.0)</f>
        <v>5230</v>
      </c>
      <c r="F611" s="1">
        <f>IFERROR(__xludf.DUMMYFUNCTION("""COMPUTED_VALUE"""),23758.0)</f>
        <v>23758</v>
      </c>
    </row>
    <row r="612">
      <c r="A612" s="2">
        <f>IFERROR(__xludf.DUMMYFUNCTION("""COMPUTED_VALUE"""),42088.64583333333)</f>
        <v>42088.64583</v>
      </c>
      <c r="B612" s="1">
        <f>IFERROR(__xludf.DUMMYFUNCTION("""COMPUTED_VALUE"""),5230.0)</f>
        <v>5230</v>
      </c>
      <c r="C612" s="1">
        <f>IFERROR(__xludf.DUMMYFUNCTION("""COMPUTED_VALUE"""),5410.0)</f>
        <v>5410</v>
      </c>
      <c r="D612" s="1">
        <f>IFERROR(__xludf.DUMMYFUNCTION("""COMPUTED_VALUE"""),5190.0)</f>
        <v>5190</v>
      </c>
      <c r="E612" s="1">
        <f>IFERROR(__xludf.DUMMYFUNCTION("""COMPUTED_VALUE"""),5190.0)</f>
        <v>5190</v>
      </c>
      <c r="F612" s="1">
        <f>IFERROR(__xludf.DUMMYFUNCTION("""COMPUTED_VALUE"""),30011.0)</f>
        <v>30011</v>
      </c>
    </row>
    <row r="613">
      <c r="A613" s="2">
        <f>IFERROR(__xludf.DUMMYFUNCTION("""COMPUTED_VALUE"""),42089.64583333333)</f>
        <v>42089.64583</v>
      </c>
      <c r="B613" s="1">
        <f>IFERROR(__xludf.DUMMYFUNCTION("""COMPUTED_VALUE"""),5130.0)</f>
        <v>5130</v>
      </c>
      <c r="C613" s="1">
        <f>IFERROR(__xludf.DUMMYFUNCTION("""COMPUTED_VALUE"""),5210.0)</f>
        <v>5210</v>
      </c>
      <c r="D613" s="1">
        <f>IFERROR(__xludf.DUMMYFUNCTION("""COMPUTED_VALUE"""),5100.0)</f>
        <v>5100</v>
      </c>
      <c r="E613" s="1">
        <f>IFERROR(__xludf.DUMMYFUNCTION("""COMPUTED_VALUE"""),5160.0)</f>
        <v>5160</v>
      </c>
      <c r="F613" s="1">
        <f>IFERROR(__xludf.DUMMYFUNCTION("""COMPUTED_VALUE"""),78708.0)</f>
        <v>78708</v>
      </c>
    </row>
    <row r="614">
      <c r="A614" s="2">
        <f>IFERROR(__xludf.DUMMYFUNCTION("""COMPUTED_VALUE"""),42090.64583333333)</f>
        <v>42090.64583</v>
      </c>
      <c r="B614" s="1">
        <f>IFERROR(__xludf.DUMMYFUNCTION("""COMPUTED_VALUE"""),5200.0)</f>
        <v>5200</v>
      </c>
      <c r="C614" s="1">
        <f>IFERROR(__xludf.DUMMYFUNCTION("""COMPUTED_VALUE"""),5300.0)</f>
        <v>5300</v>
      </c>
      <c r="D614" s="1">
        <f>IFERROR(__xludf.DUMMYFUNCTION("""COMPUTED_VALUE"""),5100.0)</f>
        <v>5100</v>
      </c>
      <c r="E614" s="1">
        <f>IFERROR(__xludf.DUMMYFUNCTION("""COMPUTED_VALUE"""),5160.0)</f>
        <v>5160</v>
      </c>
      <c r="F614" s="1">
        <f>IFERROR(__xludf.DUMMYFUNCTION("""COMPUTED_VALUE"""),48455.0)</f>
        <v>48455</v>
      </c>
    </row>
    <row r="615">
      <c r="A615" s="2">
        <f>IFERROR(__xludf.DUMMYFUNCTION("""COMPUTED_VALUE"""),42093.64583333333)</f>
        <v>42093.64583</v>
      </c>
      <c r="B615" s="1">
        <f>IFERROR(__xludf.DUMMYFUNCTION("""COMPUTED_VALUE"""),5050.0)</f>
        <v>5050</v>
      </c>
      <c r="C615" s="1">
        <f>IFERROR(__xludf.DUMMYFUNCTION("""COMPUTED_VALUE"""),5190.0)</f>
        <v>5190</v>
      </c>
      <c r="D615" s="1">
        <f>IFERROR(__xludf.DUMMYFUNCTION("""COMPUTED_VALUE"""),5050.0)</f>
        <v>5050</v>
      </c>
      <c r="E615" s="1">
        <f>IFERROR(__xludf.DUMMYFUNCTION("""COMPUTED_VALUE"""),5150.0)</f>
        <v>5150</v>
      </c>
      <c r="F615" s="1">
        <f>IFERROR(__xludf.DUMMYFUNCTION("""COMPUTED_VALUE"""),39370.0)</f>
        <v>39370</v>
      </c>
    </row>
    <row r="616">
      <c r="A616" s="2">
        <f>IFERROR(__xludf.DUMMYFUNCTION("""COMPUTED_VALUE"""),42094.64583333333)</f>
        <v>42094.64583</v>
      </c>
      <c r="B616" s="1">
        <f>IFERROR(__xludf.DUMMYFUNCTION("""COMPUTED_VALUE"""),5080.0)</f>
        <v>5080</v>
      </c>
      <c r="C616" s="1">
        <f>IFERROR(__xludf.DUMMYFUNCTION("""COMPUTED_VALUE"""),5180.0)</f>
        <v>5180</v>
      </c>
      <c r="D616" s="1">
        <f>IFERROR(__xludf.DUMMYFUNCTION("""COMPUTED_VALUE"""),5070.0)</f>
        <v>5070</v>
      </c>
      <c r="E616" s="1">
        <f>IFERROR(__xludf.DUMMYFUNCTION("""COMPUTED_VALUE"""),5110.0)</f>
        <v>5110</v>
      </c>
      <c r="F616" s="1">
        <f>IFERROR(__xludf.DUMMYFUNCTION("""COMPUTED_VALUE"""),57170.0)</f>
        <v>57170</v>
      </c>
    </row>
    <row r="617">
      <c r="A617" s="2">
        <f>IFERROR(__xludf.DUMMYFUNCTION("""COMPUTED_VALUE"""),42095.64583333333)</f>
        <v>42095.64583</v>
      </c>
      <c r="B617" s="1">
        <f>IFERROR(__xludf.DUMMYFUNCTION("""COMPUTED_VALUE"""),5140.0)</f>
        <v>5140</v>
      </c>
      <c r="C617" s="1">
        <f>IFERROR(__xludf.DUMMYFUNCTION("""COMPUTED_VALUE"""),5180.0)</f>
        <v>5180</v>
      </c>
      <c r="D617" s="1">
        <f>IFERROR(__xludf.DUMMYFUNCTION("""COMPUTED_VALUE"""),5060.0)</f>
        <v>5060</v>
      </c>
      <c r="E617" s="1">
        <f>IFERROR(__xludf.DUMMYFUNCTION("""COMPUTED_VALUE"""),5110.0)</f>
        <v>5110</v>
      </c>
      <c r="F617" s="1">
        <f>IFERROR(__xludf.DUMMYFUNCTION("""COMPUTED_VALUE"""),56435.0)</f>
        <v>56435</v>
      </c>
    </row>
    <row r="618">
      <c r="A618" s="2">
        <f>IFERROR(__xludf.DUMMYFUNCTION("""COMPUTED_VALUE"""),42096.64583333333)</f>
        <v>42096.64583</v>
      </c>
      <c r="B618" s="1">
        <f>IFERROR(__xludf.DUMMYFUNCTION("""COMPUTED_VALUE"""),5110.0)</f>
        <v>5110</v>
      </c>
      <c r="C618" s="1">
        <f>IFERROR(__xludf.DUMMYFUNCTION("""COMPUTED_VALUE"""),5180.0)</f>
        <v>5180</v>
      </c>
      <c r="D618" s="1">
        <f>IFERROR(__xludf.DUMMYFUNCTION("""COMPUTED_VALUE"""),5050.0)</f>
        <v>5050</v>
      </c>
      <c r="E618" s="1">
        <f>IFERROR(__xludf.DUMMYFUNCTION("""COMPUTED_VALUE"""),5050.0)</f>
        <v>5050</v>
      </c>
      <c r="F618" s="1">
        <f>IFERROR(__xludf.DUMMYFUNCTION("""COMPUTED_VALUE"""),52050.0)</f>
        <v>52050</v>
      </c>
    </row>
    <row r="619">
      <c r="A619" s="2">
        <f>IFERROR(__xludf.DUMMYFUNCTION("""COMPUTED_VALUE"""),42097.64583333333)</f>
        <v>42097.64583</v>
      </c>
      <c r="B619" s="1">
        <f>IFERROR(__xludf.DUMMYFUNCTION("""COMPUTED_VALUE"""),5100.0)</f>
        <v>5100</v>
      </c>
      <c r="C619" s="1">
        <f>IFERROR(__xludf.DUMMYFUNCTION("""COMPUTED_VALUE"""),5240.0)</f>
        <v>5240</v>
      </c>
      <c r="D619" s="1">
        <f>IFERROR(__xludf.DUMMYFUNCTION("""COMPUTED_VALUE"""),5030.0)</f>
        <v>5030</v>
      </c>
      <c r="E619" s="1">
        <f>IFERROR(__xludf.DUMMYFUNCTION("""COMPUTED_VALUE"""),5100.0)</f>
        <v>5100</v>
      </c>
      <c r="F619" s="1">
        <f>IFERROR(__xludf.DUMMYFUNCTION("""COMPUTED_VALUE"""),58314.0)</f>
        <v>58314</v>
      </c>
    </row>
    <row r="620">
      <c r="A620" s="2">
        <f>IFERROR(__xludf.DUMMYFUNCTION("""COMPUTED_VALUE"""),42100.64583333333)</f>
        <v>42100.64583</v>
      </c>
      <c r="B620" s="1">
        <f>IFERROR(__xludf.DUMMYFUNCTION("""COMPUTED_VALUE"""),5180.0)</f>
        <v>5180</v>
      </c>
      <c r="C620" s="1">
        <f>IFERROR(__xludf.DUMMYFUNCTION("""COMPUTED_VALUE"""),5190.0)</f>
        <v>5190</v>
      </c>
      <c r="D620" s="1">
        <f>IFERROR(__xludf.DUMMYFUNCTION("""COMPUTED_VALUE"""),5040.0)</f>
        <v>5040</v>
      </c>
      <c r="E620" s="1">
        <f>IFERROR(__xludf.DUMMYFUNCTION("""COMPUTED_VALUE"""),5090.0)</f>
        <v>5090</v>
      </c>
      <c r="F620" s="1">
        <f>IFERROR(__xludf.DUMMYFUNCTION("""COMPUTED_VALUE"""),76943.0)</f>
        <v>76943</v>
      </c>
    </row>
    <row r="621">
      <c r="A621" s="2">
        <f>IFERROR(__xludf.DUMMYFUNCTION("""COMPUTED_VALUE"""),42101.64583333333)</f>
        <v>42101.64583</v>
      </c>
      <c r="B621" s="1">
        <f>IFERROR(__xludf.DUMMYFUNCTION("""COMPUTED_VALUE"""),5100.0)</f>
        <v>5100</v>
      </c>
      <c r="C621" s="1">
        <f>IFERROR(__xludf.DUMMYFUNCTION("""COMPUTED_VALUE"""),5160.0)</f>
        <v>5160</v>
      </c>
      <c r="D621" s="1">
        <f>IFERROR(__xludf.DUMMYFUNCTION("""COMPUTED_VALUE"""),5060.0)</f>
        <v>5060</v>
      </c>
      <c r="E621" s="1">
        <f>IFERROR(__xludf.DUMMYFUNCTION("""COMPUTED_VALUE"""),5140.0)</f>
        <v>5140</v>
      </c>
      <c r="F621" s="1">
        <f>IFERROR(__xludf.DUMMYFUNCTION("""COMPUTED_VALUE"""),51626.0)</f>
        <v>51626</v>
      </c>
    </row>
    <row r="622">
      <c r="A622" s="2">
        <f>IFERROR(__xludf.DUMMYFUNCTION("""COMPUTED_VALUE"""),42102.64583333333)</f>
        <v>42102.64583</v>
      </c>
      <c r="B622" s="1">
        <f>IFERROR(__xludf.DUMMYFUNCTION("""COMPUTED_VALUE"""),5140.0)</f>
        <v>5140</v>
      </c>
      <c r="C622" s="1">
        <f>IFERROR(__xludf.DUMMYFUNCTION("""COMPUTED_VALUE"""),5200.0)</f>
        <v>5200</v>
      </c>
      <c r="D622" s="1">
        <f>IFERROR(__xludf.DUMMYFUNCTION("""COMPUTED_VALUE"""),5060.0)</f>
        <v>5060</v>
      </c>
      <c r="E622" s="1">
        <f>IFERROR(__xludf.DUMMYFUNCTION("""COMPUTED_VALUE"""),5140.0)</f>
        <v>5140</v>
      </c>
      <c r="F622" s="1">
        <f>IFERROR(__xludf.DUMMYFUNCTION("""COMPUTED_VALUE"""),56852.0)</f>
        <v>56852</v>
      </c>
    </row>
    <row r="623">
      <c r="A623" s="2">
        <f>IFERROR(__xludf.DUMMYFUNCTION("""COMPUTED_VALUE"""),42103.64583333333)</f>
        <v>42103.64583</v>
      </c>
      <c r="B623" s="1">
        <f>IFERROR(__xludf.DUMMYFUNCTION("""COMPUTED_VALUE"""),5250.0)</f>
        <v>5250</v>
      </c>
      <c r="C623" s="1">
        <f>IFERROR(__xludf.DUMMYFUNCTION("""COMPUTED_VALUE"""),5250.0)</f>
        <v>5250</v>
      </c>
      <c r="D623" s="1">
        <f>IFERROR(__xludf.DUMMYFUNCTION("""COMPUTED_VALUE"""),5100.0)</f>
        <v>5100</v>
      </c>
      <c r="E623" s="1">
        <f>IFERROR(__xludf.DUMMYFUNCTION("""COMPUTED_VALUE"""),5160.0)</f>
        <v>5160</v>
      </c>
      <c r="F623" s="1">
        <f>IFERROR(__xludf.DUMMYFUNCTION("""COMPUTED_VALUE"""),41846.0)</f>
        <v>41846</v>
      </c>
    </row>
    <row r="624">
      <c r="A624" s="2">
        <f>IFERROR(__xludf.DUMMYFUNCTION("""COMPUTED_VALUE"""),42104.64583333333)</f>
        <v>42104.64583</v>
      </c>
      <c r="B624" s="1">
        <f>IFERROR(__xludf.DUMMYFUNCTION("""COMPUTED_VALUE"""),5190.0)</f>
        <v>5190</v>
      </c>
      <c r="C624" s="1">
        <f>IFERROR(__xludf.DUMMYFUNCTION("""COMPUTED_VALUE"""),5320.0)</f>
        <v>5320</v>
      </c>
      <c r="D624" s="1">
        <f>IFERROR(__xludf.DUMMYFUNCTION("""COMPUTED_VALUE"""),5130.0)</f>
        <v>5130</v>
      </c>
      <c r="E624" s="1">
        <f>IFERROR(__xludf.DUMMYFUNCTION("""COMPUTED_VALUE"""),5250.0)</f>
        <v>5250</v>
      </c>
      <c r="F624" s="1">
        <f>IFERROR(__xludf.DUMMYFUNCTION("""COMPUTED_VALUE"""),94385.0)</f>
        <v>94385</v>
      </c>
    </row>
    <row r="625">
      <c r="A625" s="2">
        <f>IFERROR(__xludf.DUMMYFUNCTION("""COMPUTED_VALUE"""),42107.64583333333)</f>
        <v>42107.64583</v>
      </c>
      <c r="B625" s="1">
        <f>IFERROR(__xludf.DUMMYFUNCTION("""COMPUTED_VALUE"""),5400.0)</f>
        <v>5400</v>
      </c>
      <c r="C625" s="1">
        <f>IFERROR(__xludf.DUMMYFUNCTION("""COMPUTED_VALUE"""),5630.0)</f>
        <v>5630</v>
      </c>
      <c r="D625" s="1">
        <f>IFERROR(__xludf.DUMMYFUNCTION("""COMPUTED_VALUE"""),5250.0)</f>
        <v>5250</v>
      </c>
      <c r="E625" s="1">
        <f>IFERROR(__xludf.DUMMYFUNCTION("""COMPUTED_VALUE"""),5630.0)</f>
        <v>5630</v>
      </c>
      <c r="F625" s="1">
        <f>IFERROR(__xludf.DUMMYFUNCTION("""COMPUTED_VALUE"""),227466.0)</f>
        <v>227466</v>
      </c>
    </row>
    <row r="626">
      <c r="A626" s="2">
        <f>IFERROR(__xludf.DUMMYFUNCTION("""COMPUTED_VALUE"""),42108.64583333333)</f>
        <v>42108.64583</v>
      </c>
      <c r="B626" s="1">
        <f>IFERROR(__xludf.DUMMYFUNCTION("""COMPUTED_VALUE"""),5730.0)</f>
        <v>5730</v>
      </c>
      <c r="C626" s="1">
        <f>IFERROR(__xludf.DUMMYFUNCTION("""COMPUTED_VALUE"""),5770.0)</f>
        <v>5770</v>
      </c>
      <c r="D626" s="1">
        <f>IFERROR(__xludf.DUMMYFUNCTION("""COMPUTED_VALUE"""),5380.0)</f>
        <v>5380</v>
      </c>
      <c r="E626" s="1">
        <f>IFERROR(__xludf.DUMMYFUNCTION("""COMPUTED_VALUE"""),5380.0)</f>
        <v>5380</v>
      </c>
      <c r="F626" s="1">
        <f>IFERROR(__xludf.DUMMYFUNCTION("""COMPUTED_VALUE"""),131372.0)</f>
        <v>131372</v>
      </c>
    </row>
    <row r="627">
      <c r="A627" s="2">
        <f>IFERROR(__xludf.DUMMYFUNCTION("""COMPUTED_VALUE"""),42109.64583333333)</f>
        <v>42109.64583</v>
      </c>
      <c r="B627" s="1">
        <f>IFERROR(__xludf.DUMMYFUNCTION("""COMPUTED_VALUE"""),5390.0)</f>
        <v>5390</v>
      </c>
      <c r="C627" s="1">
        <f>IFERROR(__xludf.DUMMYFUNCTION("""COMPUTED_VALUE"""),5480.0)</f>
        <v>5480</v>
      </c>
      <c r="D627" s="1">
        <f>IFERROR(__xludf.DUMMYFUNCTION("""COMPUTED_VALUE"""),5250.0)</f>
        <v>5250</v>
      </c>
      <c r="E627" s="1">
        <f>IFERROR(__xludf.DUMMYFUNCTION("""COMPUTED_VALUE"""),5380.0)</f>
        <v>5380</v>
      </c>
      <c r="F627" s="1">
        <f>IFERROR(__xludf.DUMMYFUNCTION("""COMPUTED_VALUE"""),76838.0)</f>
        <v>76838</v>
      </c>
    </row>
    <row r="628">
      <c r="A628" s="2">
        <f>IFERROR(__xludf.DUMMYFUNCTION("""COMPUTED_VALUE"""),42110.64583333333)</f>
        <v>42110.64583</v>
      </c>
      <c r="B628" s="1">
        <f>IFERROR(__xludf.DUMMYFUNCTION("""COMPUTED_VALUE"""),5380.0)</f>
        <v>5380</v>
      </c>
      <c r="C628" s="1">
        <f>IFERROR(__xludf.DUMMYFUNCTION("""COMPUTED_VALUE"""),5440.0)</f>
        <v>5440</v>
      </c>
      <c r="D628" s="1">
        <f>IFERROR(__xludf.DUMMYFUNCTION("""COMPUTED_VALUE"""),5280.0)</f>
        <v>5280</v>
      </c>
      <c r="E628" s="1">
        <f>IFERROR(__xludf.DUMMYFUNCTION("""COMPUTED_VALUE"""),5280.0)</f>
        <v>5280</v>
      </c>
      <c r="F628" s="1">
        <f>IFERROR(__xludf.DUMMYFUNCTION("""COMPUTED_VALUE"""),39998.0)</f>
        <v>39998</v>
      </c>
    </row>
    <row r="629">
      <c r="A629" s="2">
        <f>IFERROR(__xludf.DUMMYFUNCTION("""COMPUTED_VALUE"""),42111.64583333333)</f>
        <v>42111.64583</v>
      </c>
      <c r="B629" s="1">
        <f>IFERROR(__xludf.DUMMYFUNCTION("""COMPUTED_VALUE"""),5300.0)</f>
        <v>5300</v>
      </c>
      <c r="C629" s="1">
        <f>IFERROR(__xludf.DUMMYFUNCTION("""COMPUTED_VALUE"""),5400.0)</f>
        <v>5400</v>
      </c>
      <c r="D629" s="1">
        <f>IFERROR(__xludf.DUMMYFUNCTION("""COMPUTED_VALUE"""),5260.0)</f>
        <v>5260</v>
      </c>
      <c r="E629" s="1">
        <f>IFERROR(__xludf.DUMMYFUNCTION("""COMPUTED_VALUE"""),5300.0)</f>
        <v>5300</v>
      </c>
      <c r="F629" s="1">
        <f>IFERROR(__xludf.DUMMYFUNCTION("""COMPUTED_VALUE"""),50351.0)</f>
        <v>50351</v>
      </c>
    </row>
    <row r="630">
      <c r="A630" s="2">
        <f>IFERROR(__xludf.DUMMYFUNCTION("""COMPUTED_VALUE"""),42114.64583333333)</f>
        <v>42114.64583</v>
      </c>
      <c r="B630" s="1">
        <f>IFERROR(__xludf.DUMMYFUNCTION("""COMPUTED_VALUE"""),5310.0)</f>
        <v>5310</v>
      </c>
      <c r="C630" s="1">
        <f>IFERROR(__xludf.DUMMYFUNCTION("""COMPUTED_VALUE"""),5360.0)</f>
        <v>5360</v>
      </c>
      <c r="D630" s="1">
        <f>IFERROR(__xludf.DUMMYFUNCTION("""COMPUTED_VALUE"""),5200.0)</f>
        <v>5200</v>
      </c>
      <c r="E630" s="1">
        <f>IFERROR(__xludf.DUMMYFUNCTION("""COMPUTED_VALUE"""),5320.0)</f>
        <v>5320</v>
      </c>
      <c r="F630" s="1">
        <f>IFERROR(__xludf.DUMMYFUNCTION("""COMPUTED_VALUE"""),46215.0)</f>
        <v>46215</v>
      </c>
    </row>
    <row r="631">
      <c r="A631" s="2">
        <f>IFERROR(__xludf.DUMMYFUNCTION("""COMPUTED_VALUE"""),42115.64583333333)</f>
        <v>42115.64583</v>
      </c>
      <c r="B631" s="1">
        <f>IFERROR(__xludf.DUMMYFUNCTION("""COMPUTED_VALUE"""),5350.0)</f>
        <v>5350</v>
      </c>
      <c r="C631" s="1">
        <f>IFERROR(__xludf.DUMMYFUNCTION("""COMPUTED_VALUE"""),5550.0)</f>
        <v>5550</v>
      </c>
      <c r="D631" s="1">
        <f>IFERROR(__xludf.DUMMYFUNCTION("""COMPUTED_VALUE"""),5260.0)</f>
        <v>5260</v>
      </c>
      <c r="E631" s="1">
        <f>IFERROR(__xludf.DUMMYFUNCTION("""COMPUTED_VALUE"""),5550.0)</f>
        <v>5550</v>
      </c>
      <c r="F631" s="1">
        <f>IFERROR(__xludf.DUMMYFUNCTION("""COMPUTED_VALUE"""),150746.0)</f>
        <v>150746</v>
      </c>
    </row>
    <row r="632">
      <c r="A632" s="2">
        <f>IFERROR(__xludf.DUMMYFUNCTION("""COMPUTED_VALUE"""),42116.64583333333)</f>
        <v>42116.64583</v>
      </c>
      <c r="B632" s="1">
        <f>IFERROR(__xludf.DUMMYFUNCTION("""COMPUTED_VALUE"""),5680.0)</f>
        <v>5680</v>
      </c>
      <c r="C632" s="1">
        <f>IFERROR(__xludf.DUMMYFUNCTION("""COMPUTED_VALUE"""),6090.0)</f>
        <v>6090</v>
      </c>
      <c r="D632" s="1">
        <f>IFERROR(__xludf.DUMMYFUNCTION("""COMPUTED_VALUE"""),5360.0)</f>
        <v>5360</v>
      </c>
      <c r="E632" s="1">
        <f>IFERROR(__xludf.DUMMYFUNCTION("""COMPUTED_VALUE"""),5610.0)</f>
        <v>5610</v>
      </c>
      <c r="F632" s="1">
        <f>IFERROR(__xludf.DUMMYFUNCTION("""COMPUTED_VALUE"""),475855.0)</f>
        <v>475855</v>
      </c>
    </row>
    <row r="633">
      <c r="A633" s="2">
        <f>IFERROR(__xludf.DUMMYFUNCTION("""COMPUTED_VALUE"""),42117.64583333333)</f>
        <v>42117.64583</v>
      </c>
      <c r="B633" s="1">
        <f>IFERROR(__xludf.DUMMYFUNCTION("""COMPUTED_VALUE"""),5660.0)</f>
        <v>5660</v>
      </c>
      <c r="C633" s="1">
        <f>IFERROR(__xludf.DUMMYFUNCTION("""COMPUTED_VALUE"""),5940.0)</f>
        <v>5940</v>
      </c>
      <c r="D633" s="1">
        <f>IFERROR(__xludf.DUMMYFUNCTION("""COMPUTED_VALUE"""),5510.0)</f>
        <v>5510</v>
      </c>
      <c r="E633" s="1">
        <f>IFERROR(__xludf.DUMMYFUNCTION("""COMPUTED_VALUE"""),5700.0)</f>
        <v>5700</v>
      </c>
      <c r="F633" s="1">
        <f>IFERROR(__xludf.DUMMYFUNCTION("""COMPUTED_VALUE"""),116527.0)</f>
        <v>116527</v>
      </c>
    </row>
    <row r="634">
      <c r="A634" s="2">
        <f>IFERROR(__xludf.DUMMYFUNCTION("""COMPUTED_VALUE"""),42118.64583333333)</f>
        <v>42118.64583</v>
      </c>
      <c r="B634" s="1">
        <f>IFERROR(__xludf.DUMMYFUNCTION("""COMPUTED_VALUE"""),5630.0)</f>
        <v>5630</v>
      </c>
      <c r="C634" s="1">
        <f>IFERROR(__xludf.DUMMYFUNCTION("""COMPUTED_VALUE"""),5790.0)</f>
        <v>5790</v>
      </c>
      <c r="D634" s="1">
        <f>IFERROR(__xludf.DUMMYFUNCTION("""COMPUTED_VALUE"""),5610.0)</f>
        <v>5610</v>
      </c>
      <c r="E634" s="1">
        <f>IFERROR(__xludf.DUMMYFUNCTION("""COMPUTED_VALUE"""),5780.0)</f>
        <v>5780</v>
      </c>
      <c r="F634" s="1">
        <f>IFERROR(__xludf.DUMMYFUNCTION("""COMPUTED_VALUE"""),110448.0)</f>
        <v>110448</v>
      </c>
    </row>
    <row r="635">
      <c r="A635" s="2">
        <f>IFERROR(__xludf.DUMMYFUNCTION("""COMPUTED_VALUE"""),42121.64583333333)</f>
        <v>42121.64583</v>
      </c>
      <c r="B635" s="1">
        <f>IFERROR(__xludf.DUMMYFUNCTION("""COMPUTED_VALUE"""),5770.0)</f>
        <v>5770</v>
      </c>
      <c r="C635" s="1">
        <f>IFERROR(__xludf.DUMMYFUNCTION("""COMPUTED_VALUE"""),5920.0)</f>
        <v>5920</v>
      </c>
      <c r="D635" s="1">
        <f>IFERROR(__xludf.DUMMYFUNCTION("""COMPUTED_VALUE"""),5640.0)</f>
        <v>5640</v>
      </c>
      <c r="E635" s="1">
        <f>IFERROR(__xludf.DUMMYFUNCTION("""COMPUTED_VALUE"""),5920.0)</f>
        <v>5920</v>
      </c>
      <c r="F635" s="1">
        <f>IFERROR(__xludf.DUMMYFUNCTION("""COMPUTED_VALUE"""),181846.0)</f>
        <v>181846</v>
      </c>
    </row>
    <row r="636">
      <c r="A636" s="2">
        <f>IFERROR(__xludf.DUMMYFUNCTION("""COMPUTED_VALUE"""),42122.64583333333)</f>
        <v>42122.64583</v>
      </c>
      <c r="B636" s="1">
        <f>IFERROR(__xludf.DUMMYFUNCTION("""COMPUTED_VALUE"""),5940.0)</f>
        <v>5940</v>
      </c>
      <c r="C636" s="1">
        <f>IFERROR(__xludf.DUMMYFUNCTION("""COMPUTED_VALUE"""),5980.0)</f>
        <v>5980</v>
      </c>
      <c r="D636" s="1">
        <f>IFERROR(__xludf.DUMMYFUNCTION("""COMPUTED_VALUE"""),5730.0)</f>
        <v>5730</v>
      </c>
      <c r="E636" s="1">
        <f>IFERROR(__xludf.DUMMYFUNCTION("""COMPUTED_VALUE"""),5810.0)</f>
        <v>5810</v>
      </c>
      <c r="F636" s="1">
        <f>IFERROR(__xludf.DUMMYFUNCTION("""COMPUTED_VALUE"""),109605.0)</f>
        <v>109605</v>
      </c>
    </row>
    <row r="637">
      <c r="A637" s="2">
        <f>IFERROR(__xludf.DUMMYFUNCTION("""COMPUTED_VALUE"""),42123.64583333333)</f>
        <v>42123.64583</v>
      </c>
      <c r="B637" s="1">
        <f>IFERROR(__xludf.DUMMYFUNCTION("""COMPUTED_VALUE"""),5920.0)</f>
        <v>5920</v>
      </c>
      <c r="C637" s="1">
        <f>IFERROR(__xludf.DUMMYFUNCTION("""COMPUTED_VALUE"""),5920.0)</f>
        <v>5920</v>
      </c>
      <c r="D637" s="1">
        <f>IFERROR(__xludf.DUMMYFUNCTION("""COMPUTED_VALUE"""),5640.0)</f>
        <v>5640</v>
      </c>
      <c r="E637" s="1">
        <f>IFERROR(__xludf.DUMMYFUNCTION("""COMPUTED_VALUE"""),5750.0)</f>
        <v>5750</v>
      </c>
      <c r="F637" s="1">
        <f>IFERROR(__xludf.DUMMYFUNCTION("""COMPUTED_VALUE"""),84498.0)</f>
        <v>84498</v>
      </c>
    </row>
    <row r="638">
      <c r="A638" s="2">
        <f>IFERROR(__xludf.DUMMYFUNCTION("""COMPUTED_VALUE"""),42124.64583333333)</f>
        <v>42124.64583</v>
      </c>
      <c r="B638" s="1">
        <f>IFERROR(__xludf.DUMMYFUNCTION("""COMPUTED_VALUE"""),5750.0)</f>
        <v>5750</v>
      </c>
      <c r="C638" s="1">
        <f>IFERROR(__xludf.DUMMYFUNCTION("""COMPUTED_VALUE"""),5900.0)</f>
        <v>5900</v>
      </c>
      <c r="D638" s="1">
        <f>IFERROR(__xludf.DUMMYFUNCTION("""COMPUTED_VALUE"""),5660.0)</f>
        <v>5660</v>
      </c>
      <c r="E638" s="1">
        <f>IFERROR(__xludf.DUMMYFUNCTION("""COMPUTED_VALUE"""),5660.0)</f>
        <v>5660</v>
      </c>
      <c r="F638" s="1">
        <f>IFERROR(__xludf.DUMMYFUNCTION("""COMPUTED_VALUE"""),109036.0)</f>
        <v>109036</v>
      </c>
    </row>
    <row r="639">
      <c r="A639" s="2">
        <f>IFERROR(__xludf.DUMMYFUNCTION("""COMPUTED_VALUE"""),42128.64583333333)</f>
        <v>42128.64583</v>
      </c>
      <c r="B639" s="1">
        <f>IFERROR(__xludf.DUMMYFUNCTION("""COMPUTED_VALUE"""),5660.0)</f>
        <v>5660</v>
      </c>
      <c r="C639" s="1">
        <f>IFERROR(__xludf.DUMMYFUNCTION("""COMPUTED_VALUE"""),5700.0)</f>
        <v>5700</v>
      </c>
      <c r="D639" s="1">
        <f>IFERROR(__xludf.DUMMYFUNCTION("""COMPUTED_VALUE"""),5560.0)</f>
        <v>5560</v>
      </c>
      <c r="E639" s="1">
        <f>IFERROR(__xludf.DUMMYFUNCTION("""COMPUTED_VALUE"""),5590.0)</f>
        <v>5590</v>
      </c>
      <c r="F639" s="1">
        <f>IFERROR(__xludf.DUMMYFUNCTION("""COMPUTED_VALUE"""),53026.0)</f>
        <v>53026</v>
      </c>
    </row>
    <row r="640">
      <c r="A640" s="2">
        <f>IFERROR(__xludf.DUMMYFUNCTION("""COMPUTED_VALUE"""),42130.64583333333)</f>
        <v>42130.64583</v>
      </c>
      <c r="B640" s="1">
        <f>IFERROR(__xludf.DUMMYFUNCTION("""COMPUTED_VALUE"""),5580.0)</f>
        <v>5580</v>
      </c>
      <c r="C640" s="1">
        <f>IFERROR(__xludf.DUMMYFUNCTION("""COMPUTED_VALUE"""),5580.0)</f>
        <v>5580</v>
      </c>
      <c r="D640" s="1">
        <f>IFERROR(__xludf.DUMMYFUNCTION("""COMPUTED_VALUE"""),5300.0)</f>
        <v>5300</v>
      </c>
      <c r="E640" s="1">
        <f>IFERROR(__xludf.DUMMYFUNCTION("""COMPUTED_VALUE"""),5310.0)</f>
        <v>5310</v>
      </c>
      <c r="F640" s="1">
        <f>IFERROR(__xludf.DUMMYFUNCTION("""COMPUTED_VALUE"""),98257.0)</f>
        <v>98257</v>
      </c>
    </row>
    <row r="641">
      <c r="A641" s="2">
        <f>IFERROR(__xludf.DUMMYFUNCTION("""COMPUTED_VALUE"""),42131.64583333333)</f>
        <v>42131.64583</v>
      </c>
      <c r="B641" s="1">
        <f>IFERROR(__xludf.DUMMYFUNCTION("""COMPUTED_VALUE"""),5370.0)</f>
        <v>5370</v>
      </c>
      <c r="C641" s="1">
        <f>IFERROR(__xludf.DUMMYFUNCTION("""COMPUTED_VALUE"""),5500.0)</f>
        <v>5500</v>
      </c>
      <c r="D641" s="1">
        <f>IFERROR(__xludf.DUMMYFUNCTION("""COMPUTED_VALUE"""),5300.0)</f>
        <v>5300</v>
      </c>
      <c r="E641" s="1">
        <f>IFERROR(__xludf.DUMMYFUNCTION("""COMPUTED_VALUE"""),5460.0)</f>
        <v>5460</v>
      </c>
      <c r="F641" s="1">
        <f>IFERROR(__xludf.DUMMYFUNCTION("""COMPUTED_VALUE"""),69131.0)</f>
        <v>69131</v>
      </c>
    </row>
    <row r="642">
      <c r="A642" s="2">
        <f>IFERROR(__xludf.DUMMYFUNCTION("""COMPUTED_VALUE"""),42132.64583333333)</f>
        <v>42132.64583</v>
      </c>
      <c r="B642" s="1">
        <f>IFERROR(__xludf.DUMMYFUNCTION("""COMPUTED_VALUE"""),5380.0)</f>
        <v>5380</v>
      </c>
      <c r="C642" s="1">
        <f>IFERROR(__xludf.DUMMYFUNCTION("""COMPUTED_VALUE"""),5590.0)</f>
        <v>5590</v>
      </c>
      <c r="D642" s="1">
        <f>IFERROR(__xludf.DUMMYFUNCTION("""COMPUTED_VALUE"""),5380.0)</f>
        <v>5380</v>
      </c>
      <c r="E642" s="1">
        <f>IFERROR(__xludf.DUMMYFUNCTION("""COMPUTED_VALUE"""),5450.0)</f>
        <v>5450</v>
      </c>
      <c r="F642" s="1">
        <f>IFERROR(__xludf.DUMMYFUNCTION("""COMPUTED_VALUE"""),47539.0)</f>
        <v>47539</v>
      </c>
    </row>
    <row r="643">
      <c r="A643" s="2">
        <f>IFERROR(__xludf.DUMMYFUNCTION("""COMPUTED_VALUE"""),42135.64583333333)</f>
        <v>42135.64583</v>
      </c>
      <c r="B643" s="1">
        <f>IFERROR(__xludf.DUMMYFUNCTION("""COMPUTED_VALUE"""),5450.0)</f>
        <v>5450</v>
      </c>
      <c r="C643" s="1">
        <f>IFERROR(__xludf.DUMMYFUNCTION("""COMPUTED_VALUE"""),5570.0)</f>
        <v>5570</v>
      </c>
      <c r="D643" s="1">
        <f>IFERROR(__xludf.DUMMYFUNCTION("""COMPUTED_VALUE"""),5370.0)</f>
        <v>5370</v>
      </c>
      <c r="E643" s="1">
        <f>IFERROR(__xludf.DUMMYFUNCTION("""COMPUTED_VALUE"""),5370.0)</f>
        <v>5370</v>
      </c>
      <c r="F643" s="1">
        <f>IFERROR(__xludf.DUMMYFUNCTION("""COMPUTED_VALUE"""),111576.0)</f>
        <v>111576</v>
      </c>
    </row>
    <row r="644">
      <c r="A644" s="2">
        <f>IFERROR(__xludf.DUMMYFUNCTION("""COMPUTED_VALUE"""),42136.64583333333)</f>
        <v>42136.64583</v>
      </c>
      <c r="B644" s="1">
        <f>IFERROR(__xludf.DUMMYFUNCTION("""COMPUTED_VALUE"""),5380.0)</f>
        <v>5380</v>
      </c>
      <c r="C644" s="1">
        <f>IFERROR(__xludf.DUMMYFUNCTION("""COMPUTED_VALUE"""),5470.0)</f>
        <v>5470</v>
      </c>
      <c r="D644" s="1">
        <f>IFERROR(__xludf.DUMMYFUNCTION("""COMPUTED_VALUE"""),5330.0)</f>
        <v>5330</v>
      </c>
      <c r="E644" s="1">
        <f>IFERROR(__xludf.DUMMYFUNCTION("""COMPUTED_VALUE"""),5400.0)</f>
        <v>5400</v>
      </c>
      <c r="F644" s="1">
        <f>IFERROR(__xludf.DUMMYFUNCTION("""COMPUTED_VALUE"""),38574.0)</f>
        <v>38574</v>
      </c>
    </row>
    <row r="645">
      <c r="A645" s="2">
        <f>IFERROR(__xludf.DUMMYFUNCTION("""COMPUTED_VALUE"""),42137.64583333333)</f>
        <v>42137.64583</v>
      </c>
      <c r="B645" s="1">
        <f>IFERROR(__xludf.DUMMYFUNCTION("""COMPUTED_VALUE"""),5450.0)</f>
        <v>5450</v>
      </c>
      <c r="C645" s="1">
        <f>IFERROR(__xludf.DUMMYFUNCTION("""COMPUTED_VALUE"""),5450.0)</f>
        <v>5450</v>
      </c>
      <c r="D645" s="1">
        <f>IFERROR(__xludf.DUMMYFUNCTION("""COMPUTED_VALUE"""),5280.0)</f>
        <v>5280</v>
      </c>
      <c r="E645" s="1">
        <f>IFERROR(__xludf.DUMMYFUNCTION("""COMPUTED_VALUE"""),5320.0)</f>
        <v>5320</v>
      </c>
      <c r="F645" s="1">
        <f>IFERROR(__xludf.DUMMYFUNCTION("""COMPUTED_VALUE"""),43986.0)</f>
        <v>43986</v>
      </c>
    </row>
    <row r="646">
      <c r="A646" s="2">
        <f>IFERROR(__xludf.DUMMYFUNCTION("""COMPUTED_VALUE"""),42138.64583333333)</f>
        <v>42138.64583</v>
      </c>
      <c r="B646" s="1">
        <f>IFERROR(__xludf.DUMMYFUNCTION("""COMPUTED_VALUE"""),5460.0)</f>
        <v>5460</v>
      </c>
      <c r="C646" s="1">
        <f>IFERROR(__xludf.DUMMYFUNCTION("""COMPUTED_VALUE"""),5460.0)</f>
        <v>5460</v>
      </c>
      <c r="D646" s="1">
        <f>IFERROR(__xludf.DUMMYFUNCTION("""COMPUTED_VALUE"""),5250.0)</f>
        <v>5250</v>
      </c>
      <c r="E646" s="1">
        <f>IFERROR(__xludf.DUMMYFUNCTION("""COMPUTED_VALUE"""),5340.0)</f>
        <v>5340</v>
      </c>
      <c r="F646" s="1">
        <f>IFERROR(__xludf.DUMMYFUNCTION("""COMPUTED_VALUE"""),28559.0)</f>
        <v>28559</v>
      </c>
    </row>
    <row r="647">
      <c r="A647" s="2">
        <f>IFERROR(__xludf.DUMMYFUNCTION("""COMPUTED_VALUE"""),42139.64583333333)</f>
        <v>42139.64583</v>
      </c>
      <c r="B647" s="1">
        <f>IFERROR(__xludf.DUMMYFUNCTION("""COMPUTED_VALUE"""),5360.0)</f>
        <v>5360</v>
      </c>
      <c r="C647" s="1">
        <f>IFERROR(__xludf.DUMMYFUNCTION("""COMPUTED_VALUE"""),5550.0)</f>
        <v>5550</v>
      </c>
      <c r="D647" s="1">
        <f>IFERROR(__xludf.DUMMYFUNCTION("""COMPUTED_VALUE"""),5330.0)</f>
        <v>5330</v>
      </c>
      <c r="E647" s="1">
        <f>IFERROR(__xludf.DUMMYFUNCTION("""COMPUTED_VALUE"""),5350.0)</f>
        <v>5350</v>
      </c>
      <c r="F647" s="1">
        <f>IFERROR(__xludf.DUMMYFUNCTION("""COMPUTED_VALUE"""),45568.0)</f>
        <v>45568</v>
      </c>
    </row>
    <row r="648">
      <c r="A648" s="2">
        <f>IFERROR(__xludf.DUMMYFUNCTION("""COMPUTED_VALUE"""),42142.64583333333)</f>
        <v>42142.64583</v>
      </c>
      <c r="B648" s="1">
        <f>IFERROR(__xludf.DUMMYFUNCTION("""COMPUTED_VALUE"""),5360.0)</f>
        <v>5360</v>
      </c>
      <c r="C648" s="1">
        <f>IFERROR(__xludf.DUMMYFUNCTION("""COMPUTED_VALUE"""),5370.0)</f>
        <v>5370</v>
      </c>
      <c r="D648" s="1">
        <f>IFERROR(__xludf.DUMMYFUNCTION("""COMPUTED_VALUE"""),5100.0)</f>
        <v>5100</v>
      </c>
      <c r="E648" s="1">
        <f>IFERROR(__xludf.DUMMYFUNCTION("""COMPUTED_VALUE"""),5340.0)</f>
        <v>5340</v>
      </c>
      <c r="F648" s="1">
        <f>IFERROR(__xludf.DUMMYFUNCTION("""COMPUTED_VALUE"""),93322.0)</f>
        <v>93322</v>
      </c>
    </row>
    <row r="649">
      <c r="A649" s="2">
        <f>IFERROR(__xludf.DUMMYFUNCTION("""COMPUTED_VALUE"""),42143.64583333333)</f>
        <v>42143.64583</v>
      </c>
      <c r="B649" s="1">
        <f>IFERROR(__xludf.DUMMYFUNCTION("""COMPUTED_VALUE"""),5250.0)</f>
        <v>5250</v>
      </c>
      <c r="C649" s="1">
        <f>IFERROR(__xludf.DUMMYFUNCTION("""COMPUTED_VALUE"""),5310.0)</f>
        <v>5310</v>
      </c>
      <c r="D649" s="1">
        <f>IFERROR(__xludf.DUMMYFUNCTION("""COMPUTED_VALUE"""),5180.0)</f>
        <v>5180</v>
      </c>
      <c r="E649" s="1">
        <f>IFERROR(__xludf.DUMMYFUNCTION("""COMPUTED_VALUE"""),5220.0)</f>
        <v>5220</v>
      </c>
      <c r="F649" s="1">
        <f>IFERROR(__xludf.DUMMYFUNCTION("""COMPUTED_VALUE"""),38278.0)</f>
        <v>38278</v>
      </c>
    </row>
    <row r="650">
      <c r="A650" s="2">
        <f>IFERROR(__xludf.DUMMYFUNCTION("""COMPUTED_VALUE"""),42144.64583333333)</f>
        <v>42144.64583</v>
      </c>
      <c r="B650" s="1">
        <f>IFERROR(__xludf.DUMMYFUNCTION("""COMPUTED_VALUE"""),5220.0)</f>
        <v>5220</v>
      </c>
      <c r="C650" s="1">
        <f>IFERROR(__xludf.DUMMYFUNCTION("""COMPUTED_VALUE"""),5300.0)</f>
        <v>5300</v>
      </c>
      <c r="D650" s="1">
        <f>IFERROR(__xludf.DUMMYFUNCTION("""COMPUTED_VALUE"""),5200.0)</f>
        <v>5200</v>
      </c>
      <c r="E650" s="1">
        <f>IFERROR(__xludf.DUMMYFUNCTION("""COMPUTED_VALUE"""),5300.0)</f>
        <v>5300</v>
      </c>
      <c r="F650" s="1">
        <f>IFERROR(__xludf.DUMMYFUNCTION("""COMPUTED_VALUE"""),32476.0)</f>
        <v>32476</v>
      </c>
    </row>
    <row r="651">
      <c r="A651" s="2">
        <f>IFERROR(__xludf.DUMMYFUNCTION("""COMPUTED_VALUE"""),42145.64583333333)</f>
        <v>42145.64583</v>
      </c>
      <c r="B651" s="1">
        <f>IFERROR(__xludf.DUMMYFUNCTION("""COMPUTED_VALUE"""),5340.0)</f>
        <v>5340</v>
      </c>
      <c r="C651" s="1">
        <f>IFERROR(__xludf.DUMMYFUNCTION("""COMPUTED_VALUE"""),5560.0)</f>
        <v>5560</v>
      </c>
      <c r="D651" s="1">
        <f>IFERROR(__xludf.DUMMYFUNCTION("""COMPUTED_VALUE"""),5270.0)</f>
        <v>5270</v>
      </c>
      <c r="E651" s="1">
        <f>IFERROR(__xludf.DUMMYFUNCTION("""COMPUTED_VALUE"""),5320.0)</f>
        <v>5320</v>
      </c>
      <c r="F651" s="1">
        <f>IFERROR(__xludf.DUMMYFUNCTION("""COMPUTED_VALUE"""),64693.0)</f>
        <v>64693</v>
      </c>
    </row>
    <row r="652">
      <c r="A652" s="2">
        <f>IFERROR(__xludf.DUMMYFUNCTION("""COMPUTED_VALUE"""),42146.64583333333)</f>
        <v>42146.64583</v>
      </c>
      <c r="B652" s="1">
        <f>IFERROR(__xludf.DUMMYFUNCTION("""COMPUTED_VALUE"""),5400.0)</f>
        <v>5400</v>
      </c>
      <c r="C652" s="1">
        <f>IFERROR(__xludf.DUMMYFUNCTION("""COMPUTED_VALUE"""),5400.0)</f>
        <v>5400</v>
      </c>
      <c r="D652" s="1">
        <f>IFERROR(__xludf.DUMMYFUNCTION("""COMPUTED_VALUE"""),5220.0)</f>
        <v>5220</v>
      </c>
      <c r="E652" s="1">
        <f>IFERROR(__xludf.DUMMYFUNCTION("""COMPUTED_VALUE"""),5330.0)</f>
        <v>5330</v>
      </c>
      <c r="F652" s="1">
        <f>IFERROR(__xludf.DUMMYFUNCTION("""COMPUTED_VALUE"""),60655.0)</f>
        <v>60655</v>
      </c>
    </row>
    <row r="653">
      <c r="A653" s="2">
        <f>IFERROR(__xludf.DUMMYFUNCTION("""COMPUTED_VALUE"""),42150.64583333333)</f>
        <v>42150.64583</v>
      </c>
      <c r="B653" s="1">
        <f>IFERROR(__xludf.DUMMYFUNCTION("""COMPUTED_VALUE"""),5330.0)</f>
        <v>5330</v>
      </c>
      <c r="C653" s="1">
        <f>IFERROR(__xludf.DUMMYFUNCTION("""COMPUTED_VALUE"""),5330.0)</f>
        <v>5330</v>
      </c>
      <c r="D653" s="1">
        <f>IFERROR(__xludf.DUMMYFUNCTION("""COMPUTED_VALUE"""),5160.0)</f>
        <v>5160</v>
      </c>
      <c r="E653" s="1">
        <f>IFERROR(__xludf.DUMMYFUNCTION("""COMPUTED_VALUE"""),5200.0)</f>
        <v>5200</v>
      </c>
      <c r="F653" s="1">
        <f>IFERROR(__xludf.DUMMYFUNCTION("""COMPUTED_VALUE"""),50542.0)</f>
        <v>50542</v>
      </c>
    </row>
    <row r="654">
      <c r="A654" s="2">
        <f>IFERROR(__xludf.DUMMYFUNCTION("""COMPUTED_VALUE"""),42151.64583333333)</f>
        <v>42151.64583</v>
      </c>
      <c r="B654" s="1">
        <f>IFERROR(__xludf.DUMMYFUNCTION("""COMPUTED_VALUE"""),5110.0)</f>
        <v>5110</v>
      </c>
      <c r="C654" s="1">
        <f>IFERROR(__xludf.DUMMYFUNCTION("""COMPUTED_VALUE"""),5220.0)</f>
        <v>5220</v>
      </c>
      <c r="D654" s="1">
        <f>IFERROR(__xludf.DUMMYFUNCTION("""COMPUTED_VALUE"""),4940.0)</f>
        <v>4940</v>
      </c>
      <c r="E654" s="1">
        <f>IFERROR(__xludf.DUMMYFUNCTION("""COMPUTED_VALUE"""),4985.0)</f>
        <v>4985</v>
      </c>
      <c r="F654" s="1">
        <f>IFERROR(__xludf.DUMMYFUNCTION("""COMPUTED_VALUE"""),90115.0)</f>
        <v>90115</v>
      </c>
    </row>
    <row r="655">
      <c r="A655" s="2">
        <f>IFERROR(__xludf.DUMMYFUNCTION("""COMPUTED_VALUE"""),42152.64583333333)</f>
        <v>42152.64583</v>
      </c>
      <c r="B655" s="1">
        <f>IFERROR(__xludf.DUMMYFUNCTION("""COMPUTED_VALUE"""),5170.0)</f>
        <v>5170</v>
      </c>
      <c r="C655" s="1">
        <f>IFERROR(__xludf.DUMMYFUNCTION("""COMPUTED_VALUE"""),5170.0)</f>
        <v>5170</v>
      </c>
      <c r="D655" s="1">
        <f>IFERROR(__xludf.DUMMYFUNCTION("""COMPUTED_VALUE"""),4755.0)</f>
        <v>4755</v>
      </c>
      <c r="E655" s="1">
        <f>IFERROR(__xludf.DUMMYFUNCTION("""COMPUTED_VALUE"""),5000.0)</f>
        <v>5000</v>
      </c>
      <c r="F655" s="1">
        <f>IFERROR(__xludf.DUMMYFUNCTION("""COMPUTED_VALUE"""),39121.0)</f>
        <v>39121</v>
      </c>
    </row>
    <row r="656">
      <c r="A656" s="2">
        <f>IFERROR(__xludf.DUMMYFUNCTION("""COMPUTED_VALUE"""),42153.64583333333)</f>
        <v>42153.64583</v>
      </c>
      <c r="B656" s="1">
        <f>IFERROR(__xludf.DUMMYFUNCTION("""COMPUTED_VALUE"""),4910.0)</f>
        <v>4910</v>
      </c>
      <c r="C656" s="1">
        <f>IFERROR(__xludf.DUMMYFUNCTION("""COMPUTED_VALUE"""),5010.0)</f>
        <v>5010</v>
      </c>
      <c r="D656" s="1">
        <f>IFERROR(__xludf.DUMMYFUNCTION("""COMPUTED_VALUE"""),4865.0)</f>
        <v>4865</v>
      </c>
      <c r="E656" s="1">
        <f>IFERROR(__xludf.DUMMYFUNCTION("""COMPUTED_VALUE"""),4920.0)</f>
        <v>4920</v>
      </c>
      <c r="F656" s="1">
        <f>IFERROR(__xludf.DUMMYFUNCTION("""COMPUTED_VALUE"""),57768.0)</f>
        <v>57768</v>
      </c>
    </row>
    <row r="657">
      <c r="A657" s="2">
        <f>IFERROR(__xludf.DUMMYFUNCTION("""COMPUTED_VALUE"""),42156.64583333333)</f>
        <v>42156.64583</v>
      </c>
      <c r="B657" s="1">
        <f>IFERROR(__xludf.DUMMYFUNCTION("""COMPUTED_VALUE"""),4720.0)</f>
        <v>4720</v>
      </c>
      <c r="C657" s="1">
        <f>IFERROR(__xludf.DUMMYFUNCTION("""COMPUTED_VALUE"""),4885.0)</f>
        <v>4885</v>
      </c>
      <c r="D657" s="1">
        <f>IFERROR(__xludf.DUMMYFUNCTION("""COMPUTED_VALUE"""),4680.0)</f>
        <v>4680</v>
      </c>
      <c r="E657" s="1">
        <f>IFERROR(__xludf.DUMMYFUNCTION("""COMPUTED_VALUE"""),4775.0)</f>
        <v>4775</v>
      </c>
      <c r="F657" s="1">
        <f>IFERROR(__xludf.DUMMYFUNCTION("""COMPUTED_VALUE"""),97102.0)</f>
        <v>97102</v>
      </c>
    </row>
    <row r="658">
      <c r="A658" s="2">
        <f>IFERROR(__xludf.DUMMYFUNCTION("""COMPUTED_VALUE"""),42157.64583333333)</f>
        <v>42157.64583</v>
      </c>
      <c r="B658" s="1">
        <f>IFERROR(__xludf.DUMMYFUNCTION("""COMPUTED_VALUE"""),4745.0)</f>
        <v>4745</v>
      </c>
      <c r="C658" s="1">
        <f>IFERROR(__xludf.DUMMYFUNCTION("""COMPUTED_VALUE"""),5230.0)</f>
        <v>5230</v>
      </c>
      <c r="D658" s="1">
        <f>IFERROR(__xludf.DUMMYFUNCTION("""COMPUTED_VALUE"""),4635.0)</f>
        <v>4635</v>
      </c>
      <c r="E658" s="1">
        <f>IFERROR(__xludf.DUMMYFUNCTION("""COMPUTED_VALUE"""),5230.0)</f>
        <v>5230</v>
      </c>
      <c r="F658" s="1">
        <f>IFERROR(__xludf.DUMMYFUNCTION("""COMPUTED_VALUE"""),114133.0)</f>
        <v>114133</v>
      </c>
    </row>
    <row r="659">
      <c r="A659" s="2">
        <f>IFERROR(__xludf.DUMMYFUNCTION("""COMPUTED_VALUE"""),42158.64583333333)</f>
        <v>42158.64583</v>
      </c>
      <c r="B659" s="1">
        <f>IFERROR(__xludf.DUMMYFUNCTION("""COMPUTED_VALUE"""),5770.0)</f>
        <v>5770</v>
      </c>
      <c r="C659" s="1">
        <f>IFERROR(__xludf.DUMMYFUNCTION("""COMPUTED_VALUE"""),5800.0)</f>
        <v>5800</v>
      </c>
      <c r="D659" s="1">
        <f>IFERROR(__xludf.DUMMYFUNCTION("""COMPUTED_VALUE"""),5050.0)</f>
        <v>5050</v>
      </c>
      <c r="E659" s="1">
        <f>IFERROR(__xludf.DUMMYFUNCTION("""COMPUTED_VALUE"""),5140.0)</f>
        <v>5140</v>
      </c>
      <c r="F659" s="1">
        <f>IFERROR(__xludf.DUMMYFUNCTION("""COMPUTED_VALUE"""),148832.0)</f>
        <v>148832</v>
      </c>
    </row>
    <row r="660">
      <c r="A660" s="2">
        <f>IFERROR(__xludf.DUMMYFUNCTION("""COMPUTED_VALUE"""),42159.64583333333)</f>
        <v>42159.64583</v>
      </c>
      <c r="B660" s="1">
        <f>IFERROR(__xludf.DUMMYFUNCTION("""COMPUTED_VALUE"""),4975.0)</f>
        <v>4975</v>
      </c>
      <c r="C660" s="1">
        <f>IFERROR(__xludf.DUMMYFUNCTION("""COMPUTED_VALUE"""),5280.0)</f>
        <v>5280</v>
      </c>
      <c r="D660" s="1">
        <f>IFERROR(__xludf.DUMMYFUNCTION("""COMPUTED_VALUE"""),4975.0)</f>
        <v>4975</v>
      </c>
      <c r="E660" s="1">
        <f>IFERROR(__xludf.DUMMYFUNCTION("""COMPUTED_VALUE"""),5050.0)</f>
        <v>5050</v>
      </c>
      <c r="F660" s="1">
        <f>IFERROR(__xludf.DUMMYFUNCTION("""COMPUTED_VALUE"""),36037.0)</f>
        <v>36037</v>
      </c>
    </row>
    <row r="661">
      <c r="A661" s="2">
        <f>IFERROR(__xludf.DUMMYFUNCTION("""COMPUTED_VALUE"""),42160.64583333333)</f>
        <v>42160.64583</v>
      </c>
      <c r="B661" s="1">
        <f>IFERROR(__xludf.DUMMYFUNCTION("""COMPUTED_VALUE"""),5270.0)</f>
        <v>5270</v>
      </c>
      <c r="C661" s="1">
        <f>IFERROR(__xludf.DUMMYFUNCTION("""COMPUTED_VALUE"""),5270.0)</f>
        <v>5270</v>
      </c>
      <c r="D661" s="1">
        <f>IFERROR(__xludf.DUMMYFUNCTION("""COMPUTED_VALUE"""),4840.0)</f>
        <v>4840</v>
      </c>
      <c r="E661" s="1">
        <f>IFERROR(__xludf.DUMMYFUNCTION("""COMPUTED_VALUE"""),4935.0)</f>
        <v>4935</v>
      </c>
      <c r="F661" s="1">
        <f>IFERROR(__xludf.DUMMYFUNCTION("""COMPUTED_VALUE"""),40901.0)</f>
        <v>40901</v>
      </c>
    </row>
    <row r="662">
      <c r="A662" s="2">
        <f>IFERROR(__xludf.DUMMYFUNCTION("""COMPUTED_VALUE"""),42163.64583333333)</f>
        <v>42163.64583</v>
      </c>
      <c r="B662" s="1">
        <f>IFERROR(__xludf.DUMMYFUNCTION("""COMPUTED_VALUE"""),5030.0)</f>
        <v>5030</v>
      </c>
      <c r="C662" s="1">
        <f>IFERROR(__xludf.DUMMYFUNCTION("""COMPUTED_VALUE"""),5030.0)</f>
        <v>5030</v>
      </c>
      <c r="D662" s="1">
        <f>IFERROR(__xludf.DUMMYFUNCTION("""COMPUTED_VALUE"""),4830.0)</f>
        <v>4830</v>
      </c>
      <c r="E662" s="1">
        <f>IFERROR(__xludf.DUMMYFUNCTION("""COMPUTED_VALUE"""),4830.0)</f>
        <v>4830</v>
      </c>
      <c r="F662" s="1">
        <f>IFERROR(__xludf.DUMMYFUNCTION("""COMPUTED_VALUE"""),35946.0)</f>
        <v>35946</v>
      </c>
    </row>
    <row r="663">
      <c r="A663" s="2">
        <f>IFERROR(__xludf.DUMMYFUNCTION("""COMPUTED_VALUE"""),42164.64583333333)</f>
        <v>42164.64583</v>
      </c>
      <c r="B663" s="1">
        <f>IFERROR(__xludf.DUMMYFUNCTION("""COMPUTED_VALUE"""),4965.0)</f>
        <v>4965</v>
      </c>
      <c r="C663" s="1">
        <f>IFERROR(__xludf.DUMMYFUNCTION("""COMPUTED_VALUE"""),4990.0)</f>
        <v>4990</v>
      </c>
      <c r="D663" s="1">
        <f>IFERROR(__xludf.DUMMYFUNCTION("""COMPUTED_VALUE"""),4800.0)</f>
        <v>4800</v>
      </c>
      <c r="E663" s="1">
        <f>IFERROR(__xludf.DUMMYFUNCTION("""COMPUTED_VALUE"""),4845.0)</f>
        <v>4845</v>
      </c>
      <c r="F663" s="1">
        <f>IFERROR(__xludf.DUMMYFUNCTION("""COMPUTED_VALUE"""),34041.0)</f>
        <v>34041</v>
      </c>
    </row>
    <row r="664">
      <c r="A664" s="2">
        <f>IFERROR(__xludf.DUMMYFUNCTION("""COMPUTED_VALUE"""),42165.64583333333)</f>
        <v>42165.64583</v>
      </c>
      <c r="B664" s="1">
        <f>IFERROR(__xludf.DUMMYFUNCTION("""COMPUTED_VALUE"""),4940.0)</f>
        <v>4940</v>
      </c>
      <c r="C664" s="1">
        <f>IFERROR(__xludf.DUMMYFUNCTION("""COMPUTED_VALUE"""),4940.0)</f>
        <v>4940</v>
      </c>
      <c r="D664" s="1">
        <f>IFERROR(__xludf.DUMMYFUNCTION("""COMPUTED_VALUE"""),4515.0)</f>
        <v>4515</v>
      </c>
      <c r="E664" s="1">
        <f>IFERROR(__xludf.DUMMYFUNCTION("""COMPUTED_VALUE"""),4720.0)</f>
        <v>4720</v>
      </c>
      <c r="F664" s="1">
        <f>IFERROR(__xludf.DUMMYFUNCTION("""COMPUTED_VALUE"""),37247.0)</f>
        <v>37247</v>
      </c>
    </row>
    <row r="665">
      <c r="A665" s="2">
        <f>IFERROR(__xludf.DUMMYFUNCTION("""COMPUTED_VALUE"""),42166.64583333333)</f>
        <v>42166.64583</v>
      </c>
      <c r="B665" s="1">
        <f>IFERROR(__xludf.DUMMYFUNCTION("""COMPUTED_VALUE"""),5000.0)</f>
        <v>5000</v>
      </c>
      <c r="C665" s="1">
        <f>IFERROR(__xludf.DUMMYFUNCTION("""COMPUTED_VALUE"""),5000.0)</f>
        <v>5000</v>
      </c>
      <c r="D665" s="1">
        <f>IFERROR(__xludf.DUMMYFUNCTION("""COMPUTED_VALUE"""),4720.0)</f>
        <v>4720</v>
      </c>
      <c r="E665" s="1">
        <f>IFERROR(__xludf.DUMMYFUNCTION("""COMPUTED_VALUE"""),4770.0)</f>
        <v>4770</v>
      </c>
      <c r="F665" s="1">
        <f>IFERROR(__xludf.DUMMYFUNCTION("""COMPUTED_VALUE"""),19158.0)</f>
        <v>19158</v>
      </c>
    </row>
    <row r="666">
      <c r="A666" s="2">
        <f>IFERROR(__xludf.DUMMYFUNCTION("""COMPUTED_VALUE"""),42167.64583333333)</f>
        <v>42167.64583</v>
      </c>
      <c r="B666" s="1">
        <f>IFERROR(__xludf.DUMMYFUNCTION("""COMPUTED_VALUE"""),4880.0)</f>
        <v>4880</v>
      </c>
      <c r="C666" s="1">
        <f>IFERROR(__xludf.DUMMYFUNCTION("""COMPUTED_VALUE"""),4880.0)</f>
        <v>4880</v>
      </c>
      <c r="D666" s="1">
        <f>IFERROR(__xludf.DUMMYFUNCTION("""COMPUTED_VALUE"""),4615.0)</f>
        <v>4615</v>
      </c>
      <c r="E666" s="1">
        <f>IFERROR(__xludf.DUMMYFUNCTION("""COMPUTED_VALUE"""),4800.0)</f>
        <v>4800</v>
      </c>
      <c r="F666" s="1">
        <f>IFERROR(__xludf.DUMMYFUNCTION("""COMPUTED_VALUE"""),61683.0)</f>
        <v>61683</v>
      </c>
    </row>
    <row r="667">
      <c r="A667" s="2">
        <f>IFERROR(__xludf.DUMMYFUNCTION("""COMPUTED_VALUE"""),42170.64583333333)</f>
        <v>42170.64583</v>
      </c>
      <c r="B667" s="1">
        <f>IFERROR(__xludf.DUMMYFUNCTION("""COMPUTED_VALUE"""),4890.0)</f>
        <v>4890</v>
      </c>
      <c r="C667" s="1">
        <f>IFERROR(__xludf.DUMMYFUNCTION("""COMPUTED_VALUE"""),4890.0)</f>
        <v>4890</v>
      </c>
      <c r="D667" s="1">
        <f>IFERROR(__xludf.DUMMYFUNCTION("""COMPUTED_VALUE"""),4675.0)</f>
        <v>4675</v>
      </c>
      <c r="E667" s="1">
        <f>IFERROR(__xludf.DUMMYFUNCTION("""COMPUTED_VALUE"""),4700.0)</f>
        <v>4700</v>
      </c>
      <c r="F667" s="1">
        <f>IFERROR(__xludf.DUMMYFUNCTION("""COMPUTED_VALUE"""),25142.0)</f>
        <v>25142</v>
      </c>
    </row>
    <row r="668">
      <c r="A668" s="2">
        <f>IFERROR(__xludf.DUMMYFUNCTION("""COMPUTED_VALUE"""),42171.64583333333)</f>
        <v>42171.64583</v>
      </c>
      <c r="B668" s="1">
        <f>IFERROR(__xludf.DUMMYFUNCTION("""COMPUTED_VALUE"""),4700.0)</f>
        <v>4700</v>
      </c>
      <c r="C668" s="1">
        <f>IFERROR(__xludf.DUMMYFUNCTION("""COMPUTED_VALUE"""),4905.0)</f>
        <v>4905</v>
      </c>
      <c r="D668" s="1">
        <f>IFERROR(__xludf.DUMMYFUNCTION("""COMPUTED_VALUE"""),4635.0)</f>
        <v>4635</v>
      </c>
      <c r="E668" s="1">
        <f>IFERROR(__xludf.DUMMYFUNCTION("""COMPUTED_VALUE"""),4905.0)</f>
        <v>4905</v>
      </c>
      <c r="F668" s="1">
        <f>IFERROR(__xludf.DUMMYFUNCTION("""COMPUTED_VALUE"""),38543.0)</f>
        <v>38543</v>
      </c>
    </row>
    <row r="669">
      <c r="A669" s="2">
        <f>IFERROR(__xludf.DUMMYFUNCTION("""COMPUTED_VALUE"""),42172.64583333333)</f>
        <v>42172.64583</v>
      </c>
      <c r="B669" s="1">
        <f>IFERROR(__xludf.DUMMYFUNCTION("""COMPUTED_VALUE"""),4910.0)</f>
        <v>4910</v>
      </c>
      <c r="C669" s="1">
        <f>IFERROR(__xludf.DUMMYFUNCTION("""COMPUTED_VALUE"""),4950.0)</f>
        <v>4950</v>
      </c>
      <c r="D669" s="1">
        <f>IFERROR(__xludf.DUMMYFUNCTION("""COMPUTED_VALUE"""),4785.0)</f>
        <v>4785</v>
      </c>
      <c r="E669" s="1">
        <f>IFERROR(__xludf.DUMMYFUNCTION("""COMPUTED_VALUE"""),4800.0)</f>
        <v>4800</v>
      </c>
      <c r="F669" s="1">
        <f>IFERROR(__xludf.DUMMYFUNCTION("""COMPUTED_VALUE"""),21716.0)</f>
        <v>21716</v>
      </c>
    </row>
    <row r="670">
      <c r="A670" s="2">
        <f>IFERROR(__xludf.DUMMYFUNCTION("""COMPUTED_VALUE"""),42173.64583333333)</f>
        <v>42173.64583</v>
      </c>
      <c r="B670" s="1">
        <f>IFERROR(__xludf.DUMMYFUNCTION("""COMPUTED_VALUE"""),4760.0)</f>
        <v>4760</v>
      </c>
      <c r="C670" s="1">
        <f>IFERROR(__xludf.DUMMYFUNCTION("""COMPUTED_VALUE"""),4845.0)</f>
        <v>4845</v>
      </c>
      <c r="D670" s="1">
        <f>IFERROR(__xludf.DUMMYFUNCTION("""COMPUTED_VALUE"""),4760.0)</f>
        <v>4760</v>
      </c>
      <c r="E670" s="1">
        <f>IFERROR(__xludf.DUMMYFUNCTION("""COMPUTED_VALUE"""),4800.0)</f>
        <v>4800</v>
      </c>
      <c r="F670" s="1">
        <f>IFERROR(__xludf.DUMMYFUNCTION("""COMPUTED_VALUE"""),24352.0)</f>
        <v>24352</v>
      </c>
    </row>
    <row r="671">
      <c r="A671" s="2">
        <f>IFERROR(__xludf.DUMMYFUNCTION("""COMPUTED_VALUE"""),42174.64583333333)</f>
        <v>42174.64583</v>
      </c>
      <c r="B671" s="1">
        <f>IFERROR(__xludf.DUMMYFUNCTION("""COMPUTED_VALUE"""),4770.0)</f>
        <v>4770</v>
      </c>
      <c r="C671" s="1">
        <f>IFERROR(__xludf.DUMMYFUNCTION("""COMPUTED_VALUE"""),5150.0)</f>
        <v>5150</v>
      </c>
      <c r="D671" s="1">
        <f>IFERROR(__xludf.DUMMYFUNCTION("""COMPUTED_VALUE"""),4750.0)</f>
        <v>4750</v>
      </c>
      <c r="E671" s="1">
        <f>IFERROR(__xludf.DUMMYFUNCTION("""COMPUTED_VALUE"""),5090.0)</f>
        <v>5090</v>
      </c>
      <c r="F671" s="1">
        <f>IFERROR(__xludf.DUMMYFUNCTION("""COMPUTED_VALUE"""),51873.0)</f>
        <v>51873</v>
      </c>
    </row>
    <row r="672">
      <c r="A672" s="2">
        <f>IFERROR(__xludf.DUMMYFUNCTION("""COMPUTED_VALUE"""),42177.64583333333)</f>
        <v>42177.64583</v>
      </c>
      <c r="B672" s="1">
        <f>IFERROR(__xludf.DUMMYFUNCTION("""COMPUTED_VALUE"""),5080.0)</f>
        <v>5080</v>
      </c>
      <c r="C672" s="1">
        <f>IFERROR(__xludf.DUMMYFUNCTION("""COMPUTED_VALUE"""),5250.0)</f>
        <v>5250</v>
      </c>
      <c r="D672" s="1">
        <f>IFERROR(__xludf.DUMMYFUNCTION("""COMPUTED_VALUE"""),4965.0)</f>
        <v>4965</v>
      </c>
      <c r="E672" s="1">
        <f>IFERROR(__xludf.DUMMYFUNCTION("""COMPUTED_VALUE"""),5190.0)</f>
        <v>5190</v>
      </c>
      <c r="F672" s="1">
        <f>IFERROR(__xludf.DUMMYFUNCTION("""COMPUTED_VALUE"""),58894.0)</f>
        <v>58894</v>
      </c>
    </row>
    <row r="673">
      <c r="A673" s="2">
        <f>IFERROR(__xludf.DUMMYFUNCTION("""COMPUTED_VALUE"""),42178.64583333333)</f>
        <v>42178.64583</v>
      </c>
      <c r="B673" s="1">
        <f>IFERROR(__xludf.DUMMYFUNCTION("""COMPUTED_VALUE"""),5190.0)</f>
        <v>5190</v>
      </c>
      <c r="C673" s="1">
        <f>IFERROR(__xludf.DUMMYFUNCTION("""COMPUTED_VALUE"""),5260.0)</f>
        <v>5260</v>
      </c>
      <c r="D673" s="1">
        <f>IFERROR(__xludf.DUMMYFUNCTION("""COMPUTED_VALUE"""),4995.0)</f>
        <v>4995</v>
      </c>
      <c r="E673" s="1">
        <f>IFERROR(__xludf.DUMMYFUNCTION("""COMPUTED_VALUE"""),5250.0)</f>
        <v>5250</v>
      </c>
      <c r="F673" s="1">
        <f>IFERROR(__xludf.DUMMYFUNCTION("""COMPUTED_VALUE"""),68749.0)</f>
        <v>68749</v>
      </c>
    </row>
    <row r="674">
      <c r="A674" s="2">
        <f>IFERROR(__xludf.DUMMYFUNCTION("""COMPUTED_VALUE"""),42179.64583333333)</f>
        <v>42179.64583</v>
      </c>
      <c r="B674" s="1">
        <f>IFERROR(__xludf.DUMMYFUNCTION("""COMPUTED_VALUE"""),5210.0)</f>
        <v>5210</v>
      </c>
      <c r="C674" s="1">
        <f>IFERROR(__xludf.DUMMYFUNCTION("""COMPUTED_VALUE"""),5340.0)</f>
        <v>5340</v>
      </c>
      <c r="D674" s="1">
        <f>IFERROR(__xludf.DUMMYFUNCTION("""COMPUTED_VALUE"""),5000.0)</f>
        <v>5000</v>
      </c>
      <c r="E674" s="1">
        <f>IFERROR(__xludf.DUMMYFUNCTION("""COMPUTED_VALUE"""),5260.0)</f>
        <v>5260</v>
      </c>
      <c r="F674" s="1">
        <f>IFERROR(__xludf.DUMMYFUNCTION("""COMPUTED_VALUE"""),91837.0)</f>
        <v>91837</v>
      </c>
    </row>
    <row r="675">
      <c r="A675" s="2">
        <f>IFERROR(__xludf.DUMMYFUNCTION("""COMPUTED_VALUE"""),42180.64583333333)</f>
        <v>42180.64583</v>
      </c>
      <c r="B675" s="1">
        <f>IFERROR(__xludf.DUMMYFUNCTION("""COMPUTED_VALUE"""),5180.0)</f>
        <v>5180</v>
      </c>
      <c r="C675" s="1">
        <f>IFERROR(__xludf.DUMMYFUNCTION("""COMPUTED_VALUE"""),5300.0)</f>
        <v>5300</v>
      </c>
      <c r="D675" s="1">
        <f>IFERROR(__xludf.DUMMYFUNCTION("""COMPUTED_VALUE"""),5080.0)</f>
        <v>5080</v>
      </c>
      <c r="E675" s="1">
        <f>IFERROR(__xludf.DUMMYFUNCTION("""COMPUTED_VALUE"""),5190.0)</f>
        <v>5190</v>
      </c>
      <c r="F675" s="1">
        <f>IFERROR(__xludf.DUMMYFUNCTION("""COMPUTED_VALUE"""),22368.0)</f>
        <v>22368</v>
      </c>
    </row>
    <row r="676">
      <c r="A676" s="2">
        <f>IFERROR(__xludf.DUMMYFUNCTION("""COMPUTED_VALUE"""),42181.64583333333)</f>
        <v>42181.64583</v>
      </c>
      <c r="B676" s="1">
        <f>IFERROR(__xludf.DUMMYFUNCTION("""COMPUTED_VALUE"""),5190.0)</f>
        <v>5190</v>
      </c>
      <c r="C676" s="1">
        <f>IFERROR(__xludf.DUMMYFUNCTION("""COMPUTED_VALUE"""),5190.0)</f>
        <v>5190</v>
      </c>
      <c r="D676" s="1">
        <f>IFERROR(__xludf.DUMMYFUNCTION("""COMPUTED_VALUE"""),4995.0)</f>
        <v>4995</v>
      </c>
      <c r="E676" s="1">
        <f>IFERROR(__xludf.DUMMYFUNCTION("""COMPUTED_VALUE"""),5000.0)</f>
        <v>5000</v>
      </c>
      <c r="F676" s="1">
        <f>IFERROR(__xludf.DUMMYFUNCTION("""COMPUTED_VALUE"""),36187.0)</f>
        <v>36187</v>
      </c>
    </row>
    <row r="677">
      <c r="A677" s="2">
        <f>IFERROR(__xludf.DUMMYFUNCTION("""COMPUTED_VALUE"""),42184.64583333333)</f>
        <v>42184.64583</v>
      </c>
      <c r="B677" s="1">
        <f>IFERROR(__xludf.DUMMYFUNCTION("""COMPUTED_VALUE"""),5050.0)</f>
        <v>5050</v>
      </c>
      <c r="C677" s="1">
        <f>IFERROR(__xludf.DUMMYFUNCTION("""COMPUTED_VALUE"""),5050.0)</f>
        <v>5050</v>
      </c>
      <c r="D677" s="1">
        <f>IFERROR(__xludf.DUMMYFUNCTION("""COMPUTED_VALUE"""),4810.0)</f>
        <v>4810</v>
      </c>
      <c r="E677" s="1">
        <f>IFERROR(__xludf.DUMMYFUNCTION("""COMPUTED_VALUE"""),4820.0)</f>
        <v>4820</v>
      </c>
      <c r="F677" s="1">
        <f>IFERROR(__xludf.DUMMYFUNCTION("""COMPUTED_VALUE"""),49388.0)</f>
        <v>49388</v>
      </c>
    </row>
    <row r="678">
      <c r="A678" s="2">
        <f>IFERROR(__xludf.DUMMYFUNCTION("""COMPUTED_VALUE"""),42185.64583333333)</f>
        <v>42185.64583</v>
      </c>
      <c r="B678" s="1">
        <f>IFERROR(__xludf.DUMMYFUNCTION("""COMPUTED_VALUE"""),4880.0)</f>
        <v>4880</v>
      </c>
      <c r="C678" s="1">
        <f>IFERROR(__xludf.DUMMYFUNCTION("""COMPUTED_VALUE"""),5000.0)</f>
        <v>5000</v>
      </c>
      <c r="D678" s="1">
        <f>IFERROR(__xludf.DUMMYFUNCTION("""COMPUTED_VALUE"""),4745.0)</f>
        <v>4745</v>
      </c>
      <c r="E678" s="1">
        <f>IFERROR(__xludf.DUMMYFUNCTION("""COMPUTED_VALUE"""),4900.0)</f>
        <v>4900</v>
      </c>
      <c r="F678" s="1">
        <f>IFERROR(__xludf.DUMMYFUNCTION("""COMPUTED_VALUE"""),69007.0)</f>
        <v>69007</v>
      </c>
    </row>
    <row r="679">
      <c r="A679" s="2">
        <f>IFERROR(__xludf.DUMMYFUNCTION("""COMPUTED_VALUE"""),42186.64583333333)</f>
        <v>42186.64583</v>
      </c>
      <c r="B679" s="1">
        <f>IFERROR(__xludf.DUMMYFUNCTION("""COMPUTED_VALUE"""),4890.0)</f>
        <v>4890</v>
      </c>
      <c r="C679" s="1">
        <f>IFERROR(__xludf.DUMMYFUNCTION("""COMPUTED_VALUE"""),5050.0)</f>
        <v>5050</v>
      </c>
      <c r="D679" s="1">
        <f>IFERROR(__xludf.DUMMYFUNCTION("""COMPUTED_VALUE"""),4755.0)</f>
        <v>4755</v>
      </c>
      <c r="E679" s="1">
        <f>IFERROR(__xludf.DUMMYFUNCTION("""COMPUTED_VALUE"""),5010.0)</f>
        <v>5010</v>
      </c>
      <c r="F679" s="1">
        <f>IFERROR(__xludf.DUMMYFUNCTION("""COMPUTED_VALUE"""),77316.0)</f>
        <v>77316</v>
      </c>
    </row>
    <row r="680">
      <c r="A680" s="2">
        <f>IFERROR(__xludf.DUMMYFUNCTION("""COMPUTED_VALUE"""),42187.64583333333)</f>
        <v>42187.64583</v>
      </c>
      <c r="B680" s="1">
        <f>IFERROR(__xludf.DUMMYFUNCTION("""COMPUTED_VALUE"""),5000.0)</f>
        <v>5000</v>
      </c>
      <c r="C680" s="1">
        <f>IFERROR(__xludf.DUMMYFUNCTION("""COMPUTED_VALUE"""),5120.0)</f>
        <v>5120</v>
      </c>
      <c r="D680" s="1">
        <f>IFERROR(__xludf.DUMMYFUNCTION("""COMPUTED_VALUE"""),4870.0)</f>
        <v>4870</v>
      </c>
      <c r="E680" s="1">
        <f>IFERROR(__xludf.DUMMYFUNCTION("""COMPUTED_VALUE"""),5000.0)</f>
        <v>5000</v>
      </c>
      <c r="F680" s="1">
        <f>IFERROR(__xludf.DUMMYFUNCTION("""COMPUTED_VALUE"""),55525.0)</f>
        <v>55525</v>
      </c>
    </row>
    <row r="681">
      <c r="A681" s="2">
        <f>IFERROR(__xludf.DUMMYFUNCTION("""COMPUTED_VALUE"""),42188.64583333333)</f>
        <v>42188.64583</v>
      </c>
      <c r="B681" s="1">
        <f>IFERROR(__xludf.DUMMYFUNCTION("""COMPUTED_VALUE"""),5010.0)</f>
        <v>5010</v>
      </c>
      <c r="C681" s="1">
        <f>IFERROR(__xludf.DUMMYFUNCTION("""COMPUTED_VALUE"""),5100.0)</f>
        <v>5100</v>
      </c>
      <c r="D681" s="1">
        <f>IFERROR(__xludf.DUMMYFUNCTION("""COMPUTED_VALUE"""),4865.0)</f>
        <v>4865</v>
      </c>
      <c r="E681" s="1">
        <f>IFERROR(__xludf.DUMMYFUNCTION("""COMPUTED_VALUE"""),4950.0)</f>
        <v>4950</v>
      </c>
      <c r="F681" s="1">
        <f>IFERROR(__xludf.DUMMYFUNCTION("""COMPUTED_VALUE"""),91671.0)</f>
        <v>91671</v>
      </c>
    </row>
    <row r="682">
      <c r="A682" s="2">
        <f>IFERROR(__xludf.DUMMYFUNCTION("""COMPUTED_VALUE"""),42191.64583333333)</f>
        <v>42191.64583</v>
      </c>
      <c r="B682" s="1">
        <f>IFERROR(__xludf.DUMMYFUNCTION("""COMPUTED_VALUE"""),4885.0)</f>
        <v>4885</v>
      </c>
      <c r="C682" s="1">
        <f>IFERROR(__xludf.DUMMYFUNCTION("""COMPUTED_VALUE"""),5780.0)</f>
        <v>5780</v>
      </c>
      <c r="D682" s="1">
        <f>IFERROR(__xludf.DUMMYFUNCTION("""COMPUTED_VALUE"""),4885.0)</f>
        <v>4885</v>
      </c>
      <c r="E682" s="1">
        <f>IFERROR(__xludf.DUMMYFUNCTION("""COMPUTED_VALUE"""),5700.0)</f>
        <v>5700</v>
      </c>
      <c r="F682" s="1">
        <f>IFERROR(__xludf.DUMMYFUNCTION("""COMPUTED_VALUE"""),378475.0)</f>
        <v>378475</v>
      </c>
    </row>
    <row r="683">
      <c r="A683" s="2">
        <f>IFERROR(__xludf.DUMMYFUNCTION("""COMPUTED_VALUE"""),42192.64583333333)</f>
        <v>42192.64583</v>
      </c>
      <c r="B683" s="1">
        <f>IFERROR(__xludf.DUMMYFUNCTION("""COMPUTED_VALUE"""),5750.0)</f>
        <v>5750</v>
      </c>
      <c r="C683" s="1">
        <f>IFERROR(__xludf.DUMMYFUNCTION("""COMPUTED_VALUE"""),6050.0)</f>
        <v>6050</v>
      </c>
      <c r="D683" s="1">
        <f>IFERROR(__xludf.DUMMYFUNCTION("""COMPUTED_VALUE"""),5200.0)</f>
        <v>5200</v>
      </c>
      <c r="E683" s="1">
        <f>IFERROR(__xludf.DUMMYFUNCTION("""COMPUTED_VALUE"""),5470.0)</f>
        <v>5470</v>
      </c>
      <c r="F683" s="1">
        <f>IFERROR(__xludf.DUMMYFUNCTION("""COMPUTED_VALUE"""),363769.0)</f>
        <v>363769</v>
      </c>
    </row>
    <row r="684">
      <c r="A684" s="2">
        <f>IFERROR(__xludf.DUMMYFUNCTION("""COMPUTED_VALUE"""),42193.64583333333)</f>
        <v>42193.64583</v>
      </c>
      <c r="B684" s="1">
        <f>IFERROR(__xludf.DUMMYFUNCTION("""COMPUTED_VALUE"""),5420.0)</f>
        <v>5420</v>
      </c>
      <c r="C684" s="1">
        <f>IFERROR(__xludf.DUMMYFUNCTION("""COMPUTED_VALUE"""),5570.0)</f>
        <v>5570</v>
      </c>
      <c r="D684" s="1">
        <f>IFERROR(__xludf.DUMMYFUNCTION("""COMPUTED_VALUE"""),5100.0)</f>
        <v>5100</v>
      </c>
      <c r="E684" s="1">
        <f>IFERROR(__xludf.DUMMYFUNCTION("""COMPUTED_VALUE"""),5300.0)</f>
        <v>5300</v>
      </c>
      <c r="F684" s="1">
        <f>IFERROR(__xludf.DUMMYFUNCTION("""COMPUTED_VALUE"""),126133.0)</f>
        <v>126133</v>
      </c>
    </row>
    <row r="685">
      <c r="A685" s="2">
        <f>IFERROR(__xludf.DUMMYFUNCTION("""COMPUTED_VALUE"""),42194.64583333333)</f>
        <v>42194.64583</v>
      </c>
      <c r="B685" s="1">
        <f>IFERROR(__xludf.DUMMYFUNCTION("""COMPUTED_VALUE"""),5200.0)</f>
        <v>5200</v>
      </c>
      <c r="C685" s="1">
        <f>IFERROR(__xludf.DUMMYFUNCTION("""COMPUTED_VALUE"""),5530.0)</f>
        <v>5530</v>
      </c>
      <c r="D685" s="1">
        <f>IFERROR(__xludf.DUMMYFUNCTION("""COMPUTED_VALUE"""),5060.0)</f>
        <v>5060</v>
      </c>
      <c r="E685" s="1">
        <f>IFERROR(__xludf.DUMMYFUNCTION("""COMPUTED_VALUE"""),5400.0)</f>
        <v>5400</v>
      </c>
      <c r="F685" s="1">
        <f>IFERROR(__xludf.DUMMYFUNCTION("""COMPUTED_VALUE"""),117426.0)</f>
        <v>117426</v>
      </c>
    </row>
    <row r="686">
      <c r="A686" s="2">
        <f>IFERROR(__xludf.DUMMYFUNCTION("""COMPUTED_VALUE"""),42195.64583333333)</f>
        <v>42195.64583</v>
      </c>
      <c r="B686" s="1">
        <f>IFERROR(__xludf.DUMMYFUNCTION("""COMPUTED_VALUE"""),5700.0)</f>
        <v>5700</v>
      </c>
      <c r="C686" s="1">
        <f>IFERROR(__xludf.DUMMYFUNCTION("""COMPUTED_VALUE"""),5790.0)</f>
        <v>5790</v>
      </c>
      <c r="D686" s="1">
        <f>IFERROR(__xludf.DUMMYFUNCTION("""COMPUTED_VALUE"""),5270.0)</f>
        <v>5270</v>
      </c>
      <c r="E686" s="1">
        <f>IFERROR(__xludf.DUMMYFUNCTION("""COMPUTED_VALUE"""),5750.0)</f>
        <v>5750</v>
      </c>
      <c r="F686" s="1">
        <f>IFERROR(__xludf.DUMMYFUNCTION("""COMPUTED_VALUE"""),140645.0)</f>
        <v>140645</v>
      </c>
    </row>
    <row r="687">
      <c r="A687" s="2">
        <f>IFERROR(__xludf.DUMMYFUNCTION("""COMPUTED_VALUE"""),42198.64583333333)</f>
        <v>42198.64583</v>
      </c>
      <c r="B687" s="1">
        <f>IFERROR(__xludf.DUMMYFUNCTION("""COMPUTED_VALUE"""),5750.0)</f>
        <v>5750</v>
      </c>
      <c r="C687" s="1">
        <f>IFERROR(__xludf.DUMMYFUNCTION("""COMPUTED_VALUE"""),5950.0)</f>
        <v>5950</v>
      </c>
      <c r="D687" s="1">
        <f>IFERROR(__xludf.DUMMYFUNCTION("""COMPUTED_VALUE"""),5520.0)</f>
        <v>5520</v>
      </c>
      <c r="E687" s="1">
        <f>IFERROR(__xludf.DUMMYFUNCTION("""COMPUTED_VALUE"""),5700.0)</f>
        <v>5700</v>
      </c>
      <c r="F687" s="1">
        <f>IFERROR(__xludf.DUMMYFUNCTION("""COMPUTED_VALUE"""),140030.0)</f>
        <v>140030</v>
      </c>
    </row>
    <row r="688">
      <c r="A688" s="2">
        <f>IFERROR(__xludf.DUMMYFUNCTION("""COMPUTED_VALUE"""),42199.64583333333)</f>
        <v>42199.64583</v>
      </c>
      <c r="B688" s="1">
        <f>IFERROR(__xludf.DUMMYFUNCTION("""COMPUTED_VALUE"""),5710.0)</f>
        <v>5710</v>
      </c>
      <c r="C688" s="1">
        <f>IFERROR(__xludf.DUMMYFUNCTION("""COMPUTED_VALUE"""),5780.0)</f>
        <v>5780</v>
      </c>
      <c r="D688" s="1">
        <f>IFERROR(__xludf.DUMMYFUNCTION("""COMPUTED_VALUE"""),5440.0)</f>
        <v>5440</v>
      </c>
      <c r="E688" s="1">
        <f>IFERROR(__xludf.DUMMYFUNCTION("""COMPUTED_VALUE"""),5600.0)</f>
        <v>5600</v>
      </c>
      <c r="F688" s="1">
        <f>IFERROR(__xludf.DUMMYFUNCTION("""COMPUTED_VALUE"""),92290.0)</f>
        <v>92290</v>
      </c>
    </row>
    <row r="689">
      <c r="A689" s="2">
        <f>IFERROR(__xludf.DUMMYFUNCTION("""COMPUTED_VALUE"""),42200.64583333333)</f>
        <v>42200.64583</v>
      </c>
      <c r="B689" s="1">
        <f>IFERROR(__xludf.DUMMYFUNCTION("""COMPUTED_VALUE"""),5600.0)</f>
        <v>5600</v>
      </c>
      <c r="C689" s="1">
        <f>IFERROR(__xludf.DUMMYFUNCTION("""COMPUTED_VALUE"""),5600.0)</f>
        <v>5600</v>
      </c>
      <c r="D689" s="1">
        <f>IFERROR(__xludf.DUMMYFUNCTION("""COMPUTED_VALUE"""),5320.0)</f>
        <v>5320</v>
      </c>
      <c r="E689" s="1">
        <f>IFERROR(__xludf.DUMMYFUNCTION("""COMPUTED_VALUE"""),5460.0)</f>
        <v>5460</v>
      </c>
      <c r="F689" s="1">
        <f>IFERROR(__xludf.DUMMYFUNCTION("""COMPUTED_VALUE"""),85738.0)</f>
        <v>85738</v>
      </c>
    </row>
    <row r="690">
      <c r="A690" s="2">
        <f>IFERROR(__xludf.DUMMYFUNCTION("""COMPUTED_VALUE"""),42201.64583333333)</f>
        <v>42201.64583</v>
      </c>
      <c r="B690" s="1">
        <f>IFERROR(__xludf.DUMMYFUNCTION("""COMPUTED_VALUE"""),5570.0)</f>
        <v>5570</v>
      </c>
      <c r="C690" s="1">
        <f>IFERROR(__xludf.DUMMYFUNCTION("""COMPUTED_VALUE"""),5570.0)</f>
        <v>5570</v>
      </c>
      <c r="D690" s="1">
        <f>IFERROR(__xludf.DUMMYFUNCTION("""COMPUTED_VALUE"""),5350.0)</f>
        <v>5350</v>
      </c>
      <c r="E690" s="1">
        <f>IFERROR(__xludf.DUMMYFUNCTION("""COMPUTED_VALUE"""),5370.0)</f>
        <v>5370</v>
      </c>
      <c r="F690" s="1">
        <f>IFERROR(__xludf.DUMMYFUNCTION("""COMPUTED_VALUE"""),46926.0)</f>
        <v>46926</v>
      </c>
    </row>
    <row r="691">
      <c r="A691" s="2">
        <f>IFERROR(__xludf.DUMMYFUNCTION("""COMPUTED_VALUE"""),42202.64583333333)</f>
        <v>42202.64583</v>
      </c>
      <c r="B691" s="1">
        <f>IFERROR(__xludf.DUMMYFUNCTION("""COMPUTED_VALUE"""),5370.0)</f>
        <v>5370</v>
      </c>
      <c r="C691" s="1">
        <f>IFERROR(__xludf.DUMMYFUNCTION("""COMPUTED_VALUE"""),5430.0)</f>
        <v>5430</v>
      </c>
      <c r="D691" s="1">
        <f>IFERROR(__xludf.DUMMYFUNCTION("""COMPUTED_VALUE"""),5280.0)</f>
        <v>5280</v>
      </c>
      <c r="E691" s="1">
        <f>IFERROR(__xludf.DUMMYFUNCTION("""COMPUTED_VALUE"""),5320.0)</f>
        <v>5320</v>
      </c>
      <c r="F691" s="1">
        <f>IFERROR(__xludf.DUMMYFUNCTION("""COMPUTED_VALUE"""),98971.0)</f>
        <v>98971</v>
      </c>
    </row>
    <row r="692">
      <c r="A692" s="2">
        <f>IFERROR(__xludf.DUMMYFUNCTION("""COMPUTED_VALUE"""),42205.64583333333)</f>
        <v>42205.64583</v>
      </c>
      <c r="B692" s="1">
        <f>IFERROR(__xludf.DUMMYFUNCTION("""COMPUTED_VALUE"""),5280.0)</f>
        <v>5280</v>
      </c>
      <c r="C692" s="1">
        <f>IFERROR(__xludf.DUMMYFUNCTION("""COMPUTED_VALUE"""),5510.0)</f>
        <v>5510</v>
      </c>
      <c r="D692" s="1">
        <f>IFERROR(__xludf.DUMMYFUNCTION("""COMPUTED_VALUE"""),5240.0)</f>
        <v>5240</v>
      </c>
      <c r="E692" s="1">
        <f>IFERROR(__xludf.DUMMYFUNCTION("""COMPUTED_VALUE"""),5460.0)</f>
        <v>5460</v>
      </c>
      <c r="F692" s="1">
        <f>IFERROR(__xludf.DUMMYFUNCTION("""COMPUTED_VALUE"""),61953.0)</f>
        <v>61953</v>
      </c>
    </row>
    <row r="693">
      <c r="A693" s="2">
        <f>IFERROR(__xludf.DUMMYFUNCTION("""COMPUTED_VALUE"""),42206.64583333333)</f>
        <v>42206.64583</v>
      </c>
      <c r="B693" s="1">
        <f>IFERROR(__xludf.DUMMYFUNCTION("""COMPUTED_VALUE"""),5440.0)</f>
        <v>5440</v>
      </c>
      <c r="C693" s="1">
        <f>IFERROR(__xludf.DUMMYFUNCTION("""COMPUTED_VALUE"""),5460.0)</f>
        <v>5460</v>
      </c>
      <c r="D693" s="1">
        <f>IFERROR(__xludf.DUMMYFUNCTION("""COMPUTED_VALUE"""),5190.0)</f>
        <v>5190</v>
      </c>
      <c r="E693" s="1">
        <f>IFERROR(__xludf.DUMMYFUNCTION("""COMPUTED_VALUE"""),5270.0)</f>
        <v>5270</v>
      </c>
      <c r="F693" s="1">
        <f>IFERROR(__xludf.DUMMYFUNCTION("""COMPUTED_VALUE"""),127202.0)</f>
        <v>127202</v>
      </c>
    </row>
    <row r="694">
      <c r="A694" s="2">
        <f>IFERROR(__xludf.DUMMYFUNCTION("""COMPUTED_VALUE"""),42207.64583333333)</f>
        <v>42207.64583</v>
      </c>
      <c r="B694" s="1">
        <f>IFERROR(__xludf.DUMMYFUNCTION("""COMPUTED_VALUE"""),5270.0)</f>
        <v>5270</v>
      </c>
      <c r="C694" s="1">
        <f>IFERROR(__xludf.DUMMYFUNCTION("""COMPUTED_VALUE"""),5300.0)</f>
        <v>5300</v>
      </c>
      <c r="D694" s="1">
        <f>IFERROR(__xludf.DUMMYFUNCTION("""COMPUTED_VALUE"""),5100.0)</f>
        <v>5100</v>
      </c>
      <c r="E694" s="1">
        <f>IFERROR(__xludf.DUMMYFUNCTION("""COMPUTED_VALUE"""),5120.0)</f>
        <v>5120</v>
      </c>
      <c r="F694" s="1">
        <f>IFERROR(__xludf.DUMMYFUNCTION("""COMPUTED_VALUE"""),74334.0)</f>
        <v>74334</v>
      </c>
    </row>
    <row r="695">
      <c r="A695" s="2">
        <f>IFERROR(__xludf.DUMMYFUNCTION("""COMPUTED_VALUE"""),42208.64583333333)</f>
        <v>42208.64583</v>
      </c>
      <c r="B695" s="1">
        <f>IFERROR(__xludf.DUMMYFUNCTION("""COMPUTED_VALUE"""),5130.0)</f>
        <v>5130</v>
      </c>
      <c r="C695" s="1">
        <f>IFERROR(__xludf.DUMMYFUNCTION("""COMPUTED_VALUE"""),5200.0)</f>
        <v>5200</v>
      </c>
      <c r="D695" s="1">
        <f>IFERROR(__xludf.DUMMYFUNCTION("""COMPUTED_VALUE"""),5000.0)</f>
        <v>5000</v>
      </c>
      <c r="E695" s="1">
        <f>IFERROR(__xludf.DUMMYFUNCTION("""COMPUTED_VALUE"""),5100.0)</f>
        <v>5100</v>
      </c>
      <c r="F695" s="1">
        <f>IFERROR(__xludf.DUMMYFUNCTION("""COMPUTED_VALUE"""),58350.0)</f>
        <v>58350</v>
      </c>
    </row>
    <row r="696">
      <c r="A696" s="2">
        <f>IFERROR(__xludf.DUMMYFUNCTION("""COMPUTED_VALUE"""),42209.64583333333)</f>
        <v>42209.64583</v>
      </c>
      <c r="B696" s="1">
        <f>IFERROR(__xludf.DUMMYFUNCTION("""COMPUTED_VALUE"""),5330.0)</f>
        <v>5330</v>
      </c>
      <c r="C696" s="1">
        <f>IFERROR(__xludf.DUMMYFUNCTION("""COMPUTED_VALUE"""),5330.0)</f>
        <v>5330</v>
      </c>
      <c r="D696" s="1">
        <f>IFERROR(__xludf.DUMMYFUNCTION("""COMPUTED_VALUE"""),5070.0)</f>
        <v>5070</v>
      </c>
      <c r="E696" s="1">
        <f>IFERROR(__xludf.DUMMYFUNCTION("""COMPUTED_VALUE"""),5160.0)</f>
        <v>5160</v>
      </c>
      <c r="F696" s="1">
        <f>IFERROR(__xludf.DUMMYFUNCTION("""COMPUTED_VALUE"""),34324.0)</f>
        <v>34324</v>
      </c>
    </row>
    <row r="697">
      <c r="A697" s="2">
        <f>IFERROR(__xludf.DUMMYFUNCTION("""COMPUTED_VALUE"""),42212.64583333333)</f>
        <v>42212.64583</v>
      </c>
      <c r="B697" s="1">
        <f>IFERROR(__xludf.DUMMYFUNCTION("""COMPUTED_VALUE"""),5250.0)</f>
        <v>5250</v>
      </c>
      <c r="C697" s="1">
        <f>IFERROR(__xludf.DUMMYFUNCTION("""COMPUTED_VALUE"""),5250.0)</f>
        <v>5250</v>
      </c>
      <c r="D697" s="1">
        <f>IFERROR(__xludf.DUMMYFUNCTION("""COMPUTED_VALUE"""),4885.0)</f>
        <v>4885</v>
      </c>
      <c r="E697" s="1">
        <f>IFERROR(__xludf.DUMMYFUNCTION("""COMPUTED_VALUE"""),5020.0)</f>
        <v>5020</v>
      </c>
      <c r="F697" s="1">
        <f>IFERROR(__xludf.DUMMYFUNCTION("""COMPUTED_VALUE"""),46904.0)</f>
        <v>46904</v>
      </c>
    </row>
    <row r="698">
      <c r="A698" s="2">
        <f>IFERROR(__xludf.DUMMYFUNCTION("""COMPUTED_VALUE"""),42213.64583333333)</f>
        <v>42213.64583</v>
      </c>
      <c r="B698" s="1">
        <f>IFERROR(__xludf.DUMMYFUNCTION("""COMPUTED_VALUE"""),5000.0)</f>
        <v>5000</v>
      </c>
      <c r="C698" s="1">
        <f>IFERROR(__xludf.DUMMYFUNCTION("""COMPUTED_VALUE"""),5130.0)</f>
        <v>5130</v>
      </c>
      <c r="D698" s="1">
        <f>IFERROR(__xludf.DUMMYFUNCTION("""COMPUTED_VALUE"""),4910.0)</f>
        <v>4910</v>
      </c>
      <c r="E698" s="1">
        <f>IFERROR(__xludf.DUMMYFUNCTION("""COMPUTED_VALUE"""),5070.0)</f>
        <v>5070</v>
      </c>
      <c r="F698" s="1">
        <f>IFERROR(__xludf.DUMMYFUNCTION("""COMPUTED_VALUE"""),47986.0)</f>
        <v>47986</v>
      </c>
    </row>
    <row r="699">
      <c r="A699" s="2">
        <f>IFERROR(__xludf.DUMMYFUNCTION("""COMPUTED_VALUE"""),42214.64583333333)</f>
        <v>42214.64583</v>
      </c>
      <c r="B699" s="1">
        <f>IFERROR(__xludf.DUMMYFUNCTION("""COMPUTED_VALUE"""),5190.0)</f>
        <v>5190</v>
      </c>
      <c r="C699" s="1">
        <f>IFERROR(__xludf.DUMMYFUNCTION("""COMPUTED_VALUE"""),5300.0)</f>
        <v>5300</v>
      </c>
      <c r="D699" s="1">
        <f>IFERROR(__xludf.DUMMYFUNCTION("""COMPUTED_VALUE"""),4990.0)</f>
        <v>4990</v>
      </c>
      <c r="E699" s="1">
        <f>IFERROR(__xludf.DUMMYFUNCTION("""COMPUTED_VALUE"""),5090.0)</f>
        <v>5090</v>
      </c>
      <c r="F699" s="1">
        <f>IFERROR(__xludf.DUMMYFUNCTION("""COMPUTED_VALUE"""),57194.0)</f>
        <v>57194</v>
      </c>
    </row>
    <row r="700">
      <c r="A700" s="2">
        <f>IFERROR(__xludf.DUMMYFUNCTION("""COMPUTED_VALUE"""),42215.64583333333)</f>
        <v>42215.64583</v>
      </c>
      <c r="B700" s="1">
        <f>IFERROR(__xludf.DUMMYFUNCTION("""COMPUTED_VALUE"""),5160.0)</f>
        <v>5160</v>
      </c>
      <c r="C700" s="1">
        <f>IFERROR(__xludf.DUMMYFUNCTION("""COMPUTED_VALUE"""),5160.0)</f>
        <v>5160</v>
      </c>
      <c r="D700" s="1">
        <f>IFERROR(__xludf.DUMMYFUNCTION("""COMPUTED_VALUE"""),4925.0)</f>
        <v>4925</v>
      </c>
      <c r="E700" s="1">
        <f>IFERROR(__xludf.DUMMYFUNCTION("""COMPUTED_VALUE"""),4980.0)</f>
        <v>4980</v>
      </c>
      <c r="F700" s="1">
        <f>IFERROR(__xludf.DUMMYFUNCTION("""COMPUTED_VALUE"""),34420.0)</f>
        <v>34420</v>
      </c>
    </row>
    <row r="701">
      <c r="A701" s="2">
        <f>IFERROR(__xludf.DUMMYFUNCTION("""COMPUTED_VALUE"""),42216.64583333333)</f>
        <v>42216.64583</v>
      </c>
      <c r="B701" s="1">
        <f>IFERROR(__xludf.DUMMYFUNCTION("""COMPUTED_VALUE"""),4900.0)</f>
        <v>4900</v>
      </c>
      <c r="C701" s="1">
        <f>IFERROR(__xludf.DUMMYFUNCTION("""COMPUTED_VALUE"""),5000.0)</f>
        <v>5000</v>
      </c>
      <c r="D701" s="1">
        <f>IFERROR(__xludf.DUMMYFUNCTION("""COMPUTED_VALUE"""),4900.0)</f>
        <v>4900</v>
      </c>
      <c r="E701" s="1">
        <f>IFERROR(__xludf.DUMMYFUNCTION("""COMPUTED_VALUE"""),5000.0)</f>
        <v>5000</v>
      </c>
      <c r="F701" s="1">
        <f>IFERROR(__xludf.DUMMYFUNCTION("""COMPUTED_VALUE"""),30563.0)</f>
        <v>30563</v>
      </c>
    </row>
    <row r="702">
      <c r="A702" s="2">
        <f>IFERROR(__xludf.DUMMYFUNCTION("""COMPUTED_VALUE"""),42219.64583333333)</f>
        <v>42219.64583</v>
      </c>
      <c r="B702" s="1">
        <f>IFERROR(__xludf.DUMMYFUNCTION("""COMPUTED_VALUE"""),4955.0)</f>
        <v>4955</v>
      </c>
      <c r="C702" s="1">
        <f>IFERROR(__xludf.DUMMYFUNCTION("""COMPUTED_VALUE"""),5130.0)</f>
        <v>5130</v>
      </c>
      <c r="D702" s="1">
        <f>IFERROR(__xludf.DUMMYFUNCTION("""COMPUTED_VALUE"""),4930.0)</f>
        <v>4930</v>
      </c>
      <c r="E702" s="1">
        <f>IFERROR(__xludf.DUMMYFUNCTION("""COMPUTED_VALUE"""),4950.0)</f>
        <v>4950</v>
      </c>
      <c r="F702" s="1">
        <f>IFERROR(__xludf.DUMMYFUNCTION("""COMPUTED_VALUE"""),39010.0)</f>
        <v>39010</v>
      </c>
    </row>
    <row r="703">
      <c r="A703" s="2">
        <f>IFERROR(__xludf.DUMMYFUNCTION("""COMPUTED_VALUE"""),42220.64583333333)</f>
        <v>42220.64583</v>
      </c>
      <c r="B703" s="1">
        <f>IFERROR(__xludf.DUMMYFUNCTION("""COMPUTED_VALUE"""),4895.0)</f>
        <v>4895</v>
      </c>
      <c r="C703" s="1">
        <f>IFERROR(__xludf.DUMMYFUNCTION("""COMPUTED_VALUE"""),5110.0)</f>
        <v>5110</v>
      </c>
      <c r="D703" s="1">
        <f>IFERROR(__xludf.DUMMYFUNCTION("""COMPUTED_VALUE"""),4870.0)</f>
        <v>4870</v>
      </c>
      <c r="E703" s="1">
        <f>IFERROR(__xludf.DUMMYFUNCTION("""COMPUTED_VALUE"""),4880.0)</f>
        <v>4880</v>
      </c>
      <c r="F703" s="1">
        <f>IFERROR(__xludf.DUMMYFUNCTION("""COMPUTED_VALUE"""),34715.0)</f>
        <v>34715</v>
      </c>
    </row>
    <row r="704">
      <c r="A704" s="2">
        <f>IFERROR(__xludf.DUMMYFUNCTION("""COMPUTED_VALUE"""),42221.64583333333)</f>
        <v>42221.64583</v>
      </c>
      <c r="B704" s="1">
        <f>IFERROR(__xludf.DUMMYFUNCTION("""COMPUTED_VALUE"""),5000.0)</f>
        <v>5000</v>
      </c>
      <c r="C704" s="1">
        <f>IFERROR(__xludf.DUMMYFUNCTION("""COMPUTED_VALUE"""),5000.0)</f>
        <v>5000</v>
      </c>
      <c r="D704" s="1">
        <f>IFERROR(__xludf.DUMMYFUNCTION("""COMPUTED_VALUE"""),4800.0)</f>
        <v>4800</v>
      </c>
      <c r="E704" s="1">
        <f>IFERROR(__xludf.DUMMYFUNCTION("""COMPUTED_VALUE"""),4895.0)</f>
        <v>4895</v>
      </c>
      <c r="F704" s="1">
        <f>IFERROR(__xludf.DUMMYFUNCTION("""COMPUTED_VALUE"""),43950.0)</f>
        <v>43950</v>
      </c>
    </row>
    <row r="705">
      <c r="A705" s="2">
        <f>IFERROR(__xludf.DUMMYFUNCTION("""COMPUTED_VALUE"""),42222.64583333333)</f>
        <v>42222.64583</v>
      </c>
      <c r="B705" s="1">
        <f>IFERROR(__xludf.DUMMYFUNCTION("""COMPUTED_VALUE"""),4840.0)</f>
        <v>4840</v>
      </c>
      <c r="C705" s="1">
        <f>IFERROR(__xludf.DUMMYFUNCTION("""COMPUTED_VALUE"""),5000.0)</f>
        <v>5000</v>
      </c>
      <c r="D705" s="1">
        <f>IFERROR(__xludf.DUMMYFUNCTION("""COMPUTED_VALUE"""),4840.0)</f>
        <v>4840</v>
      </c>
      <c r="E705" s="1">
        <f>IFERROR(__xludf.DUMMYFUNCTION("""COMPUTED_VALUE"""),4895.0)</f>
        <v>4895</v>
      </c>
      <c r="F705" s="1">
        <f>IFERROR(__xludf.DUMMYFUNCTION("""COMPUTED_VALUE"""),20263.0)</f>
        <v>20263</v>
      </c>
    </row>
    <row r="706">
      <c r="A706" s="2">
        <f>IFERROR(__xludf.DUMMYFUNCTION("""COMPUTED_VALUE"""),42223.64583333333)</f>
        <v>42223.64583</v>
      </c>
      <c r="B706" s="1">
        <f>IFERROR(__xludf.DUMMYFUNCTION("""COMPUTED_VALUE"""),4865.0)</f>
        <v>4865</v>
      </c>
      <c r="C706" s="1">
        <f>IFERROR(__xludf.DUMMYFUNCTION("""COMPUTED_VALUE"""),4915.0)</f>
        <v>4915</v>
      </c>
      <c r="D706" s="1">
        <f>IFERROR(__xludf.DUMMYFUNCTION("""COMPUTED_VALUE"""),4800.0)</f>
        <v>4800</v>
      </c>
      <c r="E706" s="1">
        <f>IFERROR(__xludf.DUMMYFUNCTION("""COMPUTED_VALUE"""),4820.0)</f>
        <v>4820</v>
      </c>
      <c r="F706" s="1">
        <f>IFERROR(__xludf.DUMMYFUNCTION("""COMPUTED_VALUE"""),64217.0)</f>
        <v>64217</v>
      </c>
    </row>
    <row r="707">
      <c r="A707" s="2">
        <f>IFERROR(__xludf.DUMMYFUNCTION("""COMPUTED_VALUE"""),42226.64583333333)</f>
        <v>42226.64583</v>
      </c>
      <c r="B707" s="1">
        <f>IFERROR(__xludf.DUMMYFUNCTION("""COMPUTED_VALUE"""),4820.0)</f>
        <v>4820</v>
      </c>
      <c r="C707" s="1">
        <f>IFERROR(__xludf.DUMMYFUNCTION("""COMPUTED_VALUE"""),4880.0)</f>
        <v>4880</v>
      </c>
      <c r="D707" s="1">
        <f>IFERROR(__xludf.DUMMYFUNCTION("""COMPUTED_VALUE"""),4735.0)</f>
        <v>4735</v>
      </c>
      <c r="E707" s="1">
        <f>IFERROR(__xludf.DUMMYFUNCTION("""COMPUTED_VALUE"""),4820.0)</f>
        <v>4820</v>
      </c>
      <c r="F707" s="1">
        <f>IFERROR(__xludf.DUMMYFUNCTION("""COMPUTED_VALUE"""),75963.0)</f>
        <v>75963</v>
      </c>
    </row>
    <row r="708">
      <c r="A708" s="2">
        <f>IFERROR(__xludf.DUMMYFUNCTION("""COMPUTED_VALUE"""),42227.64583333333)</f>
        <v>42227.64583</v>
      </c>
      <c r="B708" s="1">
        <f>IFERROR(__xludf.DUMMYFUNCTION("""COMPUTED_VALUE"""),4820.0)</f>
        <v>4820</v>
      </c>
      <c r="C708" s="1">
        <f>IFERROR(__xludf.DUMMYFUNCTION("""COMPUTED_VALUE"""),4945.0)</f>
        <v>4945</v>
      </c>
      <c r="D708" s="1">
        <f>IFERROR(__xludf.DUMMYFUNCTION("""COMPUTED_VALUE"""),4760.0)</f>
        <v>4760</v>
      </c>
      <c r="E708" s="1">
        <f>IFERROR(__xludf.DUMMYFUNCTION("""COMPUTED_VALUE"""),4770.0)</f>
        <v>4770</v>
      </c>
      <c r="F708" s="1">
        <f>IFERROR(__xludf.DUMMYFUNCTION("""COMPUTED_VALUE"""),26845.0)</f>
        <v>26845</v>
      </c>
    </row>
    <row r="709">
      <c r="A709" s="2">
        <f>IFERROR(__xludf.DUMMYFUNCTION("""COMPUTED_VALUE"""),42228.64583333333)</f>
        <v>42228.64583</v>
      </c>
      <c r="B709" s="1">
        <f>IFERROR(__xludf.DUMMYFUNCTION("""COMPUTED_VALUE"""),4765.0)</f>
        <v>4765</v>
      </c>
      <c r="C709" s="1">
        <f>IFERROR(__xludf.DUMMYFUNCTION("""COMPUTED_VALUE"""),4795.0)</f>
        <v>4795</v>
      </c>
      <c r="D709" s="1">
        <f>IFERROR(__xludf.DUMMYFUNCTION("""COMPUTED_VALUE"""),4500.0)</f>
        <v>4500</v>
      </c>
      <c r="E709" s="1">
        <f>IFERROR(__xludf.DUMMYFUNCTION("""COMPUTED_VALUE"""),4580.0)</f>
        <v>4580</v>
      </c>
      <c r="F709" s="1">
        <f>IFERROR(__xludf.DUMMYFUNCTION("""COMPUTED_VALUE"""),33923.0)</f>
        <v>33923</v>
      </c>
    </row>
    <row r="710">
      <c r="A710" s="2">
        <f>IFERROR(__xludf.DUMMYFUNCTION("""COMPUTED_VALUE"""),42229.64583333333)</f>
        <v>42229.64583</v>
      </c>
      <c r="B710" s="1">
        <f>IFERROR(__xludf.DUMMYFUNCTION("""COMPUTED_VALUE"""),4585.0)</f>
        <v>4585</v>
      </c>
      <c r="C710" s="1">
        <f>IFERROR(__xludf.DUMMYFUNCTION("""COMPUTED_VALUE"""),4980.0)</f>
        <v>4980</v>
      </c>
      <c r="D710" s="1">
        <f>IFERROR(__xludf.DUMMYFUNCTION("""COMPUTED_VALUE"""),4585.0)</f>
        <v>4585</v>
      </c>
      <c r="E710" s="1">
        <f>IFERROR(__xludf.DUMMYFUNCTION("""COMPUTED_VALUE"""),4900.0)</f>
        <v>4900</v>
      </c>
      <c r="F710" s="1">
        <f>IFERROR(__xludf.DUMMYFUNCTION("""COMPUTED_VALUE"""),41303.0)</f>
        <v>41303</v>
      </c>
    </row>
    <row r="711">
      <c r="A711" s="2">
        <f>IFERROR(__xludf.DUMMYFUNCTION("""COMPUTED_VALUE"""),42233.64583333333)</f>
        <v>42233.64583</v>
      </c>
      <c r="B711" s="1">
        <f>IFERROR(__xludf.DUMMYFUNCTION("""COMPUTED_VALUE"""),4915.0)</f>
        <v>4915</v>
      </c>
      <c r="C711" s="1">
        <f>IFERROR(__xludf.DUMMYFUNCTION("""COMPUTED_VALUE"""),4915.0)</f>
        <v>4915</v>
      </c>
      <c r="D711" s="1">
        <f>IFERROR(__xludf.DUMMYFUNCTION("""COMPUTED_VALUE"""),4700.0)</f>
        <v>4700</v>
      </c>
      <c r="E711" s="1">
        <f>IFERROR(__xludf.DUMMYFUNCTION("""COMPUTED_VALUE"""),4720.0)</f>
        <v>4720</v>
      </c>
      <c r="F711" s="1">
        <f>IFERROR(__xludf.DUMMYFUNCTION("""COMPUTED_VALUE"""),21102.0)</f>
        <v>21102</v>
      </c>
    </row>
    <row r="712">
      <c r="A712" s="2">
        <f>IFERROR(__xludf.DUMMYFUNCTION("""COMPUTED_VALUE"""),42234.64583333333)</f>
        <v>42234.64583</v>
      </c>
      <c r="B712" s="1">
        <f>IFERROR(__xludf.DUMMYFUNCTION("""COMPUTED_VALUE"""),4720.0)</f>
        <v>4720</v>
      </c>
      <c r="C712" s="1">
        <f>IFERROR(__xludf.DUMMYFUNCTION("""COMPUTED_VALUE"""),4880.0)</f>
        <v>4880</v>
      </c>
      <c r="D712" s="1">
        <f>IFERROR(__xludf.DUMMYFUNCTION("""COMPUTED_VALUE"""),4680.0)</f>
        <v>4680</v>
      </c>
      <c r="E712" s="1">
        <f>IFERROR(__xludf.DUMMYFUNCTION("""COMPUTED_VALUE"""),4700.0)</f>
        <v>4700</v>
      </c>
      <c r="F712" s="1">
        <f>IFERROR(__xludf.DUMMYFUNCTION("""COMPUTED_VALUE"""),15953.0)</f>
        <v>15953</v>
      </c>
    </row>
    <row r="713">
      <c r="A713" s="2">
        <f>IFERROR(__xludf.DUMMYFUNCTION("""COMPUTED_VALUE"""),42235.64583333333)</f>
        <v>42235.64583</v>
      </c>
      <c r="B713" s="1">
        <f>IFERROR(__xludf.DUMMYFUNCTION("""COMPUTED_VALUE"""),4750.0)</f>
        <v>4750</v>
      </c>
      <c r="C713" s="1">
        <f>IFERROR(__xludf.DUMMYFUNCTION("""COMPUTED_VALUE"""),4750.0)</f>
        <v>4750</v>
      </c>
      <c r="D713" s="1">
        <f>IFERROR(__xludf.DUMMYFUNCTION("""COMPUTED_VALUE"""),4325.0)</f>
        <v>4325</v>
      </c>
      <c r="E713" s="1">
        <f>IFERROR(__xludf.DUMMYFUNCTION("""COMPUTED_VALUE"""),4470.0)</f>
        <v>4470</v>
      </c>
      <c r="F713" s="1">
        <f>IFERROR(__xludf.DUMMYFUNCTION("""COMPUTED_VALUE"""),48563.0)</f>
        <v>48563</v>
      </c>
    </row>
    <row r="714">
      <c r="A714" s="2">
        <f>IFERROR(__xludf.DUMMYFUNCTION("""COMPUTED_VALUE"""),42236.64583333333)</f>
        <v>42236.64583</v>
      </c>
      <c r="B714" s="1">
        <f>IFERROR(__xludf.DUMMYFUNCTION("""COMPUTED_VALUE"""),4600.0)</f>
        <v>4600</v>
      </c>
      <c r="C714" s="1">
        <f>IFERROR(__xludf.DUMMYFUNCTION("""COMPUTED_VALUE"""),4600.0)</f>
        <v>4600</v>
      </c>
      <c r="D714" s="1">
        <f>IFERROR(__xludf.DUMMYFUNCTION("""COMPUTED_VALUE"""),4350.0)</f>
        <v>4350</v>
      </c>
      <c r="E714" s="1">
        <f>IFERROR(__xludf.DUMMYFUNCTION("""COMPUTED_VALUE"""),4400.0)</f>
        <v>4400</v>
      </c>
      <c r="F714" s="1">
        <f>IFERROR(__xludf.DUMMYFUNCTION("""COMPUTED_VALUE"""),28459.0)</f>
        <v>28459</v>
      </c>
    </row>
    <row r="715">
      <c r="A715" s="2">
        <f>IFERROR(__xludf.DUMMYFUNCTION("""COMPUTED_VALUE"""),42237.64583333333)</f>
        <v>42237.64583</v>
      </c>
      <c r="B715" s="1">
        <f>IFERROR(__xludf.DUMMYFUNCTION("""COMPUTED_VALUE"""),4450.0)</f>
        <v>4450</v>
      </c>
      <c r="C715" s="1">
        <f>IFERROR(__xludf.DUMMYFUNCTION("""COMPUTED_VALUE"""),4450.0)</f>
        <v>4450</v>
      </c>
      <c r="D715" s="1">
        <f>IFERROR(__xludf.DUMMYFUNCTION("""COMPUTED_VALUE"""),3850.0)</f>
        <v>3850</v>
      </c>
      <c r="E715" s="1">
        <f>IFERROR(__xludf.DUMMYFUNCTION("""COMPUTED_VALUE"""),4110.0)</f>
        <v>4110</v>
      </c>
      <c r="F715" s="1">
        <f>IFERROR(__xludf.DUMMYFUNCTION("""COMPUTED_VALUE"""),61811.0)</f>
        <v>61811</v>
      </c>
    </row>
    <row r="716">
      <c r="A716" s="2">
        <f>IFERROR(__xludf.DUMMYFUNCTION("""COMPUTED_VALUE"""),42240.64583333333)</f>
        <v>42240.64583</v>
      </c>
      <c r="B716" s="1">
        <f>IFERROR(__xludf.DUMMYFUNCTION("""COMPUTED_VALUE"""),4500.0)</f>
        <v>4500</v>
      </c>
      <c r="C716" s="1">
        <f>IFERROR(__xludf.DUMMYFUNCTION("""COMPUTED_VALUE"""),4500.0)</f>
        <v>4500</v>
      </c>
      <c r="D716" s="1">
        <f>IFERROR(__xludf.DUMMYFUNCTION("""COMPUTED_VALUE"""),4010.0)</f>
        <v>4010</v>
      </c>
      <c r="E716" s="1">
        <f>IFERROR(__xludf.DUMMYFUNCTION("""COMPUTED_VALUE"""),4140.0)</f>
        <v>4140</v>
      </c>
      <c r="F716" s="1">
        <f>IFERROR(__xludf.DUMMYFUNCTION("""COMPUTED_VALUE"""),21500.0)</f>
        <v>21500</v>
      </c>
    </row>
    <row r="717">
      <c r="A717" s="2">
        <f>IFERROR(__xludf.DUMMYFUNCTION("""COMPUTED_VALUE"""),42241.64583333333)</f>
        <v>42241.64583</v>
      </c>
      <c r="B717" s="1">
        <f>IFERROR(__xludf.DUMMYFUNCTION("""COMPUTED_VALUE"""),4050.0)</f>
        <v>4050</v>
      </c>
      <c r="C717" s="1">
        <f>IFERROR(__xludf.DUMMYFUNCTION("""COMPUTED_VALUE"""),4345.0)</f>
        <v>4345</v>
      </c>
      <c r="D717" s="1">
        <f>IFERROR(__xludf.DUMMYFUNCTION("""COMPUTED_VALUE"""),4050.0)</f>
        <v>4050</v>
      </c>
      <c r="E717" s="1">
        <f>IFERROR(__xludf.DUMMYFUNCTION("""COMPUTED_VALUE"""),4325.0)</f>
        <v>4325</v>
      </c>
      <c r="F717" s="1">
        <f>IFERROR(__xludf.DUMMYFUNCTION("""COMPUTED_VALUE"""),12317.0)</f>
        <v>12317</v>
      </c>
    </row>
    <row r="718">
      <c r="A718" s="2">
        <f>IFERROR(__xludf.DUMMYFUNCTION("""COMPUTED_VALUE"""),42242.64583333333)</f>
        <v>42242.64583</v>
      </c>
      <c r="B718" s="1">
        <f>IFERROR(__xludf.DUMMYFUNCTION("""COMPUTED_VALUE"""),4230.0)</f>
        <v>4230</v>
      </c>
      <c r="C718" s="1">
        <f>IFERROR(__xludf.DUMMYFUNCTION("""COMPUTED_VALUE"""),4400.0)</f>
        <v>4400</v>
      </c>
      <c r="D718" s="1">
        <f>IFERROR(__xludf.DUMMYFUNCTION("""COMPUTED_VALUE"""),4205.0)</f>
        <v>4205</v>
      </c>
      <c r="E718" s="1">
        <f>IFERROR(__xludf.DUMMYFUNCTION("""COMPUTED_VALUE"""),4340.0)</f>
        <v>4340</v>
      </c>
      <c r="F718" s="1">
        <f>IFERROR(__xludf.DUMMYFUNCTION("""COMPUTED_VALUE"""),17716.0)</f>
        <v>17716</v>
      </c>
    </row>
    <row r="719">
      <c r="A719" s="2">
        <f>IFERROR(__xludf.DUMMYFUNCTION("""COMPUTED_VALUE"""),42243.64583333333)</f>
        <v>42243.64583</v>
      </c>
      <c r="B719" s="1">
        <f>IFERROR(__xludf.DUMMYFUNCTION("""COMPUTED_VALUE"""),4640.0)</f>
        <v>4640</v>
      </c>
      <c r="C719" s="1">
        <f>IFERROR(__xludf.DUMMYFUNCTION("""COMPUTED_VALUE"""),4640.0)</f>
        <v>4640</v>
      </c>
      <c r="D719" s="1">
        <f>IFERROR(__xludf.DUMMYFUNCTION("""COMPUTED_VALUE"""),4215.0)</f>
        <v>4215</v>
      </c>
      <c r="E719" s="1">
        <f>IFERROR(__xludf.DUMMYFUNCTION("""COMPUTED_VALUE"""),4430.0)</f>
        <v>4430</v>
      </c>
      <c r="F719" s="1">
        <f>IFERROR(__xludf.DUMMYFUNCTION("""COMPUTED_VALUE"""),49277.0)</f>
        <v>49277</v>
      </c>
    </row>
    <row r="720">
      <c r="A720" s="2">
        <f>IFERROR(__xludf.DUMMYFUNCTION("""COMPUTED_VALUE"""),42244.64583333333)</f>
        <v>42244.64583</v>
      </c>
      <c r="B720" s="1">
        <f>IFERROR(__xludf.DUMMYFUNCTION("""COMPUTED_VALUE"""),4530.0)</f>
        <v>4530</v>
      </c>
      <c r="C720" s="1">
        <f>IFERROR(__xludf.DUMMYFUNCTION("""COMPUTED_VALUE"""),4700.0)</f>
        <v>4700</v>
      </c>
      <c r="D720" s="1">
        <f>IFERROR(__xludf.DUMMYFUNCTION("""COMPUTED_VALUE"""),4450.0)</f>
        <v>4450</v>
      </c>
      <c r="E720" s="1">
        <f>IFERROR(__xludf.DUMMYFUNCTION("""COMPUTED_VALUE"""),4560.0)</f>
        <v>4560</v>
      </c>
      <c r="F720" s="1">
        <f>IFERROR(__xludf.DUMMYFUNCTION("""COMPUTED_VALUE"""),37692.0)</f>
        <v>37692</v>
      </c>
    </row>
    <row r="721">
      <c r="A721" s="2">
        <f>IFERROR(__xludf.DUMMYFUNCTION("""COMPUTED_VALUE"""),42247.64583333333)</f>
        <v>42247.64583</v>
      </c>
      <c r="B721" s="1">
        <f>IFERROR(__xludf.DUMMYFUNCTION("""COMPUTED_VALUE"""),4740.0)</f>
        <v>4740</v>
      </c>
      <c r="C721" s="1">
        <f>IFERROR(__xludf.DUMMYFUNCTION("""COMPUTED_VALUE"""),4740.0)</f>
        <v>4740</v>
      </c>
      <c r="D721" s="1">
        <f>IFERROR(__xludf.DUMMYFUNCTION("""COMPUTED_VALUE"""),4515.0)</f>
        <v>4515</v>
      </c>
      <c r="E721" s="1">
        <f>IFERROR(__xludf.DUMMYFUNCTION("""COMPUTED_VALUE"""),4550.0)</f>
        <v>4550</v>
      </c>
      <c r="F721" s="1">
        <f>IFERROR(__xludf.DUMMYFUNCTION("""COMPUTED_VALUE"""),5128.0)</f>
        <v>5128</v>
      </c>
    </row>
    <row r="722">
      <c r="A722" s="2">
        <f>IFERROR(__xludf.DUMMYFUNCTION("""COMPUTED_VALUE"""),42248.64583333333)</f>
        <v>42248.64583</v>
      </c>
      <c r="B722" s="1">
        <f>IFERROR(__xludf.DUMMYFUNCTION("""COMPUTED_VALUE"""),4550.0)</f>
        <v>4550</v>
      </c>
      <c r="C722" s="1">
        <f>IFERROR(__xludf.DUMMYFUNCTION("""COMPUTED_VALUE"""),4715.0)</f>
        <v>4715</v>
      </c>
      <c r="D722" s="1">
        <f>IFERROR(__xludf.DUMMYFUNCTION("""COMPUTED_VALUE"""),4320.0)</f>
        <v>4320</v>
      </c>
      <c r="E722" s="1">
        <f>IFERROR(__xludf.DUMMYFUNCTION("""COMPUTED_VALUE"""),4415.0)</f>
        <v>4415</v>
      </c>
      <c r="F722" s="1">
        <f>IFERROR(__xludf.DUMMYFUNCTION("""COMPUTED_VALUE"""),14563.0)</f>
        <v>14563</v>
      </c>
    </row>
    <row r="723">
      <c r="A723" s="2">
        <f>IFERROR(__xludf.DUMMYFUNCTION("""COMPUTED_VALUE"""),42249.64583333333)</f>
        <v>42249.64583</v>
      </c>
      <c r="B723" s="1">
        <f>IFERROR(__xludf.DUMMYFUNCTION("""COMPUTED_VALUE"""),4250.0)</f>
        <v>4250</v>
      </c>
      <c r="C723" s="1">
        <f>IFERROR(__xludf.DUMMYFUNCTION("""COMPUTED_VALUE"""),4495.0)</f>
        <v>4495</v>
      </c>
      <c r="D723" s="1">
        <f>IFERROR(__xludf.DUMMYFUNCTION("""COMPUTED_VALUE"""),4240.0)</f>
        <v>4240</v>
      </c>
      <c r="E723" s="1">
        <f>IFERROR(__xludf.DUMMYFUNCTION("""COMPUTED_VALUE"""),4345.0)</f>
        <v>4345</v>
      </c>
      <c r="F723" s="1">
        <f>IFERROR(__xludf.DUMMYFUNCTION("""COMPUTED_VALUE"""),24063.0)</f>
        <v>24063</v>
      </c>
    </row>
    <row r="724">
      <c r="A724" s="2">
        <f>IFERROR(__xludf.DUMMYFUNCTION("""COMPUTED_VALUE"""),42250.64583333333)</f>
        <v>42250.64583</v>
      </c>
      <c r="B724" s="1">
        <f>IFERROR(__xludf.DUMMYFUNCTION("""COMPUTED_VALUE"""),4480.0)</f>
        <v>4480</v>
      </c>
      <c r="C724" s="1">
        <f>IFERROR(__xludf.DUMMYFUNCTION("""COMPUTED_VALUE"""),4480.0)</f>
        <v>4480</v>
      </c>
      <c r="D724" s="1">
        <f>IFERROR(__xludf.DUMMYFUNCTION("""COMPUTED_VALUE"""),4300.0)</f>
        <v>4300</v>
      </c>
      <c r="E724" s="1">
        <f>IFERROR(__xludf.DUMMYFUNCTION("""COMPUTED_VALUE"""),4345.0)</f>
        <v>4345</v>
      </c>
      <c r="F724" s="1">
        <f>IFERROR(__xludf.DUMMYFUNCTION("""COMPUTED_VALUE"""),1830.0)</f>
        <v>1830</v>
      </c>
    </row>
    <row r="725">
      <c r="A725" s="2">
        <f>IFERROR(__xludf.DUMMYFUNCTION("""COMPUTED_VALUE"""),42251.64583333333)</f>
        <v>42251.64583</v>
      </c>
      <c r="B725" s="1">
        <f>IFERROR(__xludf.DUMMYFUNCTION("""COMPUTED_VALUE"""),4345.0)</f>
        <v>4345</v>
      </c>
      <c r="C725" s="1">
        <f>IFERROR(__xludf.DUMMYFUNCTION("""COMPUTED_VALUE"""),4400.0)</f>
        <v>4400</v>
      </c>
      <c r="D725" s="1">
        <f>IFERROR(__xludf.DUMMYFUNCTION("""COMPUTED_VALUE"""),3980.0)</f>
        <v>3980</v>
      </c>
      <c r="E725" s="1">
        <f>IFERROR(__xludf.DUMMYFUNCTION("""COMPUTED_VALUE"""),3990.0)</f>
        <v>3990</v>
      </c>
      <c r="F725" s="1">
        <f>IFERROR(__xludf.DUMMYFUNCTION("""COMPUTED_VALUE"""),39360.0)</f>
        <v>39360</v>
      </c>
    </row>
    <row r="726">
      <c r="A726" s="2">
        <f>IFERROR(__xludf.DUMMYFUNCTION("""COMPUTED_VALUE"""),42254.64583333333)</f>
        <v>42254.64583</v>
      </c>
      <c r="B726" s="1">
        <f>IFERROR(__xludf.DUMMYFUNCTION("""COMPUTED_VALUE"""),3950.0)</f>
        <v>3950</v>
      </c>
      <c r="C726" s="1">
        <f>IFERROR(__xludf.DUMMYFUNCTION("""COMPUTED_VALUE"""),4095.0)</f>
        <v>4095</v>
      </c>
      <c r="D726" s="1">
        <f>IFERROR(__xludf.DUMMYFUNCTION("""COMPUTED_VALUE"""),3860.0)</f>
        <v>3860</v>
      </c>
      <c r="E726" s="1">
        <f>IFERROR(__xludf.DUMMYFUNCTION("""COMPUTED_VALUE"""),3930.0)</f>
        <v>3930</v>
      </c>
      <c r="F726" s="1">
        <f>IFERROR(__xludf.DUMMYFUNCTION("""COMPUTED_VALUE"""),30284.0)</f>
        <v>30284</v>
      </c>
    </row>
    <row r="727">
      <c r="A727" s="2">
        <f>IFERROR(__xludf.DUMMYFUNCTION("""COMPUTED_VALUE"""),42255.64583333333)</f>
        <v>42255.64583</v>
      </c>
      <c r="B727" s="1">
        <f>IFERROR(__xludf.DUMMYFUNCTION("""COMPUTED_VALUE"""),3930.0)</f>
        <v>3930</v>
      </c>
      <c r="C727" s="1">
        <f>IFERROR(__xludf.DUMMYFUNCTION("""COMPUTED_VALUE"""),4080.0)</f>
        <v>4080</v>
      </c>
      <c r="D727" s="1">
        <f>IFERROR(__xludf.DUMMYFUNCTION("""COMPUTED_VALUE"""),3900.0)</f>
        <v>3900</v>
      </c>
      <c r="E727" s="1">
        <f>IFERROR(__xludf.DUMMYFUNCTION("""COMPUTED_VALUE"""),4080.0)</f>
        <v>4080</v>
      </c>
      <c r="F727" s="1">
        <f>IFERROR(__xludf.DUMMYFUNCTION("""COMPUTED_VALUE"""),14006.0)</f>
        <v>14006</v>
      </c>
    </row>
    <row r="728">
      <c r="A728" s="2">
        <f>IFERROR(__xludf.DUMMYFUNCTION("""COMPUTED_VALUE"""),42256.64583333333)</f>
        <v>42256.64583</v>
      </c>
      <c r="B728" s="1">
        <f>IFERROR(__xludf.DUMMYFUNCTION("""COMPUTED_VALUE"""),4080.0)</f>
        <v>4080</v>
      </c>
      <c r="C728" s="1">
        <f>IFERROR(__xludf.DUMMYFUNCTION("""COMPUTED_VALUE"""),4275.0)</f>
        <v>4275</v>
      </c>
      <c r="D728" s="1">
        <f>IFERROR(__xludf.DUMMYFUNCTION("""COMPUTED_VALUE"""),4080.0)</f>
        <v>4080</v>
      </c>
      <c r="E728" s="1">
        <f>IFERROR(__xludf.DUMMYFUNCTION("""COMPUTED_VALUE"""),4130.0)</f>
        <v>4130</v>
      </c>
      <c r="F728" s="1">
        <f>IFERROR(__xludf.DUMMYFUNCTION("""COMPUTED_VALUE"""),7096.0)</f>
        <v>7096</v>
      </c>
    </row>
    <row r="729">
      <c r="A729" s="2">
        <f>IFERROR(__xludf.DUMMYFUNCTION("""COMPUTED_VALUE"""),42257.64583333333)</f>
        <v>42257.64583</v>
      </c>
      <c r="B729" s="1">
        <f>IFERROR(__xludf.DUMMYFUNCTION("""COMPUTED_VALUE"""),4185.0)</f>
        <v>4185</v>
      </c>
      <c r="C729" s="1">
        <f>IFERROR(__xludf.DUMMYFUNCTION("""COMPUTED_VALUE"""),4185.0)</f>
        <v>4185</v>
      </c>
      <c r="D729" s="1">
        <f>IFERROR(__xludf.DUMMYFUNCTION("""COMPUTED_VALUE"""),3970.0)</f>
        <v>3970</v>
      </c>
      <c r="E729" s="1">
        <f>IFERROR(__xludf.DUMMYFUNCTION("""COMPUTED_VALUE"""),4030.0)</f>
        <v>4030</v>
      </c>
      <c r="F729" s="1">
        <f>IFERROR(__xludf.DUMMYFUNCTION("""COMPUTED_VALUE"""),7981.0)</f>
        <v>7981</v>
      </c>
    </row>
    <row r="730">
      <c r="A730" s="2">
        <f>IFERROR(__xludf.DUMMYFUNCTION("""COMPUTED_VALUE"""),42258.64583333333)</f>
        <v>42258.64583</v>
      </c>
      <c r="B730" s="1">
        <f>IFERROR(__xludf.DUMMYFUNCTION("""COMPUTED_VALUE"""),4035.0)</f>
        <v>4035</v>
      </c>
      <c r="C730" s="1">
        <f>IFERROR(__xludf.DUMMYFUNCTION("""COMPUTED_VALUE"""),4245.0)</f>
        <v>4245</v>
      </c>
      <c r="D730" s="1">
        <f>IFERROR(__xludf.DUMMYFUNCTION("""COMPUTED_VALUE"""),4000.0)</f>
        <v>4000</v>
      </c>
      <c r="E730" s="1">
        <f>IFERROR(__xludf.DUMMYFUNCTION("""COMPUTED_VALUE"""),4020.0)</f>
        <v>4020</v>
      </c>
      <c r="F730" s="1">
        <f>IFERROR(__xludf.DUMMYFUNCTION("""COMPUTED_VALUE"""),6020.0)</f>
        <v>6020</v>
      </c>
    </row>
    <row r="731">
      <c r="A731" s="2">
        <f>IFERROR(__xludf.DUMMYFUNCTION("""COMPUTED_VALUE"""),42261.64583333333)</f>
        <v>42261.64583</v>
      </c>
      <c r="B731" s="1">
        <f>IFERROR(__xludf.DUMMYFUNCTION("""COMPUTED_VALUE"""),4010.0)</f>
        <v>4010</v>
      </c>
      <c r="C731" s="1">
        <f>IFERROR(__xludf.DUMMYFUNCTION("""COMPUTED_VALUE"""),4140.0)</f>
        <v>4140</v>
      </c>
      <c r="D731" s="1">
        <f>IFERROR(__xludf.DUMMYFUNCTION("""COMPUTED_VALUE"""),3950.0)</f>
        <v>3950</v>
      </c>
      <c r="E731" s="1">
        <f>IFERROR(__xludf.DUMMYFUNCTION("""COMPUTED_VALUE"""),4020.0)</f>
        <v>4020</v>
      </c>
      <c r="F731" s="1">
        <f>IFERROR(__xludf.DUMMYFUNCTION("""COMPUTED_VALUE"""),11017.0)</f>
        <v>11017</v>
      </c>
    </row>
    <row r="732">
      <c r="A732" s="2">
        <f>IFERROR(__xludf.DUMMYFUNCTION("""COMPUTED_VALUE"""),42262.64583333333)</f>
        <v>42262.64583</v>
      </c>
      <c r="B732" s="1">
        <f>IFERROR(__xludf.DUMMYFUNCTION("""COMPUTED_VALUE"""),3995.0)</f>
        <v>3995</v>
      </c>
      <c r="C732" s="1">
        <f>IFERROR(__xludf.DUMMYFUNCTION("""COMPUTED_VALUE"""),4145.0)</f>
        <v>4145</v>
      </c>
      <c r="D732" s="1">
        <f>IFERROR(__xludf.DUMMYFUNCTION("""COMPUTED_VALUE"""),3980.0)</f>
        <v>3980</v>
      </c>
      <c r="E732" s="1">
        <f>IFERROR(__xludf.DUMMYFUNCTION("""COMPUTED_VALUE"""),4035.0)</f>
        <v>4035</v>
      </c>
      <c r="F732" s="1">
        <f>IFERROR(__xludf.DUMMYFUNCTION("""COMPUTED_VALUE"""),11900.0)</f>
        <v>11900</v>
      </c>
    </row>
    <row r="733">
      <c r="A733" s="2">
        <f>IFERROR(__xludf.DUMMYFUNCTION("""COMPUTED_VALUE"""),42263.64583333333)</f>
        <v>42263.64583</v>
      </c>
      <c r="B733" s="1">
        <f>IFERROR(__xludf.DUMMYFUNCTION("""COMPUTED_VALUE"""),4015.0)</f>
        <v>4015</v>
      </c>
      <c r="C733" s="1">
        <f>IFERROR(__xludf.DUMMYFUNCTION("""COMPUTED_VALUE"""),4165.0)</f>
        <v>4165</v>
      </c>
      <c r="D733" s="1">
        <f>IFERROR(__xludf.DUMMYFUNCTION("""COMPUTED_VALUE"""),3975.0)</f>
        <v>3975</v>
      </c>
      <c r="E733" s="1">
        <f>IFERROR(__xludf.DUMMYFUNCTION("""COMPUTED_VALUE"""),4000.0)</f>
        <v>4000</v>
      </c>
      <c r="F733" s="1">
        <f>IFERROR(__xludf.DUMMYFUNCTION("""COMPUTED_VALUE"""),45493.0)</f>
        <v>45493</v>
      </c>
    </row>
    <row r="734">
      <c r="A734" s="2">
        <f>IFERROR(__xludf.DUMMYFUNCTION("""COMPUTED_VALUE"""),42264.64583333333)</f>
        <v>42264.64583</v>
      </c>
      <c r="B734" s="1">
        <f>IFERROR(__xludf.DUMMYFUNCTION("""COMPUTED_VALUE"""),4005.0)</f>
        <v>4005</v>
      </c>
      <c r="C734" s="1">
        <f>IFERROR(__xludf.DUMMYFUNCTION("""COMPUTED_VALUE"""),4080.0)</f>
        <v>4080</v>
      </c>
      <c r="D734" s="1">
        <f>IFERROR(__xludf.DUMMYFUNCTION("""COMPUTED_VALUE"""),3960.0)</f>
        <v>3960</v>
      </c>
      <c r="E734" s="1">
        <f>IFERROR(__xludf.DUMMYFUNCTION("""COMPUTED_VALUE"""),3995.0)</f>
        <v>3995</v>
      </c>
      <c r="F734" s="1">
        <f>IFERROR(__xludf.DUMMYFUNCTION("""COMPUTED_VALUE"""),14919.0)</f>
        <v>14919</v>
      </c>
    </row>
    <row r="735">
      <c r="A735" s="2">
        <f>IFERROR(__xludf.DUMMYFUNCTION("""COMPUTED_VALUE"""),42265.64583333333)</f>
        <v>42265.64583</v>
      </c>
      <c r="B735" s="1">
        <f>IFERROR(__xludf.DUMMYFUNCTION("""COMPUTED_VALUE"""),3975.0)</f>
        <v>3975</v>
      </c>
      <c r="C735" s="1">
        <f>IFERROR(__xludf.DUMMYFUNCTION("""COMPUTED_VALUE"""),4100.0)</f>
        <v>4100</v>
      </c>
      <c r="D735" s="1">
        <f>IFERROR(__xludf.DUMMYFUNCTION("""COMPUTED_VALUE"""),3940.0)</f>
        <v>3940</v>
      </c>
      <c r="E735" s="1">
        <f>IFERROR(__xludf.DUMMYFUNCTION("""COMPUTED_VALUE"""),4090.0)</f>
        <v>4090</v>
      </c>
      <c r="F735" s="1">
        <f>IFERROR(__xludf.DUMMYFUNCTION("""COMPUTED_VALUE"""),36541.0)</f>
        <v>36541</v>
      </c>
    </row>
    <row r="736">
      <c r="A736" s="2">
        <f>IFERROR(__xludf.DUMMYFUNCTION("""COMPUTED_VALUE"""),42268.64583333333)</f>
        <v>42268.64583</v>
      </c>
      <c r="B736" s="1">
        <f>IFERROR(__xludf.DUMMYFUNCTION("""COMPUTED_VALUE"""),4150.0)</f>
        <v>4150</v>
      </c>
      <c r="C736" s="1">
        <f>IFERROR(__xludf.DUMMYFUNCTION("""COMPUTED_VALUE"""),4150.0)</f>
        <v>4150</v>
      </c>
      <c r="D736" s="1">
        <f>IFERROR(__xludf.DUMMYFUNCTION("""COMPUTED_VALUE"""),3900.0)</f>
        <v>3900</v>
      </c>
      <c r="E736" s="1">
        <f>IFERROR(__xludf.DUMMYFUNCTION("""COMPUTED_VALUE"""),3900.0)</f>
        <v>3900</v>
      </c>
      <c r="F736" s="1">
        <f>IFERROR(__xludf.DUMMYFUNCTION("""COMPUTED_VALUE"""),32435.0)</f>
        <v>32435</v>
      </c>
    </row>
    <row r="737">
      <c r="A737" s="2">
        <f>IFERROR(__xludf.DUMMYFUNCTION("""COMPUTED_VALUE"""),42269.64583333333)</f>
        <v>42269.64583</v>
      </c>
      <c r="B737" s="1">
        <f>IFERROR(__xludf.DUMMYFUNCTION("""COMPUTED_VALUE"""),3900.0)</f>
        <v>3900</v>
      </c>
      <c r="C737" s="1">
        <f>IFERROR(__xludf.DUMMYFUNCTION("""COMPUTED_VALUE"""),3995.0)</f>
        <v>3995</v>
      </c>
      <c r="D737" s="1">
        <f>IFERROR(__xludf.DUMMYFUNCTION("""COMPUTED_VALUE"""),3795.0)</f>
        <v>3795</v>
      </c>
      <c r="E737" s="1">
        <f>IFERROR(__xludf.DUMMYFUNCTION("""COMPUTED_VALUE"""),3800.0)</f>
        <v>3800</v>
      </c>
      <c r="F737" s="1">
        <f>IFERROR(__xludf.DUMMYFUNCTION("""COMPUTED_VALUE"""),61190.0)</f>
        <v>61190</v>
      </c>
    </row>
    <row r="738">
      <c r="A738" s="2">
        <f>IFERROR(__xludf.DUMMYFUNCTION("""COMPUTED_VALUE"""),42270.64583333333)</f>
        <v>42270.64583</v>
      </c>
      <c r="B738" s="1">
        <f>IFERROR(__xludf.DUMMYFUNCTION("""COMPUTED_VALUE"""),3900.0)</f>
        <v>3900</v>
      </c>
      <c r="C738" s="1">
        <f>IFERROR(__xludf.DUMMYFUNCTION("""COMPUTED_VALUE"""),4050.0)</f>
        <v>4050</v>
      </c>
      <c r="D738" s="1">
        <f>IFERROR(__xludf.DUMMYFUNCTION("""COMPUTED_VALUE"""),3800.0)</f>
        <v>3800</v>
      </c>
      <c r="E738" s="1">
        <f>IFERROR(__xludf.DUMMYFUNCTION("""COMPUTED_VALUE"""),3855.0)</f>
        <v>3855</v>
      </c>
      <c r="F738" s="1">
        <f>IFERROR(__xludf.DUMMYFUNCTION("""COMPUTED_VALUE"""),33424.0)</f>
        <v>33424</v>
      </c>
    </row>
    <row r="739">
      <c r="A739" s="2">
        <f>IFERROR(__xludf.DUMMYFUNCTION("""COMPUTED_VALUE"""),42271.64583333333)</f>
        <v>42271.64583</v>
      </c>
      <c r="B739" s="1">
        <f>IFERROR(__xludf.DUMMYFUNCTION("""COMPUTED_VALUE"""),3865.0)</f>
        <v>3865</v>
      </c>
      <c r="C739" s="1">
        <f>IFERROR(__xludf.DUMMYFUNCTION("""COMPUTED_VALUE"""),4240.0)</f>
        <v>4240</v>
      </c>
      <c r="D739" s="1">
        <f>IFERROR(__xludf.DUMMYFUNCTION("""COMPUTED_VALUE"""),3865.0)</f>
        <v>3865</v>
      </c>
      <c r="E739" s="1">
        <f>IFERROR(__xludf.DUMMYFUNCTION("""COMPUTED_VALUE"""),4130.0)</f>
        <v>4130</v>
      </c>
      <c r="F739" s="1">
        <f>IFERROR(__xludf.DUMMYFUNCTION("""COMPUTED_VALUE"""),34958.0)</f>
        <v>34958</v>
      </c>
    </row>
    <row r="740">
      <c r="A740" s="2">
        <f>IFERROR(__xludf.DUMMYFUNCTION("""COMPUTED_VALUE"""),42272.64583333333)</f>
        <v>42272.64583</v>
      </c>
      <c r="B740" s="1">
        <f>IFERROR(__xludf.DUMMYFUNCTION("""COMPUTED_VALUE"""),4090.0)</f>
        <v>4090</v>
      </c>
      <c r="C740" s="1">
        <f>IFERROR(__xludf.DUMMYFUNCTION("""COMPUTED_VALUE"""),4450.0)</f>
        <v>4450</v>
      </c>
      <c r="D740" s="1">
        <f>IFERROR(__xludf.DUMMYFUNCTION("""COMPUTED_VALUE"""),4070.0)</f>
        <v>4070</v>
      </c>
      <c r="E740" s="1">
        <f>IFERROR(__xludf.DUMMYFUNCTION("""COMPUTED_VALUE"""),4325.0)</f>
        <v>4325</v>
      </c>
      <c r="F740" s="1">
        <f>IFERROR(__xludf.DUMMYFUNCTION("""COMPUTED_VALUE"""),56148.0)</f>
        <v>56148</v>
      </c>
    </row>
    <row r="741">
      <c r="A741" s="2">
        <f>IFERROR(__xludf.DUMMYFUNCTION("""COMPUTED_VALUE"""),42277.64583333333)</f>
        <v>42277.64583</v>
      </c>
      <c r="B741" s="1">
        <f>IFERROR(__xludf.DUMMYFUNCTION("""COMPUTED_VALUE"""),4500.0)</f>
        <v>4500</v>
      </c>
      <c r="C741" s="1">
        <f>IFERROR(__xludf.DUMMYFUNCTION("""COMPUTED_VALUE"""),4500.0)</f>
        <v>4500</v>
      </c>
      <c r="D741" s="1">
        <f>IFERROR(__xludf.DUMMYFUNCTION("""COMPUTED_VALUE"""),4235.0)</f>
        <v>4235</v>
      </c>
      <c r="E741" s="1">
        <f>IFERROR(__xludf.DUMMYFUNCTION("""COMPUTED_VALUE"""),4370.0)</f>
        <v>4370</v>
      </c>
      <c r="F741" s="1">
        <f>IFERROR(__xludf.DUMMYFUNCTION("""COMPUTED_VALUE"""),27340.0)</f>
        <v>27340</v>
      </c>
    </row>
    <row r="742">
      <c r="A742" s="2">
        <f>IFERROR(__xludf.DUMMYFUNCTION("""COMPUTED_VALUE"""),42278.64583333333)</f>
        <v>42278.64583</v>
      </c>
      <c r="B742" s="1">
        <f>IFERROR(__xludf.DUMMYFUNCTION("""COMPUTED_VALUE"""),4290.0)</f>
        <v>4290</v>
      </c>
      <c r="C742" s="1">
        <f>IFERROR(__xludf.DUMMYFUNCTION("""COMPUTED_VALUE"""),4585.0)</f>
        <v>4585</v>
      </c>
      <c r="D742" s="1">
        <f>IFERROR(__xludf.DUMMYFUNCTION("""COMPUTED_VALUE"""),4290.0)</f>
        <v>4290</v>
      </c>
      <c r="E742" s="1">
        <f>IFERROR(__xludf.DUMMYFUNCTION("""COMPUTED_VALUE"""),4525.0)</f>
        <v>4525</v>
      </c>
      <c r="F742" s="1">
        <f>IFERROR(__xludf.DUMMYFUNCTION("""COMPUTED_VALUE"""),29151.0)</f>
        <v>29151</v>
      </c>
    </row>
    <row r="743">
      <c r="A743" s="2">
        <f>IFERROR(__xludf.DUMMYFUNCTION("""COMPUTED_VALUE"""),42279.64583333333)</f>
        <v>42279.64583</v>
      </c>
      <c r="B743" s="1">
        <f>IFERROR(__xludf.DUMMYFUNCTION("""COMPUTED_VALUE"""),4580.0)</f>
        <v>4580</v>
      </c>
      <c r="C743" s="1">
        <f>IFERROR(__xludf.DUMMYFUNCTION("""COMPUTED_VALUE"""),4580.0)</f>
        <v>4580</v>
      </c>
      <c r="D743" s="1">
        <f>IFERROR(__xludf.DUMMYFUNCTION("""COMPUTED_VALUE"""),4400.0)</f>
        <v>4400</v>
      </c>
      <c r="E743" s="1">
        <f>IFERROR(__xludf.DUMMYFUNCTION("""COMPUTED_VALUE"""),4505.0)</f>
        <v>4505</v>
      </c>
      <c r="F743" s="1">
        <f>IFERROR(__xludf.DUMMYFUNCTION("""COMPUTED_VALUE"""),19275.0)</f>
        <v>19275</v>
      </c>
    </row>
    <row r="744">
      <c r="A744" s="2">
        <f>IFERROR(__xludf.DUMMYFUNCTION("""COMPUTED_VALUE"""),42282.64583333333)</f>
        <v>42282.64583</v>
      </c>
      <c r="B744" s="1">
        <f>IFERROR(__xludf.DUMMYFUNCTION("""COMPUTED_VALUE"""),4500.0)</f>
        <v>4500</v>
      </c>
      <c r="C744" s="1">
        <f>IFERROR(__xludf.DUMMYFUNCTION("""COMPUTED_VALUE"""),4670.0)</f>
        <v>4670</v>
      </c>
      <c r="D744" s="1">
        <f>IFERROR(__xludf.DUMMYFUNCTION("""COMPUTED_VALUE"""),4500.0)</f>
        <v>4500</v>
      </c>
      <c r="E744" s="1">
        <f>IFERROR(__xludf.DUMMYFUNCTION("""COMPUTED_VALUE"""),4560.0)</f>
        <v>4560</v>
      </c>
      <c r="F744" s="1">
        <f>IFERROR(__xludf.DUMMYFUNCTION("""COMPUTED_VALUE"""),45834.0)</f>
        <v>45834</v>
      </c>
    </row>
    <row r="745">
      <c r="A745" s="2">
        <f>IFERROR(__xludf.DUMMYFUNCTION("""COMPUTED_VALUE"""),42283.64583333333)</f>
        <v>42283.64583</v>
      </c>
      <c r="B745" s="1">
        <f>IFERROR(__xludf.DUMMYFUNCTION("""COMPUTED_VALUE"""),4740.0)</f>
        <v>4740</v>
      </c>
      <c r="C745" s="1">
        <f>IFERROR(__xludf.DUMMYFUNCTION("""COMPUTED_VALUE"""),4960.0)</f>
        <v>4960</v>
      </c>
      <c r="D745" s="1">
        <f>IFERROR(__xludf.DUMMYFUNCTION("""COMPUTED_VALUE"""),4590.0)</f>
        <v>4590</v>
      </c>
      <c r="E745" s="1">
        <f>IFERROR(__xludf.DUMMYFUNCTION("""COMPUTED_VALUE"""),4935.0)</f>
        <v>4935</v>
      </c>
      <c r="F745" s="1">
        <f>IFERROR(__xludf.DUMMYFUNCTION("""COMPUTED_VALUE"""),105347.0)</f>
        <v>105347</v>
      </c>
    </row>
    <row r="746">
      <c r="A746" s="2">
        <f>IFERROR(__xludf.DUMMYFUNCTION("""COMPUTED_VALUE"""),42284.64583333333)</f>
        <v>42284.64583</v>
      </c>
      <c r="B746" s="1">
        <f>IFERROR(__xludf.DUMMYFUNCTION("""COMPUTED_VALUE"""),4985.0)</f>
        <v>4985</v>
      </c>
      <c r="C746" s="1">
        <f>IFERROR(__xludf.DUMMYFUNCTION("""COMPUTED_VALUE"""),5000.0)</f>
        <v>5000</v>
      </c>
      <c r="D746" s="1">
        <f>IFERROR(__xludf.DUMMYFUNCTION("""COMPUTED_VALUE"""),4830.0)</f>
        <v>4830</v>
      </c>
      <c r="E746" s="1">
        <f>IFERROR(__xludf.DUMMYFUNCTION("""COMPUTED_VALUE"""),4830.0)</f>
        <v>4830</v>
      </c>
      <c r="F746" s="1">
        <f>IFERROR(__xludf.DUMMYFUNCTION("""COMPUTED_VALUE"""),48958.0)</f>
        <v>48958</v>
      </c>
    </row>
    <row r="747">
      <c r="A747" s="2">
        <f>IFERROR(__xludf.DUMMYFUNCTION("""COMPUTED_VALUE"""),42285.64583333333)</f>
        <v>42285.64583</v>
      </c>
      <c r="B747" s="1">
        <f>IFERROR(__xludf.DUMMYFUNCTION("""COMPUTED_VALUE"""),4810.0)</f>
        <v>4810</v>
      </c>
      <c r="C747" s="1">
        <f>IFERROR(__xludf.DUMMYFUNCTION("""COMPUTED_VALUE"""),4990.0)</f>
        <v>4990</v>
      </c>
      <c r="D747" s="1">
        <f>IFERROR(__xludf.DUMMYFUNCTION("""COMPUTED_VALUE"""),4790.0)</f>
        <v>4790</v>
      </c>
      <c r="E747" s="1">
        <f>IFERROR(__xludf.DUMMYFUNCTION("""COMPUTED_VALUE"""),4815.0)</f>
        <v>4815</v>
      </c>
      <c r="F747" s="1">
        <f>IFERROR(__xludf.DUMMYFUNCTION("""COMPUTED_VALUE"""),19631.0)</f>
        <v>19631</v>
      </c>
    </row>
    <row r="748">
      <c r="A748" s="2">
        <f>IFERROR(__xludf.DUMMYFUNCTION("""COMPUTED_VALUE"""),42289.64583333333)</f>
        <v>42289.64583</v>
      </c>
      <c r="B748" s="1">
        <f>IFERROR(__xludf.DUMMYFUNCTION("""COMPUTED_VALUE"""),4985.0)</f>
        <v>4985</v>
      </c>
      <c r="C748" s="1">
        <f>IFERROR(__xludf.DUMMYFUNCTION("""COMPUTED_VALUE"""),4985.0)</f>
        <v>4985</v>
      </c>
      <c r="D748" s="1">
        <f>IFERROR(__xludf.DUMMYFUNCTION("""COMPUTED_VALUE"""),4670.0)</f>
        <v>4670</v>
      </c>
      <c r="E748" s="1">
        <f>IFERROR(__xludf.DUMMYFUNCTION("""COMPUTED_VALUE"""),4750.0)</f>
        <v>4750</v>
      </c>
      <c r="F748" s="1">
        <f>IFERROR(__xludf.DUMMYFUNCTION("""COMPUTED_VALUE"""),15804.0)</f>
        <v>15804</v>
      </c>
    </row>
    <row r="749">
      <c r="A749" s="2">
        <f>IFERROR(__xludf.DUMMYFUNCTION("""COMPUTED_VALUE"""),42290.64583333333)</f>
        <v>42290.64583</v>
      </c>
      <c r="B749" s="1">
        <f>IFERROR(__xludf.DUMMYFUNCTION("""COMPUTED_VALUE"""),4665.0)</f>
        <v>4665</v>
      </c>
      <c r="C749" s="1">
        <f>IFERROR(__xludf.DUMMYFUNCTION("""COMPUTED_VALUE"""),4875.0)</f>
        <v>4875</v>
      </c>
      <c r="D749" s="1">
        <f>IFERROR(__xludf.DUMMYFUNCTION("""COMPUTED_VALUE"""),4610.0)</f>
        <v>4610</v>
      </c>
      <c r="E749" s="1">
        <f>IFERROR(__xludf.DUMMYFUNCTION("""COMPUTED_VALUE"""),4690.0)</f>
        <v>4690</v>
      </c>
      <c r="F749" s="1">
        <f>IFERROR(__xludf.DUMMYFUNCTION("""COMPUTED_VALUE"""),20971.0)</f>
        <v>20971</v>
      </c>
    </row>
    <row r="750">
      <c r="A750" s="2">
        <f>IFERROR(__xludf.DUMMYFUNCTION("""COMPUTED_VALUE"""),42291.64583333333)</f>
        <v>42291.64583</v>
      </c>
      <c r="B750" s="1">
        <f>IFERROR(__xludf.DUMMYFUNCTION("""COMPUTED_VALUE"""),4710.0)</f>
        <v>4710</v>
      </c>
      <c r="C750" s="1">
        <f>IFERROR(__xludf.DUMMYFUNCTION("""COMPUTED_VALUE"""),4900.0)</f>
        <v>4900</v>
      </c>
      <c r="D750" s="1">
        <f>IFERROR(__xludf.DUMMYFUNCTION("""COMPUTED_VALUE"""),4530.0)</f>
        <v>4530</v>
      </c>
      <c r="E750" s="1">
        <f>IFERROR(__xludf.DUMMYFUNCTION("""COMPUTED_VALUE"""),4595.0)</f>
        <v>4595</v>
      </c>
      <c r="F750" s="1">
        <f>IFERROR(__xludf.DUMMYFUNCTION("""COMPUTED_VALUE"""),9284.0)</f>
        <v>9284</v>
      </c>
    </row>
    <row r="751">
      <c r="A751" s="2">
        <f>IFERROR(__xludf.DUMMYFUNCTION("""COMPUTED_VALUE"""),42292.64583333333)</f>
        <v>42292.64583</v>
      </c>
      <c r="B751" s="1">
        <f>IFERROR(__xludf.DUMMYFUNCTION("""COMPUTED_VALUE"""),4615.0)</f>
        <v>4615</v>
      </c>
      <c r="C751" s="1">
        <f>IFERROR(__xludf.DUMMYFUNCTION("""COMPUTED_VALUE"""),5150.0)</f>
        <v>5150</v>
      </c>
      <c r="D751" s="1">
        <f>IFERROR(__xludf.DUMMYFUNCTION("""COMPUTED_VALUE"""),4475.0)</f>
        <v>4475</v>
      </c>
      <c r="E751" s="1">
        <f>IFERROR(__xludf.DUMMYFUNCTION("""COMPUTED_VALUE"""),4495.0)</f>
        <v>4495</v>
      </c>
      <c r="F751" s="1">
        <f>IFERROR(__xludf.DUMMYFUNCTION("""COMPUTED_VALUE"""),21910.0)</f>
        <v>21910</v>
      </c>
    </row>
    <row r="752">
      <c r="A752" s="2">
        <f>IFERROR(__xludf.DUMMYFUNCTION("""COMPUTED_VALUE"""),42293.64583333333)</f>
        <v>42293.64583</v>
      </c>
      <c r="B752" s="1">
        <f>IFERROR(__xludf.DUMMYFUNCTION("""COMPUTED_VALUE"""),4660.0)</f>
        <v>4660</v>
      </c>
      <c r="C752" s="1">
        <f>IFERROR(__xludf.DUMMYFUNCTION("""COMPUTED_VALUE"""),4850.0)</f>
        <v>4850</v>
      </c>
      <c r="D752" s="1">
        <f>IFERROR(__xludf.DUMMYFUNCTION("""COMPUTED_VALUE"""),4500.0)</f>
        <v>4500</v>
      </c>
      <c r="E752" s="1">
        <f>IFERROR(__xludf.DUMMYFUNCTION("""COMPUTED_VALUE"""),4500.0)</f>
        <v>4500</v>
      </c>
      <c r="F752" s="1">
        <f>IFERROR(__xludf.DUMMYFUNCTION("""COMPUTED_VALUE"""),43432.0)</f>
        <v>43432</v>
      </c>
    </row>
    <row r="753">
      <c r="A753" s="2">
        <f>IFERROR(__xludf.DUMMYFUNCTION("""COMPUTED_VALUE"""),42296.64583333333)</f>
        <v>42296.64583</v>
      </c>
      <c r="B753" s="1">
        <f>IFERROR(__xludf.DUMMYFUNCTION("""COMPUTED_VALUE"""),4600.0)</f>
        <v>4600</v>
      </c>
      <c r="C753" s="1">
        <f>IFERROR(__xludf.DUMMYFUNCTION("""COMPUTED_VALUE"""),4650.0)</f>
        <v>4650</v>
      </c>
      <c r="D753" s="1">
        <f>IFERROR(__xludf.DUMMYFUNCTION("""COMPUTED_VALUE"""),4480.0)</f>
        <v>4480</v>
      </c>
      <c r="E753" s="1">
        <f>IFERROR(__xludf.DUMMYFUNCTION("""COMPUTED_VALUE"""),4630.0)</f>
        <v>4630</v>
      </c>
      <c r="F753" s="1">
        <f>IFERROR(__xludf.DUMMYFUNCTION("""COMPUTED_VALUE"""),37044.0)</f>
        <v>37044</v>
      </c>
    </row>
    <row r="754">
      <c r="A754" s="2">
        <f>IFERROR(__xludf.DUMMYFUNCTION("""COMPUTED_VALUE"""),42297.64583333333)</f>
        <v>42297.64583</v>
      </c>
      <c r="B754" s="1">
        <f>IFERROR(__xludf.DUMMYFUNCTION("""COMPUTED_VALUE"""),4900.0)</f>
        <v>4900</v>
      </c>
      <c r="C754" s="1">
        <f>IFERROR(__xludf.DUMMYFUNCTION("""COMPUTED_VALUE"""),4900.0)</f>
        <v>4900</v>
      </c>
      <c r="D754" s="1">
        <f>IFERROR(__xludf.DUMMYFUNCTION("""COMPUTED_VALUE"""),4490.0)</f>
        <v>4490</v>
      </c>
      <c r="E754" s="1">
        <f>IFERROR(__xludf.DUMMYFUNCTION("""COMPUTED_VALUE"""),4500.0)</f>
        <v>4500</v>
      </c>
      <c r="F754" s="1">
        <f>IFERROR(__xludf.DUMMYFUNCTION("""COMPUTED_VALUE"""),31752.0)</f>
        <v>31752</v>
      </c>
    </row>
    <row r="755">
      <c r="A755" s="2">
        <f>IFERROR(__xludf.DUMMYFUNCTION("""COMPUTED_VALUE"""),42298.64583333333)</f>
        <v>42298.64583</v>
      </c>
      <c r="B755" s="1">
        <f>IFERROR(__xludf.DUMMYFUNCTION("""COMPUTED_VALUE"""),4600.0)</f>
        <v>4600</v>
      </c>
      <c r="C755" s="1">
        <f>IFERROR(__xludf.DUMMYFUNCTION("""COMPUTED_VALUE"""),4690.0)</f>
        <v>4690</v>
      </c>
      <c r="D755" s="1">
        <f>IFERROR(__xludf.DUMMYFUNCTION("""COMPUTED_VALUE"""),4405.0)</f>
        <v>4405</v>
      </c>
      <c r="E755" s="1">
        <f>IFERROR(__xludf.DUMMYFUNCTION("""COMPUTED_VALUE"""),4435.0)</f>
        <v>4435</v>
      </c>
      <c r="F755" s="1">
        <f>IFERROR(__xludf.DUMMYFUNCTION("""COMPUTED_VALUE"""),27395.0)</f>
        <v>27395</v>
      </c>
    </row>
    <row r="756">
      <c r="A756" s="2">
        <f>IFERROR(__xludf.DUMMYFUNCTION("""COMPUTED_VALUE"""),42299.64583333333)</f>
        <v>42299.64583</v>
      </c>
      <c r="B756" s="1">
        <f>IFERROR(__xludf.DUMMYFUNCTION("""COMPUTED_VALUE"""),4400.0)</f>
        <v>4400</v>
      </c>
      <c r="C756" s="1">
        <f>IFERROR(__xludf.DUMMYFUNCTION("""COMPUTED_VALUE"""),4575.0)</f>
        <v>4575</v>
      </c>
      <c r="D756" s="1">
        <f>IFERROR(__xludf.DUMMYFUNCTION("""COMPUTED_VALUE"""),4045.0)</f>
        <v>4045</v>
      </c>
      <c r="E756" s="1">
        <f>IFERROR(__xludf.DUMMYFUNCTION("""COMPUTED_VALUE"""),4310.0)</f>
        <v>4310</v>
      </c>
      <c r="F756" s="1">
        <f>IFERROR(__xludf.DUMMYFUNCTION("""COMPUTED_VALUE"""),36362.0)</f>
        <v>36362</v>
      </c>
    </row>
    <row r="757">
      <c r="A757" s="2">
        <f>IFERROR(__xludf.DUMMYFUNCTION("""COMPUTED_VALUE"""),42300.64583333333)</f>
        <v>42300.64583</v>
      </c>
      <c r="B757" s="1">
        <f>IFERROR(__xludf.DUMMYFUNCTION("""COMPUTED_VALUE"""),4300.0)</f>
        <v>4300</v>
      </c>
      <c r="C757" s="1">
        <f>IFERROR(__xludf.DUMMYFUNCTION("""COMPUTED_VALUE"""),4390.0)</f>
        <v>4390</v>
      </c>
      <c r="D757" s="1">
        <f>IFERROR(__xludf.DUMMYFUNCTION("""COMPUTED_VALUE"""),4155.0)</f>
        <v>4155</v>
      </c>
      <c r="E757" s="1">
        <f>IFERROR(__xludf.DUMMYFUNCTION("""COMPUTED_VALUE"""),4300.0)</f>
        <v>4300</v>
      </c>
      <c r="F757" s="1">
        <f>IFERROR(__xludf.DUMMYFUNCTION("""COMPUTED_VALUE"""),62931.0)</f>
        <v>62931</v>
      </c>
    </row>
    <row r="758">
      <c r="A758" s="2">
        <f>IFERROR(__xludf.DUMMYFUNCTION("""COMPUTED_VALUE"""),42303.64583333333)</f>
        <v>42303.64583</v>
      </c>
      <c r="B758" s="1">
        <f>IFERROR(__xludf.DUMMYFUNCTION("""COMPUTED_VALUE"""),4300.0)</f>
        <v>4300</v>
      </c>
      <c r="C758" s="1">
        <f>IFERROR(__xludf.DUMMYFUNCTION("""COMPUTED_VALUE"""),4495.0)</f>
        <v>4495</v>
      </c>
      <c r="D758" s="1">
        <f>IFERROR(__xludf.DUMMYFUNCTION("""COMPUTED_VALUE"""),4225.0)</f>
        <v>4225</v>
      </c>
      <c r="E758" s="1">
        <f>IFERROR(__xludf.DUMMYFUNCTION("""COMPUTED_VALUE"""),4300.0)</f>
        <v>4300</v>
      </c>
      <c r="F758" s="1">
        <f>IFERROR(__xludf.DUMMYFUNCTION("""COMPUTED_VALUE"""),56376.0)</f>
        <v>56376</v>
      </c>
    </row>
    <row r="759">
      <c r="A759" s="2">
        <f>IFERROR(__xludf.DUMMYFUNCTION("""COMPUTED_VALUE"""),42304.64583333333)</f>
        <v>42304.64583</v>
      </c>
      <c r="B759" s="1">
        <f>IFERROR(__xludf.DUMMYFUNCTION("""COMPUTED_VALUE"""),4255.0)</f>
        <v>4255</v>
      </c>
      <c r="C759" s="1">
        <f>IFERROR(__xludf.DUMMYFUNCTION("""COMPUTED_VALUE"""),4350.0)</f>
        <v>4350</v>
      </c>
      <c r="D759" s="1">
        <f>IFERROR(__xludf.DUMMYFUNCTION("""COMPUTED_VALUE"""),4150.0)</f>
        <v>4150</v>
      </c>
      <c r="E759" s="1">
        <f>IFERROR(__xludf.DUMMYFUNCTION("""COMPUTED_VALUE"""),4335.0)</f>
        <v>4335</v>
      </c>
      <c r="F759" s="1">
        <f>IFERROR(__xludf.DUMMYFUNCTION("""COMPUTED_VALUE"""),20675.0)</f>
        <v>20675</v>
      </c>
    </row>
    <row r="760">
      <c r="A760" s="2">
        <f>IFERROR(__xludf.DUMMYFUNCTION("""COMPUTED_VALUE"""),42305.64583333333)</f>
        <v>42305.64583</v>
      </c>
      <c r="B760" s="1">
        <f>IFERROR(__xludf.DUMMYFUNCTION("""COMPUTED_VALUE"""),4435.0)</f>
        <v>4435</v>
      </c>
      <c r="C760" s="1">
        <f>IFERROR(__xludf.DUMMYFUNCTION("""COMPUTED_VALUE"""),4435.0)</f>
        <v>4435</v>
      </c>
      <c r="D760" s="1">
        <f>IFERROR(__xludf.DUMMYFUNCTION("""COMPUTED_VALUE"""),4200.0)</f>
        <v>4200</v>
      </c>
      <c r="E760" s="1">
        <f>IFERROR(__xludf.DUMMYFUNCTION("""COMPUTED_VALUE"""),4235.0)</f>
        <v>4235</v>
      </c>
      <c r="F760" s="1">
        <f>IFERROR(__xludf.DUMMYFUNCTION("""COMPUTED_VALUE"""),39667.0)</f>
        <v>39667</v>
      </c>
    </row>
    <row r="761">
      <c r="A761" s="2">
        <f>IFERROR(__xludf.DUMMYFUNCTION("""COMPUTED_VALUE"""),42306.64583333333)</f>
        <v>42306.64583</v>
      </c>
      <c r="B761" s="1">
        <f>IFERROR(__xludf.DUMMYFUNCTION("""COMPUTED_VALUE"""),4285.0)</f>
        <v>4285</v>
      </c>
      <c r="C761" s="1">
        <f>IFERROR(__xludf.DUMMYFUNCTION("""COMPUTED_VALUE"""),4285.0)</f>
        <v>4285</v>
      </c>
      <c r="D761" s="1">
        <f>IFERROR(__xludf.DUMMYFUNCTION("""COMPUTED_VALUE"""),4150.0)</f>
        <v>4150</v>
      </c>
      <c r="E761" s="1">
        <f>IFERROR(__xludf.DUMMYFUNCTION("""COMPUTED_VALUE"""),4185.0)</f>
        <v>4185</v>
      </c>
      <c r="F761" s="1">
        <f>IFERROR(__xludf.DUMMYFUNCTION("""COMPUTED_VALUE"""),26987.0)</f>
        <v>26987</v>
      </c>
    </row>
    <row r="762">
      <c r="A762" s="2">
        <f>IFERROR(__xludf.DUMMYFUNCTION("""COMPUTED_VALUE"""),42307.64583333333)</f>
        <v>42307.64583</v>
      </c>
      <c r="B762" s="1">
        <f>IFERROR(__xludf.DUMMYFUNCTION("""COMPUTED_VALUE"""),4135.0)</f>
        <v>4135</v>
      </c>
      <c r="C762" s="1">
        <f>IFERROR(__xludf.DUMMYFUNCTION("""COMPUTED_VALUE"""),4285.0)</f>
        <v>4285</v>
      </c>
      <c r="D762" s="1">
        <f>IFERROR(__xludf.DUMMYFUNCTION("""COMPUTED_VALUE"""),4040.0)</f>
        <v>4040</v>
      </c>
      <c r="E762" s="1">
        <f>IFERROR(__xludf.DUMMYFUNCTION("""COMPUTED_VALUE"""),4040.0)</f>
        <v>4040</v>
      </c>
      <c r="F762" s="1">
        <f>IFERROR(__xludf.DUMMYFUNCTION("""COMPUTED_VALUE"""),39820.0)</f>
        <v>39820</v>
      </c>
    </row>
    <row r="763">
      <c r="A763" s="2">
        <f>IFERROR(__xludf.DUMMYFUNCTION("""COMPUTED_VALUE"""),42310.64583333333)</f>
        <v>42310.64583</v>
      </c>
      <c r="B763" s="1">
        <f>IFERROR(__xludf.DUMMYFUNCTION("""COMPUTED_VALUE"""),4080.0)</f>
        <v>4080</v>
      </c>
      <c r="C763" s="1">
        <f>IFERROR(__xludf.DUMMYFUNCTION("""COMPUTED_VALUE"""),4200.0)</f>
        <v>4200</v>
      </c>
      <c r="D763" s="1">
        <f>IFERROR(__xludf.DUMMYFUNCTION("""COMPUTED_VALUE"""),4010.0)</f>
        <v>4010</v>
      </c>
      <c r="E763" s="1">
        <f>IFERROR(__xludf.DUMMYFUNCTION("""COMPUTED_VALUE"""),4010.0)</f>
        <v>4010</v>
      </c>
      <c r="F763" s="1">
        <f>IFERROR(__xludf.DUMMYFUNCTION("""COMPUTED_VALUE"""),43079.0)</f>
        <v>43079</v>
      </c>
    </row>
    <row r="764">
      <c r="A764" s="2">
        <f>IFERROR(__xludf.DUMMYFUNCTION("""COMPUTED_VALUE"""),42311.64583333333)</f>
        <v>42311.64583</v>
      </c>
      <c r="B764" s="1">
        <f>IFERROR(__xludf.DUMMYFUNCTION("""COMPUTED_VALUE"""),4150.0)</f>
        <v>4150</v>
      </c>
      <c r="C764" s="1">
        <f>IFERROR(__xludf.DUMMYFUNCTION("""COMPUTED_VALUE"""),4150.0)</f>
        <v>4150</v>
      </c>
      <c r="D764" s="1">
        <f>IFERROR(__xludf.DUMMYFUNCTION("""COMPUTED_VALUE"""),4010.0)</f>
        <v>4010</v>
      </c>
      <c r="E764" s="1">
        <f>IFERROR(__xludf.DUMMYFUNCTION("""COMPUTED_VALUE"""),4040.0)</f>
        <v>4040</v>
      </c>
      <c r="F764" s="1">
        <f>IFERROR(__xludf.DUMMYFUNCTION("""COMPUTED_VALUE"""),16307.0)</f>
        <v>16307</v>
      </c>
    </row>
    <row r="765">
      <c r="A765" s="2">
        <f>IFERROR(__xludf.DUMMYFUNCTION("""COMPUTED_VALUE"""),42312.64583333333)</f>
        <v>42312.64583</v>
      </c>
      <c r="B765" s="1">
        <f>IFERROR(__xludf.DUMMYFUNCTION("""COMPUTED_VALUE"""),4250.0)</f>
        <v>4250</v>
      </c>
      <c r="C765" s="1">
        <f>IFERROR(__xludf.DUMMYFUNCTION("""COMPUTED_VALUE"""),4250.0)</f>
        <v>4250</v>
      </c>
      <c r="D765" s="1">
        <f>IFERROR(__xludf.DUMMYFUNCTION("""COMPUTED_VALUE"""),4010.0)</f>
        <v>4010</v>
      </c>
      <c r="E765" s="1">
        <f>IFERROR(__xludf.DUMMYFUNCTION("""COMPUTED_VALUE"""),4170.0)</f>
        <v>4170</v>
      </c>
      <c r="F765" s="1">
        <f>IFERROR(__xludf.DUMMYFUNCTION("""COMPUTED_VALUE"""),37619.0)</f>
        <v>37619</v>
      </c>
    </row>
    <row r="766">
      <c r="A766" s="2">
        <f>IFERROR(__xludf.DUMMYFUNCTION("""COMPUTED_VALUE"""),42313.64583333333)</f>
        <v>42313.64583</v>
      </c>
      <c r="B766" s="1">
        <f>IFERROR(__xludf.DUMMYFUNCTION("""COMPUTED_VALUE"""),4260.0)</f>
        <v>4260</v>
      </c>
      <c r="C766" s="1">
        <f>IFERROR(__xludf.DUMMYFUNCTION("""COMPUTED_VALUE"""),4490.0)</f>
        <v>4490</v>
      </c>
      <c r="D766" s="1">
        <f>IFERROR(__xludf.DUMMYFUNCTION("""COMPUTED_VALUE"""),4105.0)</f>
        <v>4105</v>
      </c>
      <c r="E766" s="1">
        <f>IFERROR(__xludf.DUMMYFUNCTION("""COMPUTED_VALUE"""),4365.0)</f>
        <v>4365</v>
      </c>
      <c r="F766" s="1">
        <f>IFERROR(__xludf.DUMMYFUNCTION("""COMPUTED_VALUE"""),32605.0)</f>
        <v>32605</v>
      </c>
    </row>
    <row r="767">
      <c r="A767" s="2">
        <f>IFERROR(__xludf.DUMMYFUNCTION("""COMPUTED_VALUE"""),42314.64583333333)</f>
        <v>42314.64583</v>
      </c>
      <c r="B767" s="1">
        <f>IFERROR(__xludf.DUMMYFUNCTION("""COMPUTED_VALUE"""),4365.0)</f>
        <v>4365</v>
      </c>
      <c r="C767" s="1">
        <f>IFERROR(__xludf.DUMMYFUNCTION("""COMPUTED_VALUE"""),4490.0)</f>
        <v>4490</v>
      </c>
      <c r="D767" s="1">
        <f>IFERROR(__xludf.DUMMYFUNCTION("""COMPUTED_VALUE"""),4300.0)</f>
        <v>4300</v>
      </c>
      <c r="E767" s="1">
        <f>IFERROR(__xludf.DUMMYFUNCTION("""COMPUTED_VALUE"""),4445.0)</f>
        <v>4445</v>
      </c>
      <c r="F767" s="1">
        <f>IFERROR(__xludf.DUMMYFUNCTION("""COMPUTED_VALUE"""),48628.0)</f>
        <v>48628</v>
      </c>
    </row>
    <row r="768">
      <c r="A768" s="2">
        <f>IFERROR(__xludf.DUMMYFUNCTION("""COMPUTED_VALUE"""),42317.64583333333)</f>
        <v>42317.64583</v>
      </c>
      <c r="B768" s="1">
        <f>IFERROR(__xludf.DUMMYFUNCTION("""COMPUTED_VALUE"""),4450.0)</f>
        <v>4450</v>
      </c>
      <c r="C768" s="1">
        <f>IFERROR(__xludf.DUMMYFUNCTION("""COMPUTED_VALUE"""),4645.0)</f>
        <v>4645</v>
      </c>
      <c r="D768" s="1">
        <f>IFERROR(__xludf.DUMMYFUNCTION("""COMPUTED_VALUE"""),4450.0)</f>
        <v>4450</v>
      </c>
      <c r="E768" s="1">
        <f>IFERROR(__xludf.DUMMYFUNCTION("""COMPUTED_VALUE"""),4475.0)</f>
        <v>4475</v>
      </c>
      <c r="F768" s="1">
        <f>IFERROR(__xludf.DUMMYFUNCTION("""COMPUTED_VALUE"""),45950.0)</f>
        <v>45950</v>
      </c>
    </row>
    <row r="769">
      <c r="A769" s="2">
        <f>IFERROR(__xludf.DUMMYFUNCTION("""COMPUTED_VALUE"""),42318.64583333333)</f>
        <v>42318.64583</v>
      </c>
      <c r="B769" s="1">
        <f>IFERROR(__xludf.DUMMYFUNCTION("""COMPUTED_VALUE"""),4475.0)</f>
        <v>4475</v>
      </c>
      <c r="C769" s="1">
        <f>IFERROR(__xludf.DUMMYFUNCTION("""COMPUTED_VALUE"""),4600.0)</f>
        <v>4600</v>
      </c>
      <c r="D769" s="1">
        <f>IFERROR(__xludf.DUMMYFUNCTION("""COMPUTED_VALUE"""),4270.0)</f>
        <v>4270</v>
      </c>
      <c r="E769" s="1">
        <f>IFERROR(__xludf.DUMMYFUNCTION("""COMPUTED_VALUE"""),4320.0)</f>
        <v>4320</v>
      </c>
      <c r="F769" s="1">
        <f>IFERROR(__xludf.DUMMYFUNCTION("""COMPUTED_VALUE"""),22233.0)</f>
        <v>22233</v>
      </c>
    </row>
    <row r="770">
      <c r="A770" s="2">
        <f>IFERROR(__xludf.DUMMYFUNCTION("""COMPUTED_VALUE"""),42319.64583333333)</f>
        <v>42319.64583</v>
      </c>
      <c r="B770" s="1">
        <f>IFERROR(__xludf.DUMMYFUNCTION("""COMPUTED_VALUE"""),4520.0)</f>
        <v>4520</v>
      </c>
      <c r="C770" s="1">
        <f>IFERROR(__xludf.DUMMYFUNCTION("""COMPUTED_VALUE"""),4520.0)</f>
        <v>4520</v>
      </c>
      <c r="D770" s="1">
        <f>IFERROR(__xludf.DUMMYFUNCTION("""COMPUTED_VALUE"""),4310.0)</f>
        <v>4310</v>
      </c>
      <c r="E770" s="1">
        <f>IFERROR(__xludf.DUMMYFUNCTION("""COMPUTED_VALUE"""),4495.0)</f>
        <v>4495</v>
      </c>
      <c r="F770" s="1">
        <f>IFERROR(__xludf.DUMMYFUNCTION("""COMPUTED_VALUE"""),6617.0)</f>
        <v>6617</v>
      </c>
    </row>
    <row r="771">
      <c r="A771" s="2">
        <f>IFERROR(__xludf.DUMMYFUNCTION("""COMPUTED_VALUE"""),42320.64583333333)</f>
        <v>42320.64583</v>
      </c>
      <c r="B771" s="1">
        <f>IFERROR(__xludf.DUMMYFUNCTION("""COMPUTED_VALUE"""),4430.0)</f>
        <v>4430</v>
      </c>
      <c r="C771" s="1">
        <f>IFERROR(__xludf.DUMMYFUNCTION("""COMPUTED_VALUE"""),4520.0)</f>
        <v>4520</v>
      </c>
      <c r="D771" s="1">
        <f>IFERROR(__xludf.DUMMYFUNCTION("""COMPUTED_VALUE"""),4350.0)</f>
        <v>4350</v>
      </c>
      <c r="E771" s="1">
        <f>IFERROR(__xludf.DUMMYFUNCTION("""COMPUTED_VALUE"""),4375.0)</f>
        <v>4375</v>
      </c>
      <c r="F771" s="1">
        <f>IFERROR(__xludf.DUMMYFUNCTION("""COMPUTED_VALUE"""),17279.0)</f>
        <v>17279</v>
      </c>
    </row>
    <row r="772">
      <c r="A772" s="2">
        <f>IFERROR(__xludf.DUMMYFUNCTION("""COMPUTED_VALUE"""),42321.64583333333)</f>
        <v>42321.64583</v>
      </c>
      <c r="B772" s="1">
        <f>IFERROR(__xludf.DUMMYFUNCTION("""COMPUTED_VALUE"""),4470.0)</f>
        <v>4470</v>
      </c>
      <c r="C772" s="1">
        <f>IFERROR(__xludf.DUMMYFUNCTION("""COMPUTED_VALUE"""),4470.0)</f>
        <v>4470</v>
      </c>
      <c r="D772" s="1">
        <f>IFERROR(__xludf.DUMMYFUNCTION("""COMPUTED_VALUE"""),4210.0)</f>
        <v>4210</v>
      </c>
      <c r="E772" s="1">
        <f>IFERROR(__xludf.DUMMYFUNCTION("""COMPUTED_VALUE"""),4340.0)</f>
        <v>4340</v>
      </c>
      <c r="F772" s="1">
        <f>IFERROR(__xludf.DUMMYFUNCTION("""COMPUTED_VALUE"""),16029.0)</f>
        <v>16029</v>
      </c>
    </row>
    <row r="773">
      <c r="A773" s="2">
        <f>IFERROR(__xludf.DUMMYFUNCTION("""COMPUTED_VALUE"""),42324.64583333333)</f>
        <v>42324.64583</v>
      </c>
      <c r="B773" s="1">
        <f>IFERROR(__xludf.DUMMYFUNCTION("""COMPUTED_VALUE"""),4320.0)</f>
        <v>4320</v>
      </c>
      <c r="C773" s="1">
        <f>IFERROR(__xludf.DUMMYFUNCTION("""COMPUTED_VALUE"""),4345.0)</f>
        <v>4345</v>
      </c>
      <c r="D773" s="1">
        <f>IFERROR(__xludf.DUMMYFUNCTION("""COMPUTED_VALUE"""),4150.0)</f>
        <v>4150</v>
      </c>
      <c r="E773" s="1">
        <f>IFERROR(__xludf.DUMMYFUNCTION("""COMPUTED_VALUE"""),4300.0)</f>
        <v>4300</v>
      </c>
      <c r="F773" s="1">
        <f>IFERROR(__xludf.DUMMYFUNCTION("""COMPUTED_VALUE"""),36374.0)</f>
        <v>36374</v>
      </c>
    </row>
    <row r="774">
      <c r="A774" s="2">
        <f>IFERROR(__xludf.DUMMYFUNCTION("""COMPUTED_VALUE"""),42325.64583333333)</f>
        <v>42325.64583</v>
      </c>
      <c r="B774" s="1">
        <f>IFERROR(__xludf.DUMMYFUNCTION("""COMPUTED_VALUE"""),4255.0)</f>
        <v>4255</v>
      </c>
      <c r="C774" s="1">
        <f>IFERROR(__xludf.DUMMYFUNCTION("""COMPUTED_VALUE"""),4600.0)</f>
        <v>4600</v>
      </c>
      <c r="D774" s="1">
        <f>IFERROR(__xludf.DUMMYFUNCTION("""COMPUTED_VALUE"""),4250.0)</f>
        <v>4250</v>
      </c>
      <c r="E774" s="1">
        <f>IFERROR(__xludf.DUMMYFUNCTION("""COMPUTED_VALUE"""),4420.0)</f>
        <v>4420</v>
      </c>
      <c r="F774" s="1">
        <f>IFERROR(__xludf.DUMMYFUNCTION("""COMPUTED_VALUE"""),28195.0)</f>
        <v>28195</v>
      </c>
    </row>
    <row r="775">
      <c r="A775" s="2">
        <f>IFERROR(__xludf.DUMMYFUNCTION("""COMPUTED_VALUE"""),42326.64583333333)</f>
        <v>42326.64583</v>
      </c>
      <c r="B775" s="1">
        <f>IFERROR(__xludf.DUMMYFUNCTION("""COMPUTED_VALUE"""),4530.0)</f>
        <v>4530</v>
      </c>
      <c r="C775" s="1">
        <f>IFERROR(__xludf.DUMMYFUNCTION("""COMPUTED_VALUE"""),4530.0)</f>
        <v>4530</v>
      </c>
      <c r="D775" s="1">
        <f>IFERROR(__xludf.DUMMYFUNCTION("""COMPUTED_VALUE"""),4385.0)</f>
        <v>4385</v>
      </c>
      <c r="E775" s="1">
        <f>IFERROR(__xludf.DUMMYFUNCTION("""COMPUTED_VALUE"""),4425.0)</f>
        <v>4425</v>
      </c>
      <c r="F775" s="1">
        <f>IFERROR(__xludf.DUMMYFUNCTION("""COMPUTED_VALUE"""),30691.0)</f>
        <v>30691</v>
      </c>
    </row>
    <row r="776">
      <c r="A776" s="2">
        <f>IFERROR(__xludf.DUMMYFUNCTION("""COMPUTED_VALUE"""),42327.64583333333)</f>
        <v>42327.64583</v>
      </c>
      <c r="B776" s="1">
        <f>IFERROR(__xludf.DUMMYFUNCTION("""COMPUTED_VALUE"""),4365.0)</f>
        <v>4365</v>
      </c>
      <c r="C776" s="1">
        <f>IFERROR(__xludf.DUMMYFUNCTION("""COMPUTED_VALUE"""),4600.0)</f>
        <v>4600</v>
      </c>
      <c r="D776" s="1">
        <f>IFERROR(__xludf.DUMMYFUNCTION("""COMPUTED_VALUE"""),4255.0)</f>
        <v>4255</v>
      </c>
      <c r="E776" s="1">
        <f>IFERROR(__xludf.DUMMYFUNCTION("""COMPUTED_VALUE"""),4410.0)</f>
        <v>4410</v>
      </c>
      <c r="F776" s="1">
        <f>IFERROR(__xludf.DUMMYFUNCTION("""COMPUTED_VALUE"""),53275.0)</f>
        <v>53275</v>
      </c>
    </row>
    <row r="777">
      <c r="A777" s="2">
        <f>IFERROR(__xludf.DUMMYFUNCTION("""COMPUTED_VALUE"""),42328.64583333333)</f>
        <v>42328.64583</v>
      </c>
      <c r="B777" s="1">
        <f>IFERROR(__xludf.DUMMYFUNCTION("""COMPUTED_VALUE"""),4435.0)</f>
        <v>4435</v>
      </c>
      <c r="C777" s="1">
        <f>IFERROR(__xludf.DUMMYFUNCTION("""COMPUTED_VALUE"""),4435.0)</f>
        <v>4435</v>
      </c>
      <c r="D777" s="1">
        <f>IFERROR(__xludf.DUMMYFUNCTION("""COMPUTED_VALUE"""),4250.0)</f>
        <v>4250</v>
      </c>
      <c r="E777" s="1">
        <f>IFERROR(__xludf.DUMMYFUNCTION("""COMPUTED_VALUE"""),4285.0)</f>
        <v>4285</v>
      </c>
      <c r="F777" s="1">
        <f>IFERROR(__xludf.DUMMYFUNCTION("""COMPUTED_VALUE"""),40073.0)</f>
        <v>40073</v>
      </c>
    </row>
    <row r="778">
      <c r="A778" s="2">
        <f>IFERROR(__xludf.DUMMYFUNCTION("""COMPUTED_VALUE"""),42331.64583333333)</f>
        <v>42331.64583</v>
      </c>
      <c r="B778" s="1">
        <f>IFERROR(__xludf.DUMMYFUNCTION("""COMPUTED_VALUE"""),4285.0)</f>
        <v>4285</v>
      </c>
      <c r="C778" s="1">
        <f>IFERROR(__xludf.DUMMYFUNCTION("""COMPUTED_VALUE"""),4490.0)</f>
        <v>4490</v>
      </c>
      <c r="D778" s="1">
        <f>IFERROR(__xludf.DUMMYFUNCTION("""COMPUTED_VALUE"""),4200.0)</f>
        <v>4200</v>
      </c>
      <c r="E778" s="1">
        <f>IFERROR(__xludf.DUMMYFUNCTION("""COMPUTED_VALUE"""),4230.0)</f>
        <v>4230</v>
      </c>
      <c r="F778" s="1">
        <f>IFERROR(__xludf.DUMMYFUNCTION("""COMPUTED_VALUE"""),26680.0)</f>
        <v>26680</v>
      </c>
    </row>
    <row r="779">
      <c r="A779" s="2">
        <f>IFERROR(__xludf.DUMMYFUNCTION("""COMPUTED_VALUE"""),42332.64583333333)</f>
        <v>42332.64583</v>
      </c>
      <c r="B779" s="1">
        <f>IFERROR(__xludf.DUMMYFUNCTION("""COMPUTED_VALUE"""),4235.0)</f>
        <v>4235</v>
      </c>
      <c r="C779" s="1">
        <f>IFERROR(__xludf.DUMMYFUNCTION("""COMPUTED_VALUE"""),4300.0)</f>
        <v>4300</v>
      </c>
      <c r="D779" s="1">
        <f>IFERROR(__xludf.DUMMYFUNCTION("""COMPUTED_VALUE"""),4155.0)</f>
        <v>4155</v>
      </c>
      <c r="E779" s="1">
        <f>IFERROR(__xludf.DUMMYFUNCTION("""COMPUTED_VALUE"""),4300.0)</f>
        <v>4300</v>
      </c>
      <c r="F779" s="1">
        <f>IFERROR(__xludf.DUMMYFUNCTION("""COMPUTED_VALUE"""),29394.0)</f>
        <v>29394</v>
      </c>
    </row>
    <row r="780">
      <c r="A780" s="2">
        <f>IFERROR(__xludf.DUMMYFUNCTION("""COMPUTED_VALUE"""),42333.64583333333)</f>
        <v>42333.64583</v>
      </c>
      <c r="B780" s="1">
        <f>IFERROR(__xludf.DUMMYFUNCTION("""COMPUTED_VALUE"""),4340.0)</f>
        <v>4340</v>
      </c>
      <c r="C780" s="1">
        <f>IFERROR(__xludf.DUMMYFUNCTION("""COMPUTED_VALUE"""),4340.0)</f>
        <v>4340</v>
      </c>
      <c r="D780" s="1">
        <f>IFERROR(__xludf.DUMMYFUNCTION("""COMPUTED_VALUE"""),4130.0)</f>
        <v>4130</v>
      </c>
      <c r="E780" s="1">
        <f>IFERROR(__xludf.DUMMYFUNCTION("""COMPUTED_VALUE"""),4195.0)</f>
        <v>4195</v>
      </c>
      <c r="F780" s="1">
        <f>IFERROR(__xludf.DUMMYFUNCTION("""COMPUTED_VALUE"""),21361.0)</f>
        <v>21361</v>
      </c>
    </row>
    <row r="781">
      <c r="A781" s="2">
        <f>IFERROR(__xludf.DUMMYFUNCTION("""COMPUTED_VALUE"""),42334.64583333333)</f>
        <v>42334.64583</v>
      </c>
      <c r="B781" s="1">
        <f>IFERROR(__xludf.DUMMYFUNCTION("""COMPUTED_VALUE"""),4105.0)</f>
        <v>4105</v>
      </c>
      <c r="C781" s="1">
        <f>IFERROR(__xludf.DUMMYFUNCTION("""COMPUTED_VALUE"""),4200.0)</f>
        <v>4200</v>
      </c>
      <c r="D781" s="1">
        <f>IFERROR(__xludf.DUMMYFUNCTION("""COMPUTED_VALUE"""),4030.0)</f>
        <v>4030</v>
      </c>
      <c r="E781" s="1">
        <f>IFERROR(__xludf.DUMMYFUNCTION("""COMPUTED_VALUE"""),4100.0)</f>
        <v>4100</v>
      </c>
      <c r="F781" s="1">
        <f>IFERROR(__xludf.DUMMYFUNCTION("""COMPUTED_VALUE"""),55059.0)</f>
        <v>55059</v>
      </c>
    </row>
    <row r="782">
      <c r="A782" s="2">
        <f>IFERROR(__xludf.DUMMYFUNCTION("""COMPUTED_VALUE"""),42335.64583333333)</f>
        <v>42335.64583</v>
      </c>
      <c r="B782" s="1">
        <f>IFERROR(__xludf.DUMMYFUNCTION("""COMPUTED_VALUE"""),4095.0)</f>
        <v>4095</v>
      </c>
      <c r="C782" s="1">
        <f>IFERROR(__xludf.DUMMYFUNCTION("""COMPUTED_VALUE"""),4130.0)</f>
        <v>4130</v>
      </c>
      <c r="D782" s="1">
        <f>IFERROR(__xludf.DUMMYFUNCTION("""COMPUTED_VALUE"""),4035.0)</f>
        <v>4035</v>
      </c>
      <c r="E782" s="1">
        <f>IFERROR(__xludf.DUMMYFUNCTION("""COMPUTED_VALUE"""),4115.0)</f>
        <v>4115</v>
      </c>
      <c r="F782" s="1">
        <f>IFERROR(__xludf.DUMMYFUNCTION("""COMPUTED_VALUE"""),29897.0)</f>
        <v>29897</v>
      </c>
    </row>
    <row r="783">
      <c r="A783" s="2">
        <f>IFERROR(__xludf.DUMMYFUNCTION("""COMPUTED_VALUE"""),42338.64583333333)</f>
        <v>42338.64583</v>
      </c>
      <c r="B783" s="1">
        <f>IFERROR(__xludf.DUMMYFUNCTION("""COMPUTED_VALUE"""),4200.0)</f>
        <v>4200</v>
      </c>
      <c r="C783" s="1">
        <f>IFERROR(__xludf.DUMMYFUNCTION("""COMPUTED_VALUE"""),4200.0)</f>
        <v>4200</v>
      </c>
      <c r="D783" s="1">
        <f>IFERROR(__xludf.DUMMYFUNCTION("""COMPUTED_VALUE"""),4030.0)</f>
        <v>4030</v>
      </c>
      <c r="E783" s="1">
        <f>IFERROR(__xludf.DUMMYFUNCTION("""COMPUTED_VALUE"""),4040.0)</f>
        <v>4040</v>
      </c>
      <c r="F783" s="1">
        <f>IFERROR(__xludf.DUMMYFUNCTION("""COMPUTED_VALUE"""),20029.0)</f>
        <v>20029</v>
      </c>
    </row>
    <row r="784">
      <c r="A784" s="2">
        <f>IFERROR(__xludf.DUMMYFUNCTION("""COMPUTED_VALUE"""),42339.64583333333)</f>
        <v>42339.64583</v>
      </c>
      <c r="B784" s="1">
        <f>IFERROR(__xludf.DUMMYFUNCTION("""COMPUTED_VALUE"""),4160.0)</f>
        <v>4160</v>
      </c>
      <c r="C784" s="1">
        <f>IFERROR(__xludf.DUMMYFUNCTION("""COMPUTED_VALUE"""),4160.0)</f>
        <v>4160</v>
      </c>
      <c r="D784" s="1">
        <f>IFERROR(__xludf.DUMMYFUNCTION("""COMPUTED_VALUE"""),4000.0)</f>
        <v>4000</v>
      </c>
      <c r="E784" s="1">
        <f>IFERROR(__xludf.DUMMYFUNCTION("""COMPUTED_VALUE"""),4120.0)</f>
        <v>4120</v>
      </c>
      <c r="F784" s="1">
        <f>IFERROR(__xludf.DUMMYFUNCTION("""COMPUTED_VALUE"""),32350.0)</f>
        <v>32350</v>
      </c>
    </row>
    <row r="785">
      <c r="A785" s="2">
        <f>IFERROR(__xludf.DUMMYFUNCTION("""COMPUTED_VALUE"""),42340.64583333333)</f>
        <v>42340.64583</v>
      </c>
      <c r="B785" s="1">
        <f>IFERROR(__xludf.DUMMYFUNCTION("""COMPUTED_VALUE"""),4190.0)</f>
        <v>4190</v>
      </c>
      <c r="C785" s="1">
        <f>IFERROR(__xludf.DUMMYFUNCTION("""COMPUTED_VALUE"""),4190.0)</f>
        <v>4190</v>
      </c>
      <c r="D785" s="1">
        <f>IFERROR(__xludf.DUMMYFUNCTION("""COMPUTED_VALUE"""),3985.0)</f>
        <v>3985</v>
      </c>
      <c r="E785" s="1">
        <f>IFERROR(__xludf.DUMMYFUNCTION("""COMPUTED_VALUE"""),4005.0)</f>
        <v>4005</v>
      </c>
      <c r="F785" s="1">
        <f>IFERROR(__xludf.DUMMYFUNCTION("""COMPUTED_VALUE"""),44436.0)</f>
        <v>44436</v>
      </c>
    </row>
    <row r="786">
      <c r="A786" s="2">
        <f>IFERROR(__xludf.DUMMYFUNCTION("""COMPUTED_VALUE"""),42341.64583333333)</f>
        <v>42341.64583</v>
      </c>
      <c r="B786" s="1">
        <f>IFERROR(__xludf.DUMMYFUNCTION("""COMPUTED_VALUE"""),4005.0)</f>
        <v>4005</v>
      </c>
      <c r="C786" s="1">
        <f>IFERROR(__xludf.DUMMYFUNCTION("""COMPUTED_VALUE"""),4120.0)</f>
        <v>4120</v>
      </c>
      <c r="D786" s="1">
        <f>IFERROR(__xludf.DUMMYFUNCTION("""COMPUTED_VALUE"""),3870.0)</f>
        <v>3870</v>
      </c>
      <c r="E786" s="1">
        <f>IFERROR(__xludf.DUMMYFUNCTION("""COMPUTED_VALUE"""),4120.0)</f>
        <v>4120</v>
      </c>
      <c r="F786" s="1">
        <f>IFERROR(__xludf.DUMMYFUNCTION("""COMPUTED_VALUE"""),1122968.0)</f>
        <v>1122968</v>
      </c>
    </row>
    <row r="787">
      <c r="A787" s="2">
        <f>IFERROR(__xludf.DUMMYFUNCTION("""COMPUTED_VALUE"""),42342.64583333333)</f>
        <v>42342.64583</v>
      </c>
      <c r="B787" s="1">
        <f>IFERROR(__xludf.DUMMYFUNCTION("""COMPUTED_VALUE"""),4140.0)</f>
        <v>4140</v>
      </c>
      <c r="C787" s="1">
        <f>IFERROR(__xludf.DUMMYFUNCTION("""COMPUTED_VALUE"""),4150.0)</f>
        <v>4150</v>
      </c>
      <c r="D787" s="1">
        <f>IFERROR(__xludf.DUMMYFUNCTION("""COMPUTED_VALUE"""),3910.0)</f>
        <v>3910</v>
      </c>
      <c r="E787" s="1">
        <f>IFERROR(__xludf.DUMMYFUNCTION("""COMPUTED_VALUE"""),4035.0)</f>
        <v>4035</v>
      </c>
      <c r="F787" s="1">
        <f>IFERROR(__xludf.DUMMYFUNCTION("""COMPUTED_VALUE"""),62063.0)</f>
        <v>62063</v>
      </c>
    </row>
    <row r="788">
      <c r="A788" s="2">
        <f>IFERROR(__xludf.DUMMYFUNCTION("""COMPUTED_VALUE"""),42345.64583333333)</f>
        <v>42345.64583</v>
      </c>
      <c r="B788" s="1">
        <f>IFERROR(__xludf.DUMMYFUNCTION("""COMPUTED_VALUE"""),4135.0)</f>
        <v>4135</v>
      </c>
      <c r="C788" s="1">
        <f>IFERROR(__xludf.DUMMYFUNCTION("""COMPUTED_VALUE"""),5200.0)</f>
        <v>5200</v>
      </c>
      <c r="D788" s="1">
        <f>IFERROR(__xludf.DUMMYFUNCTION("""COMPUTED_VALUE"""),4035.0)</f>
        <v>4035</v>
      </c>
      <c r="E788" s="1">
        <f>IFERROR(__xludf.DUMMYFUNCTION("""COMPUTED_VALUE"""),4405.0)</f>
        <v>4405</v>
      </c>
      <c r="F788" s="1">
        <f>IFERROR(__xludf.DUMMYFUNCTION("""COMPUTED_VALUE"""),274382.0)</f>
        <v>274382</v>
      </c>
    </row>
    <row r="789">
      <c r="A789" s="2">
        <f>IFERROR(__xludf.DUMMYFUNCTION("""COMPUTED_VALUE"""),42346.64583333333)</f>
        <v>42346.64583</v>
      </c>
      <c r="B789" s="1">
        <f>IFERROR(__xludf.DUMMYFUNCTION("""COMPUTED_VALUE"""),4410.0)</f>
        <v>4410</v>
      </c>
      <c r="C789" s="1">
        <f>IFERROR(__xludf.DUMMYFUNCTION("""COMPUTED_VALUE"""),4450.0)</f>
        <v>4450</v>
      </c>
      <c r="D789" s="1">
        <f>IFERROR(__xludf.DUMMYFUNCTION("""COMPUTED_VALUE"""),4210.0)</f>
        <v>4210</v>
      </c>
      <c r="E789" s="1">
        <f>IFERROR(__xludf.DUMMYFUNCTION("""COMPUTED_VALUE"""),4330.0)</f>
        <v>4330</v>
      </c>
      <c r="F789" s="1">
        <f>IFERROR(__xludf.DUMMYFUNCTION("""COMPUTED_VALUE"""),68071.0)</f>
        <v>68071</v>
      </c>
    </row>
    <row r="790">
      <c r="A790" s="2">
        <f>IFERROR(__xludf.DUMMYFUNCTION("""COMPUTED_VALUE"""),42347.64583333333)</f>
        <v>42347.64583</v>
      </c>
      <c r="B790" s="1">
        <f>IFERROR(__xludf.DUMMYFUNCTION("""COMPUTED_VALUE"""),4290.0)</f>
        <v>4290</v>
      </c>
      <c r="C790" s="1">
        <f>IFERROR(__xludf.DUMMYFUNCTION("""COMPUTED_VALUE"""),4400.0)</f>
        <v>4400</v>
      </c>
      <c r="D790" s="1">
        <f>IFERROR(__xludf.DUMMYFUNCTION("""COMPUTED_VALUE"""),4150.0)</f>
        <v>4150</v>
      </c>
      <c r="E790" s="1">
        <f>IFERROR(__xludf.DUMMYFUNCTION("""COMPUTED_VALUE"""),4200.0)</f>
        <v>4200</v>
      </c>
      <c r="F790" s="1">
        <f>IFERROR(__xludf.DUMMYFUNCTION("""COMPUTED_VALUE"""),115849.0)</f>
        <v>115849</v>
      </c>
    </row>
    <row r="791">
      <c r="A791" s="2">
        <f>IFERROR(__xludf.DUMMYFUNCTION("""COMPUTED_VALUE"""),42348.64583333333)</f>
        <v>42348.64583</v>
      </c>
      <c r="B791" s="1">
        <f>IFERROR(__xludf.DUMMYFUNCTION("""COMPUTED_VALUE"""),4115.0)</f>
        <v>4115</v>
      </c>
      <c r="C791" s="1">
        <f>IFERROR(__xludf.DUMMYFUNCTION("""COMPUTED_VALUE"""),4295.0)</f>
        <v>4295</v>
      </c>
      <c r="D791" s="1">
        <f>IFERROR(__xludf.DUMMYFUNCTION("""COMPUTED_VALUE"""),4000.0)</f>
        <v>4000</v>
      </c>
      <c r="E791" s="1">
        <f>IFERROR(__xludf.DUMMYFUNCTION("""COMPUTED_VALUE"""),4145.0)</f>
        <v>4145</v>
      </c>
      <c r="F791" s="1">
        <f>IFERROR(__xludf.DUMMYFUNCTION("""COMPUTED_VALUE"""),125664.0)</f>
        <v>125664</v>
      </c>
    </row>
    <row r="792">
      <c r="A792" s="2">
        <f>IFERROR(__xludf.DUMMYFUNCTION("""COMPUTED_VALUE"""),42349.64583333333)</f>
        <v>42349.64583</v>
      </c>
      <c r="B792" s="1">
        <f>IFERROR(__xludf.DUMMYFUNCTION("""COMPUTED_VALUE"""),4220.0)</f>
        <v>4220</v>
      </c>
      <c r="C792" s="1">
        <f>IFERROR(__xludf.DUMMYFUNCTION("""COMPUTED_VALUE"""),4235.0)</f>
        <v>4235</v>
      </c>
      <c r="D792" s="1">
        <f>IFERROR(__xludf.DUMMYFUNCTION("""COMPUTED_VALUE"""),4020.0)</f>
        <v>4020</v>
      </c>
      <c r="E792" s="1">
        <f>IFERROR(__xludf.DUMMYFUNCTION("""COMPUTED_VALUE"""),4140.0)</f>
        <v>4140</v>
      </c>
      <c r="F792" s="1">
        <f>IFERROR(__xludf.DUMMYFUNCTION("""COMPUTED_VALUE"""),116788.0)</f>
        <v>116788</v>
      </c>
    </row>
    <row r="793">
      <c r="A793" s="2">
        <f>IFERROR(__xludf.DUMMYFUNCTION("""COMPUTED_VALUE"""),42352.64583333333)</f>
        <v>42352.64583</v>
      </c>
      <c r="B793" s="1">
        <f>IFERROR(__xludf.DUMMYFUNCTION("""COMPUTED_VALUE"""),4190.0)</f>
        <v>4190</v>
      </c>
      <c r="C793" s="1">
        <f>IFERROR(__xludf.DUMMYFUNCTION("""COMPUTED_VALUE"""),4190.0)</f>
        <v>4190</v>
      </c>
      <c r="D793" s="1">
        <f>IFERROR(__xludf.DUMMYFUNCTION("""COMPUTED_VALUE"""),3985.0)</f>
        <v>3985</v>
      </c>
      <c r="E793" s="1">
        <f>IFERROR(__xludf.DUMMYFUNCTION("""COMPUTED_VALUE"""),4100.0)</f>
        <v>4100</v>
      </c>
      <c r="F793" s="1">
        <f>IFERROR(__xludf.DUMMYFUNCTION("""COMPUTED_VALUE"""),83378.0)</f>
        <v>83378</v>
      </c>
    </row>
    <row r="794">
      <c r="A794" s="2">
        <f>IFERROR(__xludf.DUMMYFUNCTION("""COMPUTED_VALUE"""),42353.64583333333)</f>
        <v>42353.64583</v>
      </c>
      <c r="B794" s="1">
        <f>IFERROR(__xludf.DUMMYFUNCTION("""COMPUTED_VALUE"""),3950.0)</f>
        <v>3950</v>
      </c>
      <c r="C794" s="1">
        <f>IFERROR(__xludf.DUMMYFUNCTION("""COMPUTED_VALUE"""),4125.0)</f>
        <v>4125</v>
      </c>
      <c r="D794" s="1">
        <f>IFERROR(__xludf.DUMMYFUNCTION("""COMPUTED_VALUE"""),3880.0)</f>
        <v>3880</v>
      </c>
      <c r="E794" s="1">
        <f>IFERROR(__xludf.DUMMYFUNCTION("""COMPUTED_VALUE"""),3925.0)</f>
        <v>3925</v>
      </c>
      <c r="F794" s="1">
        <f>IFERROR(__xludf.DUMMYFUNCTION("""COMPUTED_VALUE"""),136235.0)</f>
        <v>136235</v>
      </c>
    </row>
    <row r="795">
      <c r="A795" s="2">
        <f>IFERROR(__xludf.DUMMYFUNCTION("""COMPUTED_VALUE"""),42354.64583333333)</f>
        <v>42354.64583</v>
      </c>
      <c r="B795" s="1">
        <f>IFERROR(__xludf.DUMMYFUNCTION("""COMPUTED_VALUE"""),4050.0)</f>
        <v>4050</v>
      </c>
      <c r="C795" s="1">
        <f>IFERROR(__xludf.DUMMYFUNCTION("""COMPUTED_VALUE"""),4050.0)</f>
        <v>4050</v>
      </c>
      <c r="D795" s="1">
        <f>IFERROR(__xludf.DUMMYFUNCTION("""COMPUTED_VALUE"""),3790.0)</f>
        <v>3790</v>
      </c>
      <c r="E795" s="1">
        <f>IFERROR(__xludf.DUMMYFUNCTION("""COMPUTED_VALUE"""),3880.0)</f>
        <v>3880</v>
      </c>
      <c r="F795" s="1">
        <f>IFERROR(__xludf.DUMMYFUNCTION("""COMPUTED_VALUE"""),259219.0)</f>
        <v>259219</v>
      </c>
    </row>
    <row r="796">
      <c r="A796" s="2">
        <f>IFERROR(__xludf.DUMMYFUNCTION("""COMPUTED_VALUE"""),42355.64583333333)</f>
        <v>42355.64583</v>
      </c>
      <c r="B796" s="1">
        <f>IFERROR(__xludf.DUMMYFUNCTION("""COMPUTED_VALUE"""),3880.0)</f>
        <v>3880</v>
      </c>
      <c r="C796" s="1">
        <f>IFERROR(__xludf.DUMMYFUNCTION("""COMPUTED_VALUE"""),4080.0)</f>
        <v>4080</v>
      </c>
      <c r="D796" s="1">
        <f>IFERROR(__xludf.DUMMYFUNCTION("""COMPUTED_VALUE"""),3750.0)</f>
        <v>3750</v>
      </c>
      <c r="E796" s="1">
        <f>IFERROR(__xludf.DUMMYFUNCTION("""COMPUTED_VALUE"""),4070.0)</f>
        <v>4070</v>
      </c>
      <c r="F796" s="1">
        <f>IFERROR(__xludf.DUMMYFUNCTION("""COMPUTED_VALUE"""),264088.0)</f>
        <v>264088</v>
      </c>
    </row>
    <row r="797">
      <c r="A797" s="2">
        <f>IFERROR(__xludf.DUMMYFUNCTION("""COMPUTED_VALUE"""),42356.64583333333)</f>
        <v>42356.64583</v>
      </c>
      <c r="B797" s="1">
        <f>IFERROR(__xludf.DUMMYFUNCTION("""COMPUTED_VALUE"""),4005.0)</f>
        <v>4005</v>
      </c>
      <c r="C797" s="1">
        <f>IFERROR(__xludf.DUMMYFUNCTION("""COMPUTED_VALUE"""),4100.0)</f>
        <v>4100</v>
      </c>
      <c r="D797" s="1">
        <f>IFERROR(__xludf.DUMMYFUNCTION("""COMPUTED_VALUE"""),3955.0)</f>
        <v>3955</v>
      </c>
      <c r="E797" s="1">
        <f>IFERROR(__xludf.DUMMYFUNCTION("""COMPUTED_VALUE"""),4045.0)</f>
        <v>4045</v>
      </c>
      <c r="F797" s="1">
        <f>IFERROR(__xludf.DUMMYFUNCTION("""COMPUTED_VALUE"""),136985.0)</f>
        <v>136985</v>
      </c>
    </row>
    <row r="798">
      <c r="A798" s="2">
        <f>IFERROR(__xludf.DUMMYFUNCTION("""COMPUTED_VALUE"""),42359.64583333333)</f>
        <v>42359.64583</v>
      </c>
      <c r="B798" s="1">
        <f>IFERROR(__xludf.DUMMYFUNCTION("""COMPUTED_VALUE"""),4000.0)</f>
        <v>4000</v>
      </c>
      <c r="C798" s="1">
        <f>IFERROR(__xludf.DUMMYFUNCTION("""COMPUTED_VALUE"""),4080.0)</f>
        <v>4080</v>
      </c>
      <c r="D798" s="1">
        <f>IFERROR(__xludf.DUMMYFUNCTION("""COMPUTED_VALUE"""),3980.0)</f>
        <v>3980</v>
      </c>
      <c r="E798" s="1">
        <f>IFERROR(__xludf.DUMMYFUNCTION("""COMPUTED_VALUE"""),4010.0)</f>
        <v>4010</v>
      </c>
      <c r="F798" s="1">
        <f>IFERROR(__xludf.DUMMYFUNCTION("""COMPUTED_VALUE"""),31175.0)</f>
        <v>31175</v>
      </c>
    </row>
    <row r="799">
      <c r="A799" s="2">
        <f>IFERROR(__xludf.DUMMYFUNCTION("""COMPUTED_VALUE"""),42360.64583333333)</f>
        <v>42360.64583</v>
      </c>
      <c r="B799" s="1">
        <f>IFERROR(__xludf.DUMMYFUNCTION("""COMPUTED_VALUE"""),4095.0)</f>
        <v>4095</v>
      </c>
      <c r="C799" s="1">
        <f>IFERROR(__xludf.DUMMYFUNCTION("""COMPUTED_VALUE"""),4395.0)</f>
        <v>4395</v>
      </c>
      <c r="D799" s="1">
        <f>IFERROR(__xludf.DUMMYFUNCTION("""COMPUTED_VALUE"""),3955.0)</f>
        <v>3955</v>
      </c>
      <c r="E799" s="1">
        <f>IFERROR(__xludf.DUMMYFUNCTION("""COMPUTED_VALUE"""),4210.0)</f>
        <v>4210</v>
      </c>
      <c r="F799" s="1">
        <f>IFERROR(__xludf.DUMMYFUNCTION("""COMPUTED_VALUE"""),116874.0)</f>
        <v>116874</v>
      </c>
    </row>
    <row r="800">
      <c r="A800" s="2">
        <f>IFERROR(__xludf.DUMMYFUNCTION("""COMPUTED_VALUE"""),42361.64583333333)</f>
        <v>42361.64583</v>
      </c>
      <c r="B800" s="1">
        <f>IFERROR(__xludf.DUMMYFUNCTION("""COMPUTED_VALUE"""),4125.0)</f>
        <v>4125</v>
      </c>
      <c r="C800" s="1">
        <f>IFERROR(__xludf.DUMMYFUNCTION("""COMPUTED_VALUE"""),4470.0)</f>
        <v>4470</v>
      </c>
      <c r="D800" s="1">
        <f>IFERROR(__xludf.DUMMYFUNCTION("""COMPUTED_VALUE"""),4125.0)</f>
        <v>4125</v>
      </c>
      <c r="E800" s="1">
        <f>IFERROR(__xludf.DUMMYFUNCTION("""COMPUTED_VALUE"""),4330.0)</f>
        <v>4330</v>
      </c>
      <c r="F800" s="1">
        <f>IFERROR(__xludf.DUMMYFUNCTION("""COMPUTED_VALUE"""),115557.0)</f>
        <v>115557</v>
      </c>
    </row>
    <row r="801">
      <c r="A801" s="2">
        <f>IFERROR(__xludf.DUMMYFUNCTION("""COMPUTED_VALUE"""),42362.64583333333)</f>
        <v>42362.64583</v>
      </c>
      <c r="B801" s="1">
        <f>IFERROR(__xludf.DUMMYFUNCTION("""COMPUTED_VALUE"""),4385.0)</f>
        <v>4385</v>
      </c>
      <c r="C801" s="1">
        <f>IFERROR(__xludf.DUMMYFUNCTION("""COMPUTED_VALUE"""),4440.0)</f>
        <v>4440</v>
      </c>
      <c r="D801" s="1">
        <f>IFERROR(__xludf.DUMMYFUNCTION("""COMPUTED_VALUE"""),4220.0)</f>
        <v>4220</v>
      </c>
      <c r="E801" s="1">
        <f>IFERROR(__xludf.DUMMYFUNCTION("""COMPUTED_VALUE"""),4345.0)</f>
        <v>4345</v>
      </c>
      <c r="F801" s="1">
        <f>IFERROR(__xludf.DUMMYFUNCTION("""COMPUTED_VALUE"""),83918.0)</f>
        <v>83918</v>
      </c>
    </row>
    <row r="802">
      <c r="A802" s="2">
        <f>IFERROR(__xludf.DUMMYFUNCTION("""COMPUTED_VALUE"""),42366.64583333333)</f>
        <v>42366.64583</v>
      </c>
      <c r="B802" s="1">
        <f>IFERROR(__xludf.DUMMYFUNCTION("""COMPUTED_VALUE"""),4350.0)</f>
        <v>4350</v>
      </c>
      <c r="C802" s="1">
        <f>IFERROR(__xludf.DUMMYFUNCTION("""COMPUTED_VALUE"""),4430.0)</f>
        <v>4430</v>
      </c>
      <c r="D802" s="1">
        <f>IFERROR(__xludf.DUMMYFUNCTION("""COMPUTED_VALUE"""),4300.0)</f>
        <v>4300</v>
      </c>
      <c r="E802" s="1">
        <f>IFERROR(__xludf.DUMMYFUNCTION("""COMPUTED_VALUE"""),4305.0)</f>
        <v>4305</v>
      </c>
      <c r="F802" s="1">
        <f>IFERROR(__xludf.DUMMYFUNCTION("""COMPUTED_VALUE"""),123314.0)</f>
        <v>123314</v>
      </c>
    </row>
    <row r="803">
      <c r="A803" s="2">
        <f>IFERROR(__xludf.DUMMYFUNCTION("""COMPUTED_VALUE"""),42367.64583333333)</f>
        <v>42367.64583</v>
      </c>
      <c r="B803" s="1">
        <f>IFERROR(__xludf.DUMMYFUNCTION("""COMPUTED_VALUE"""),4305.0)</f>
        <v>4305</v>
      </c>
      <c r="C803" s="1">
        <f>IFERROR(__xludf.DUMMYFUNCTION("""COMPUTED_VALUE"""),4400.0)</f>
        <v>4400</v>
      </c>
      <c r="D803" s="1">
        <f>IFERROR(__xludf.DUMMYFUNCTION("""COMPUTED_VALUE"""),4305.0)</f>
        <v>4305</v>
      </c>
      <c r="E803" s="1">
        <f>IFERROR(__xludf.DUMMYFUNCTION("""COMPUTED_VALUE"""),4400.0)</f>
        <v>4400</v>
      </c>
      <c r="F803" s="1">
        <f>IFERROR(__xludf.DUMMYFUNCTION("""COMPUTED_VALUE"""),56965.0)</f>
        <v>56965</v>
      </c>
    </row>
    <row r="804">
      <c r="A804" s="2">
        <f>IFERROR(__xludf.DUMMYFUNCTION("""COMPUTED_VALUE"""),42368.64583333333)</f>
        <v>42368.64583</v>
      </c>
      <c r="B804" s="1">
        <f>IFERROR(__xludf.DUMMYFUNCTION("""COMPUTED_VALUE"""),4460.0)</f>
        <v>4460</v>
      </c>
      <c r="C804" s="1">
        <f>IFERROR(__xludf.DUMMYFUNCTION("""COMPUTED_VALUE"""),4505.0)</f>
        <v>4505</v>
      </c>
      <c r="D804" s="1">
        <f>IFERROR(__xludf.DUMMYFUNCTION("""COMPUTED_VALUE"""),4330.0)</f>
        <v>4330</v>
      </c>
      <c r="E804" s="1">
        <f>IFERROR(__xludf.DUMMYFUNCTION("""COMPUTED_VALUE"""),4490.0)</f>
        <v>4490</v>
      </c>
      <c r="F804" s="1">
        <f>IFERROR(__xludf.DUMMYFUNCTION("""COMPUTED_VALUE"""),74469.0)</f>
        <v>74469</v>
      </c>
    </row>
    <row r="805">
      <c r="A805" s="2">
        <f>IFERROR(__xludf.DUMMYFUNCTION("""COMPUTED_VALUE"""),42373.64583333333)</f>
        <v>42373.64583</v>
      </c>
      <c r="B805" s="1">
        <f>IFERROR(__xludf.DUMMYFUNCTION("""COMPUTED_VALUE"""),4700.0)</f>
        <v>4700</v>
      </c>
      <c r="C805" s="1">
        <f>IFERROR(__xludf.DUMMYFUNCTION("""COMPUTED_VALUE"""),4700.0)</f>
        <v>4700</v>
      </c>
      <c r="D805" s="1">
        <f>IFERROR(__xludf.DUMMYFUNCTION("""COMPUTED_VALUE"""),4500.0)</f>
        <v>4500</v>
      </c>
      <c r="E805" s="1">
        <f>IFERROR(__xludf.DUMMYFUNCTION("""COMPUTED_VALUE"""),4600.0)</f>
        <v>4600</v>
      </c>
      <c r="F805" s="1">
        <f>IFERROR(__xludf.DUMMYFUNCTION("""COMPUTED_VALUE"""),70161.0)</f>
        <v>70161</v>
      </c>
    </row>
    <row r="806">
      <c r="A806" s="2">
        <f>IFERROR(__xludf.DUMMYFUNCTION("""COMPUTED_VALUE"""),42374.64583333333)</f>
        <v>42374.64583</v>
      </c>
      <c r="B806" s="1">
        <f>IFERROR(__xludf.DUMMYFUNCTION("""COMPUTED_VALUE"""),4600.0)</f>
        <v>4600</v>
      </c>
      <c r="C806" s="1">
        <f>IFERROR(__xludf.DUMMYFUNCTION("""COMPUTED_VALUE"""),4800.0)</f>
        <v>4800</v>
      </c>
      <c r="D806" s="1">
        <f>IFERROR(__xludf.DUMMYFUNCTION("""COMPUTED_VALUE"""),4505.0)</f>
        <v>4505</v>
      </c>
      <c r="E806" s="1">
        <f>IFERROR(__xludf.DUMMYFUNCTION("""COMPUTED_VALUE"""),4790.0)</f>
        <v>4790</v>
      </c>
      <c r="F806" s="1">
        <f>IFERROR(__xludf.DUMMYFUNCTION("""COMPUTED_VALUE"""),81270.0)</f>
        <v>81270</v>
      </c>
    </row>
    <row r="807">
      <c r="A807" s="2">
        <f>IFERROR(__xludf.DUMMYFUNCTION("""COMPUTED_VALUE"""),42375.64583333333)</f>
        <v>42375.64583</v>
      </c>
      <c r="B807" s="1">
        <f>IFERROR(__xludf.DUMMYFUNCTION("""COMPUTED_VALUE"""),4700.0)</f>
        <v>4700</v>
      </c>
      <c r="C807" s="1">
        <f>IFERROR(__xludf.DUMMYFUNCTION("""COMPUTED_VALUE"""),5080.0)</f>
        <v>5080</v>
      </c>
      <c r="D807" s="1">
        <f>IFERROR(__xludf.DUMMYFUNCTION("""COMPUTED_VALUE"""),4700.0)</f>
        <v>4700</v>
      </c>
      <c r="E807" s="1">
        <f>IFERROR(__xludf.DUMMYFUNCTION("""COMPUTED_VALUE"""),5010.0)</f>
        <v>5010</v>
      </c>
      <c r="F807" s="1">
        <f>IFERROR(__xludf.DUMMYFUNCTION("""COMPUTED_VALUE"""),187649.0)</f>
        <v>187649</v>
      </c>
    </row>
    <row r="808">
      <c r="A808" s="2">
        <f>IFERROR(__xludf.DUMMYFUNCTION("""COMPUTED_VALUE"""),42376.64583333333)</f>
        <v>42376.64583</v>
      </c>
      <c r="B808" s="1">
        <f>IFERROR(__xludf.DUMMYFUNCTION("""COMPUTED_VALUE"""),5000.0)</f>
        <v>5000</v>
      </c>
      <c r="C808" s="1">
        <f>IFERROR(__xludf.DUMMYFUNCTION("""COMPUTED_VALUE"""),5240.0)</f>
        <v>5240</v>
      </c>
      <c r="D808" s="1">
        <f>IFERROR(__xludf.DUMMYFUNCTION("""COMPUTED_VALUE"""),4790.0)</f>
        <v>4790</v>
      </c>
      <c r="E808" s="1">
        <f>IFERROR(__xludf.DUMMYFUNCTION("""COMPUTED_VALUE"""),5090.0)</f>
        <v>5090</v>
      </c>
      <c r="F808" s="1">
        <f>IFERROR(__xludf.DUMMYFUNCTION("""COMPUTED_VALUE"""),233978.0)</f>
        <v>233978</v>
      </c>
    </row>
    <row r="809">
      <c r="A809" s="2">
        <f>IFERROR(__xludf.DUMMYFUNCTION("""COMPUTED_VALUE"""),42377.64583333333)</f>
        <v>42377.64583</v>
      </c>
      <c r="B809" s="1">
        <f>IFERROR(__xludf.DUMMYFUNCTION("""COMPUTED_VALUE"""),5080.0)</f>
        <v>5080</v>
      </c>
      <c r="C809" s="1">
        <f>IFERROR(__xludf.DUMMYFUNCTION("""COMPUTED_VALUE"""),5080.0)</f>
        <v>5080</v>
      </c>
      <c r="D809" s="1">
        <f>IFERROR(__xludf.DUMMYFUNCTION("""COMPUTED_VALUE"""),4900.0)</f>
        <v>4900</v>
      </c>
      <c r="E809" s="1">
        <f>IFERROR(__xludf.DUMMYFUNCTION("""COMPUTED_VALUE"""),5060.0)</f>
        <v>5060</v>
      </c>
      <c r="F809" s="1">
        <f>IFERROR(__xludf.DUMMYFUNCTION("""COMPUTED_VALUE"""),76613.0)</f>
        <v>76613</v>
      </c>
    </row>
    <row r="810">
      <c r="A810" s="2">
        <f>IFERROR(__xludf.DUMMYFUNCTION("""COMPUTED_VALUE"""),42380.64583333333)</f>
        <v>42380.64583</v>
      </c>
      <c r="B810" s="1">
        <f>IFERROR(__xludf.DUMMYFUNCTION("""COMPUTED_VALUE"""),5150.0)</f>
        <v>5150</v>
      </c>
      <c r="C810" s="1">
        <f>IFERROR(__xludf.DUMMYFUNCTION("""COMPUTED_VALUE"""),5270.0)</f>
        <v>5270</v>
      </c>
      <c r="D810" s="1">
        <f>IFERROR(__xludf.DUMMYFUNCTION("""COMPUTED_VALUE"""),4775.0)</f>
        <v>4775</v>
      </c>
      <c r="E810" s="1">
        <f>IFERROR(__xludf.DUMMYFUNCTION("""COMPUTED_VALUE"""),4850.0)</f>
        <v>4850</v>
      </c>
      <c r="F810" s="1">
        <f>IFERROR(__xludf.DUMMYFUNCTION("""COMPUTED_VALUE"""),97393.0)</f>
        <v>97393</v>
      </c>
    </row>
    <row r="811">
      <c r="A811" s="2">
        <f>IFERROR(__xludf.DUMMYFUNCTION("""COMPUTED_VALUE"""),42381.64583333333)</f>
        <v>42381.64583</v>
      </c>
      <c r="B811" s="1">
        <f>IFERROR(__xludf.DUMMYFUNCTION("""COMPUTED_VALUE"""),4900.0)</f>
        <v>4900</v>
      </c>
      <c r="C811" s="1">
        <f>IFERROR(__xludf.DUMMYFUNCTION("""COMPUTED_VALUE"""),5100.0)</f>
        <v>5100</v>
      </c>
      <c r="D811" s="1">
        <f>IFERROR(__xludf.DUMMYFUNCTION("""COMPUTED_VALUE"""),4900.0)</f>
        <v>4900</v>
      </c>
      <c r="E811" s="1">
        <f>IFERROR(__xludf.DUMMYFUNCTION("""COMPUTED_VALUE"""),4995.0)</f>
        <v>4995</v>
      </c>
      <c r="F811" s="1">
        <f>IFERROR(__xludf.DUMMYFUNCTION("""COMPUTED_VALUE"""),48789.0)</f>
        <v>48789</v>
      </c>
    </row>
    <row r="812">
      <c r="A812" s="2">
        <f>IFERROR(__xludf.DUMMYFUNCTION("""COMPUTED_VALUE"""),42382.64583333333)</f>
        <v>42382.64583</v>
      </c>
      <c r="B812" s="1">
        <f>IFERROR(__xludf.DUMMYFUNCTION("""COMPUTED_VALUE"""),5000.0)</f>
        <v>5000</v>
      </c>
      <c r="C812" s="1">
        <f>IFERROR(__xludf.DUMMYFUNCTION("""COMPUTED_VALUE"""),5130.0)</f>
        <v>5130</v>
      </c>
      <c r="D812" s="1">
        <f>IFERROR(__xludf.DUMMYFUNCTION("""COMPUTED_VALUE"""),4970.0)</f>
        <v>4970</v>
      </c>
      <c r="E812" s="1">
        <f>IFERROR(__xludf.DUMMYFUNCTION("""COMPUTED_VALUE"""),5040.0)</f>
        <v>5040</v>
      </c>
      <c r="F812" s="1">
        <f>IFERROR(__xludf.DUMMYFUNCTION("""COMPUTED_VALUE"""),85551.0)</f>
        <v>85551</v>
      </c>
    </row>
    <row r="813">
      <c r="A813" s="2">
        <f>IFERROR(__xludf.DUMMYFUNCTION("""COMPUTED_VALUE"""),42383.64583333333)</f>
        <v>42383.64583</v>
      </c>
      <c r="B813" s="1">
        <f>IFERROR(__xludf.DUMMYFUNCTION("""COMPUTED_VALUE"""),4995.0)</f>
        <v>4995</v>
      </c>
      <c r="C813" s="1">
        <f>IFERROR(__xludf.DUMMYFUNCTION("""COMPUTED_VALUE"""),5000.0)</f>
        <v>5000</v>
      </c>
      <c r="D813" s="1">
        <f>IFERROR(__xludf.DUMMYFUNCTION("""COMPUTED_VALUE"""),4865.0)</f>
        <v>4865</v>
      </c>
      <c r="E813" s="1">
        <f>IFERROR(__xludf.DUMMYFUNCTION("""COMPUTED_VALUE"""),4900.0)</f>
        <v>4900</v>
      </c>
      <c r="F813" s="1">
        <f>IFERROR(__xludf.DUMMYFUNCTION("""COMPUTED_VALUE"""),72209.0)</f>
        <v>72209</v>
      </c>
    </row>
    <row r="814">
      <c r="A814" s="2">
        <f>IFERROR(__xludf.DUMMYFUNCTION("""COMPUTED_VALUE"""),42384.64583333333)</f>
        <v>42384.64583</v>
      </c>
      <c r="B814" s="1">
        <f>IFERROR(__xludf.DUMMYFUNCTION("""COMPUTED_VALUE"""),5080.0)</f>
        <v>5080</v>
      </c>
      <c r="C814" s="1">
        <f>IFERROR(__xludf.DUMMYFUNCTION("""COMPUTED_VALUE"""),5080.0)</f>
        <v>5080</v>
      </c>
      <c r="D814" s="1">
        <f>IFERROR(__xludf.DUMMYFUNCTION("""COMPUTED_VALUE"""),4660.0)</f>
        <v>4660</v>
      </c>
      <c r="E814" s="1">
        <f>IFERROR(__xludf.DUMMYFUNCTION("""COMPUTED_VALUE"""),4700.0)</f>
        <v>4700</v>
      </c>
      <c r="F814" s="1">
        <f>IFERROR(__xludf.DUMMYFUNCTION("""COMPUTED_VALUE"""),53328.0)</f>
        <v>53328</v>
      </c>
    </row>
    <row r="815">
      <c r="A815" s="2">
        <f>IFERROR(__xludf.DUMMYFUNCTION("""COMPUTED_VALUE"""),42387.64583333333)</f>
        <v>42387.64583</v>
      </c>
      <c r="B815" s="1">
        <f>IFERROR(__xludf.DUMMYFUNCTION("""COMPUTED_VALUE"""),4710.0)</f>
        <v>4710</v>
      </c>
      <c r="C815" s="1">
        <f>IFERROR(__xludf.DUMMYFUNCTION("""COMPUTED_VALUE"""),4800.0)</f>
        <v>4800</v>
      </c>
      <c r="D815" s="1">
        <f>IFERROR(__xludf.DUMMYFUNCTION("""COMPUTED_VALUE"""),4600.0)</f>
        <v>4600</v>
      </c>
      <c r="E815" s="1">
        <f>IFERROR(__xludf.DUMMYFUNCTION("""COMPUTED_VALUE"""),4680.0)</f>
        <v>4680</v>
      </c>
      <c r="F815" s="1">
        <f>IFERROR(__xludf.DUMMYFUNCTION("""COMPUTED_VALUE"""),39572.0)</f>
        <v>39572</v>
      </c>
    </row>
    <row r="816">
      <c r="A816" s="2">
        <f>IFERROR(__xludf.DUMMYFUNCTION("""COMPUTED_VALUE"""),42388.64583333333)</f>
        <v>42388.64583</v>
      </c>
      <c r="B816" s="1">
        <f>IFERROR(__xludf.DUMMYFUNCTION("""COMPUTED_VALUE"""),4620.0)</f>
        <v>4620</v>
      </c>
      <c r="C816" s="1">
        <f>IFERROR(__xludf.DUMMYFUNCTION("""COMPUTED_VALUE"""),5030.0)</f>
        <v>5030</v>
      </c>
      <c r="D816" s="1">
        <f>IFERROR(__xludf.DUMMYFUNCTION("""COMPUTED_VALUE"""),4535.0)</f>
        <v>4535</v>
      </c>
      <c r="E816" s="1">
        <f>IFERROR(__xludf.DUMMYFUNCTION("""COMPUTED_VALUE"""),4655.0)</f>
        <v>4655</v>
      </c>
      <c r="F816" s="1">
        <f>IFERROR(__xludf.DUMMYFUNCTION("""COMPUTED_VALUE"""),147528.0)</f>
        <v>147528</v>
      </c>
    </row>
    <row r="817">
      <c r="A817" s="2">
        <f>IFERROR(__xludf.DUMMYFUNCTION("""COMPUTED_VALUE"""),42389.64583333333)</f>
        <v>42389.64583</v>
      </c>
      <c r="B817" s="1">
        <f>IFERROR(__xludf.DUMMYFUNCTION("""COMPUTED_VALUE"""),4690.0)</f>
        <v>4690</v>
      </c>
      <c r="C817" s="1">
        <f>IFERROR(__xludf.DUMMYFUNCTION("""COMPUTED_VALUE"""),4850.0)</f>
        <v>4850</v>
      </c>
      <c r="D817" s="1">
        <f>IFERROR(__xludf.DUMMYFUNCTION("""COMPUTED_VALUE"""),4580.0)</f>
        <v>4580</v>
      </c>
      <c r="E817" s="1">
        <f>IFERROR(__xludf.DUMMYFUNCTION("""COMPUTED_VALUE"""),4650.0)</f>
        <v>4650</v>
      </c>
      <c r="F817" s="1">
        <f>IFERROR(__xludf.DUMMYFUNCTION("""COMPUTED_VALUE"""),87721.0)</f>
        <v>87721</v>
      </c>
    </row>
    <row r="818">
      <c r="A818" s="2">
        <f>IFERROR(__xludf.DUMMYFUNCTION("""COMPUTED_VALUE"""),42390.64583333333)</f>
        <v>42390.64583</v>
      </c>
      <c r="B818" s="1">
        <f>IFERROR(__xludf.DUMMYFUNCTION("""COMPUTED_VALUE"""),4600.0)</f>
        <v>4600</v>
      </c>
      <c r="C818" s="1">
        <f>IFERROR(__xludf.DUMMYFUNCTION("""COMPUTED_VALUE"""),4820.0)</f>
        <v>4820</v>
      </c>
      <c r="D818" s="1">
        <f>IFERROR(__xludf.DUMMYFUNCTION("""COMPUTED_VALUE"""),4595.0)</f>
        <v>4595</v>
      </c>
      <c r="E818" s="1">
        <f>IFERROR(__xludf.DUMMYFUNCTION("""COMPUTED_VALUE"""),4700.0)</f>
        <v>4700</v>
      </c>
      <c r="F818" s="1">
        <f>IFERROR(__xludf.DUMMYFUNCTION("""COMPUTED_VALUE"""),32603.0)</f>
        <v>32603</v>
      </c>
    </row>
    <row r="819">
      <c r="A819" s="2">
        <f>IFERROR(__xludf.DUMMYFUNCTION("""COMPUTED_VALUE"""),42391.64583333333)</f>
        <v>42391.64583</v>
      </c>
      <c r="B819" s="1">
        <f>IFERROR(__xludf.DUMMYFUNCTION("""COMPUTED_VALUE"""),4840.0)</f>
        <v>4840</v>
      </c>
      <c r="C819" s="1">
        <f>IFERROR(__xludf.DUMMYFUNCTION("""COMPUTED_VALUE"""),4970.0)</f>
        <v>4970</v>
      </c>
      <c r="D819" s="1">
        <f>IFERROR(__xludf.DUMMYFUNCTION("""COMPUTED_VALUE"""),4630.0)</f>
        <v>4630</v>
      </c>
      <c r="E819" s="1">
        <f>IFERROR(__xludf.DUMMYFUNCTION("""COMPUTED_VALUE"""),4950.0)</f>
        <v>4950</v>
      </c>
      <c r="F819" s="1">
        <f>IFERROR(__xludf.DUMMYFUNCTION("""COMPUTED_VALUE"""),80351.0)</f>
        <v>80351</v>
      </c>
    </row>
    <row r="820">
      <c r="A820" s="2">
        <f>IFERROR(__xludf.DUMMYFUNCTION("""COMPUTED_VALUE"""),42394.64583333333)</f>
        <v>42394.64583</v>
      </c>
      <c r="B820" s="1">
        <f>IFERROR(__xludf.DUMMYFUNCTION("""COMPUTED_VALUE"""),4880.0)</f>
        <v>4880</v>
      </c>
      <c r="C820" s="1">
        <f>IFERROR(__xludf.DUMMYFUNCTION("""COMPUTED_VALUE"""),5170.0)</f>
        <v>5170</v>
      </c>
      <c r="D820" s="1">
        <f>IFERROR(__xludf.DUMMYFUNCTION("""COMPUTED_VALUE"""),4875.0)</f>
        <v>4875</v>
      </c>
      <c r="E820" s="1">
        <f>IFERROR(__xludf.DUMMYFUNCTION("""COMPUTED_VALUE"""),5050.0)</f>
        <v>5050</v>
      </c>
      <c r="F820" s="1">
        <f>IFERROR(__xludf.DUMMYFUNCTION("""COMPUTED_VALUE"""),104597.0)</f>
        <v>104597</v>
      </c>
    </row>
    <row r="821">
      <c r="A821" s="2">
        <f>IFERROR(__xludf.DUMMYFUNCTION("""COMPUTED_VALUE"""),42395.64583333333)</f>
        <v>42395.64583</v>
      </c>
      <c r="B821" s="1">
        <f>IFERROR(__xludf.DUMMYFUNCTION("""COMPUTED_VALUE"""),5130.0)</f>
        <v>5130</v>
      </c>
      <c r="C821" s="1">
        <f>IFERROR(__xludf.DUMMYFUNCTION("""COMPUTED_VALUE"""),5130.0)</f>
        <v>5130</v>
      </c>
      <c r="D821" s="1">
        <f>IFERROR(__xludf.DUMMYFUNCTION("""COMPUTED_VALUE"""),4900.0)</f>
        <v>4900</v>
      </c>
      <c r="E821" s="1">
        <f>IFERROR(__xludf.DUMMYFUNCTION("""COMPUTED_VALUE"""),4915.0)</f>
        <v>4915</v>
      </c>
      <c r="F821" s="1">
        <f>IFERROR(__xludf.DUMMYFUNCTION("""COMPUTED_VALUE"""),37958.0)</f>
        <v>37958</v>
      </c>
    </row>
    <row r="822">
      <c r="A822" s="2">
        <f>IFERROR(__xludf.DUMMYFUNCTION("""COMPUTED_VALUE"""),42396.64583333333)</f>
        <v>42396.64583</v>
      </c>
      <c r="B822" s="1">
        <f>IFERROR(__xludf.DUMMYFUNCTION("""COMPUTED_VALUE"""),4900.0)</f>
        <v>4900</v>
      </c>
      <c r="C822" s="1">
        <f>IFERROR(__xludf.DUMMYFUNCTION("""COMPUTED_VALUE"""),5070.0)</f>
        <v>5070</v>
      </c>
      <c r="D822" s="1">
        <f>IFERROR(__xludf.DUMMYFUNCTION("""COMPUTED_VALUE"""),4850.0)</f>
        <v>4850</v>
      </c>
      <c r="E822" s="1">
        <f>IFERROR(__xludf.DUMMYFUNCTION("""COMPUTED_VALUE"""),4945.0)</f>
        <v>4945</v>
      </c>
      <c r="F822" s="1">
        <f>IFERROR(__xludf.DUMMYFUNCTION("""COMPUTED_VALUE"""),55879.0)</f>
        <v>55879</v>
      </c>
    </row>
    <row r="823">
      <c r="A823" s="2">
        <f>IFERROR(__xludf.DUMMYFUNCTION("""COMPUTED_VALUE"""),42397.64583333333)</f>
        <v>42397.64583</v>
      </c>
      <c r="B823" s="1">
        <f>IFERROR(__xludf.DUMMYFUNCTION("""COMPUTED_VALUE"""),4960.0)</f>
        <v>4960</v>
      </c>
      <c r="C823" s="1">
        <f>IFERROR(__xludf.DUMMYFUNCTION("""COMPUTED_VALUE"""),4960.0)</f>
        <v>4960</v>
      </c>
      <c r="D823" s="1">
        <f>IFERROR(__xludf.DUMMYFUNCTION("""COMPUTED_VALUE"""),4850.0)</f>
        <v>4850</v>
      </c>
      <c r="E823" s="1">
        <f>IFERROR(__xludf.DUMMYFUNCTION("""COMPUTED_VALUE"""),4895.0)</f>
        <v>4895</v>
      </c>
      <c r="F823" s="1">
        <f>IFERROR(__xludf.DUMMYFUNCTION("""COMPUTED_VALUE"""),24034.0)</f>
        <v>24034</v>
      </c>
    </row>
    <row r="824">
      <c r="A824" s="2">
        <f>IFERROR(__xludf.DUMMYFUNCTION("""COMPUTED_VALUE"""),42398.64583333333)</f>
        <v>42398.64583</v>
      </c>
      <c r="B824" s="1">
        <f>IFERROR(__xludf.DUMMYFUNCTION("""COMPUTED_VALUE"""),4870.0)</f>
        <v>4870</v>
      </c>
      <c r="C824" s="1">
        <f>IFERROR(__xludf.DUMMYFUNCTION("""COMPUTED_VALUE"""),5160.0)</f>
        <v>5160</v>
      </c>
      <c r="D824" s="1">
        <f>IFERROR(__xludf.DUMMYFUNCTION("""COMPUTED_VALUE"""),4860.0)</f>
        <v>4860</v>
      </c>
      <c r="E824" s="1">
        <f>IFERROR(__xludf.DUMMYFUNCTION("""COMPUTED_VALUE"""),4880.0)</f>
        <v>4880</v>
      </c>
      <c r="F824" s="1">
        <f>IFERROR(__xludf.DUMMYFUNCTION("""COMPUTED_VALUE"""),28627.0)</f>
        <v>28627</v>
      </c>
    </row>
    <row r="825">
      <c r="A825" s="2">
        <f>IFERROR(__xludf.DUMMYFUNCTION("""COMPUTED_VALUE"""),42401.64583333333)</f>
        <v>42401.64583</v>
      </c>
      <c r="B825" s="1">
        <f>IFERROR(__xludf.DUMMYFUNCTION("""COMPUTED_VALUE"""),5000.0)</f>
        <v>5000</v>
      </c>
      <c r="C825" s="1">
        <f>IFERROR(__xludf.DUMMYFUNCTION("""COMPUTED_VALUE"""),5000.0)</f>
        <v>5000</v>
      </c>
      <c r="D825" s="1">
        <f>IFERROR(__xludf.DUMMYFUNCTION("""COMPUTED_VALUE"""),4895.0)</f>
        <v>4895</v>
      </c>
      <c r="E825" s="1">
        <f>IFERROR(__xludf.DUMMYFUNCTION("""COMPUTED_VALUE"""),4905.0)</f>
        <v>4905</v>
      </c>
      <c r="F825" s="1">
        <f>IFERROR(__xludf.DUMMYFUNCTION("""COMPUTED_VALUE"""),55851.0)</f>
        <v>55851</v>
      </c>
    </row>
    <row r="826">
      <c r="A826" s="2">
        <f>IFERROR(__xludf.DUMMYFUNCTION("""COMPUTED_VALUE"""),42402.64583333333)</f>
        <v>42402.64583</v>
      </c>
      <c r="B826" s="1">
        <f>IFERROR(__xludf.DUMMYFUNCTION("""COMPUTED_VALUE"""),4990.0)</f>
        <v>4990</v>
      </c>
      <c r="C826" s="1">
        <f>IFERROR(__xludf.DUMMYFUNCTION("""COMPUTED_VALUE"""),5160.0)</f>
        <v>5160</v>
      </c>
      <c r="D826" s="1">
        <f>IFERROR(__xludf.DUMMYFUNCTION("""COMPUTED_VALUE"""),4905.0)</f>
        <v>4905</v>
      </c>
      <c r="E826" s="1">
        <f>IFERROR(__xludf.DUMMYFUNCTION("""COMPUTED_VALUE"""),5080.0)</f>
        <v>5080</v>
      </c>
      <c r="F826" s="1">
        <f>IFERROR(__xludf.DUMMYFUNCTION("""COMPUTED_VALUE"""),127176.0)</f>
        <v>127176</v>
      </c>
    </row>
    <row r="827">
      <c r="A827" s="2">
        <f>IFERROR(__xludf.DUMMYFUNCTION("""COMPUTED_VALUE"""),42403.64583333333)</f>
        <v>42403.64583</v>
      </c>
      <c r="B827" s="1">
        <f>IFERROR(__xludf.DUMMYFUNCTION("""COMPUTED_VALUE"""),5000.0)</f>
        <v>5000</v>
      </c>
      <c r="C827" s="1">
        <f>IFERROR(__xludf.DUMMYFUNCTION("""COMPUTED_VALUE"""),5130.0)</f>
        <v>5130</v>
      </c>
      <c r="D827" s="1">
        <f>IFERROR(__xludf.DUMMYFUNCTION("""COMPUTED_VALUE"""),4910.0)</f>
        <v>4910</v>
      </c>
      <c r="E827" s="1">
        <f>IFERROR(__xludf.DUMMYFUNCTION("""COMPUTED_VALUE"""),5070.0)</f>
        <v>5070</v>
      </c>
      <c r="F827" s="1">
        <f>IFERROR(__xludf.DUMMYFUNCTION("""COMPUTED_VALUE"""),112171.0)</f>
        <v>112171</v>
      </c>
    </row>
    <row r="828">
      <c r="A828" s="2">
        <f>IFERROR(__xludf.DUMMYFUNCTION("""COMPUTED_VALUE"""),42404.64583333333)</f>
        <v>42404.64583</v>
      </c>
      <c r="B828" s="1">
        <f>IFERROR(__xludf.DUMMYFUNCTION("""COMPUTED_VALUE"""),5170.0)</f>
        <v>5170</v>
      </c>
      <c r="C828" s="1">
        <f>IFERROR(__xludf.DUMMYFUNCTION("""COMPUTED_VALUE"""),5480.0)</f>
        <v>5480</v>
      </c>
      <c r="D828" s="1">
        <f>IFERROR(__xludf.DUMMYFUNCTION("""COMPUTED_VALUE"""),5000.0)</f>
        <v>5000</v>
      </c>
      <c r="E828" s="1">
        <f>IFERROR(__xludf.DUMMYFUNCTION("""COMPUTED_VALUE"""),5310.0)</f>
        <v>5310</v>
      </c>
      <c r="F828" s="1">
        <f>IFERROR(__xludf.DUMMYFUNCTION("""COMPUTED_VALUE"""),233091.0)</f>
        <v>233091</v>
      </c>
    </row>
    <row r="829">
      <c r="A829" s="2">
        <f>IFERROR(__xludf.DUMMYFUNCTION("""COMPUTED_VALUE"""),42405.64583333333)</f>
        <v>42405.64583</v>
      </c>
      <c r="B829" s="1">
        <f>IFERROR(__xludf.DUMMYFUNCTION("""COMPUTED_VALUE"""),5320.0)</f>
        <v>5320</v>
      </c>
      <c r="C829" s="1">
        <f>IFERROR(__xludf.DUMMYFUNCTION("""COMPUTED_VALUE"""),5730.0)</f>
        <v>5730</v>
      </c>
      <c r="D829" s="1">
        <f>IFERROR(__xludf.DUMMYFUNCTION("""COMPUTED_VALUE"""),5310.0)</f>
        <v>5310</v>
      </c>
      <c r="E829" s="1">
        <f>IFERROR(__xludf.DUMMYFUNCTION("""COMPUTED_VALUE"""),5650.0)</f>
        <v>5650</v>
      </c>
      <c r="F829" s="1">
        <f>IFERROR(__xludf.DUMMYFUNCTION("""COMPUTED_VALUE"""),465312.0)</f>
        <v>465312</v>
      </c>
    </row>
    <row r="830">
      <c r="A830" s="2">
        <f>IFERROR(__xludf.DUMMYFUNCTION("""COMPUTED_VALUE"""),42411.64583333333)</f>
        <v>42411.64583</v>
      </c>
      <c r="B830" s="1">
        <f>IFERROR(__xludf.DUMMYFUNCTION("""COMPUTED_VALUE"""),5580.0)</f>
        <v>5580</v>
      </c>
      <c r="C830" s="1">
        <f>IFERROR(__xludf.DUMMYFUNCTION("""COMPUTED_VALUE"""),5650.0)</f>
        <v>5650</v>
      </c>
      <c r="D830" s="1">
        <f>IFERROR(__xludf.DUMMYFUNCTION("""COMPUTED_VALUE"""),5340.0)</f>
        <v>5340</v>
      </c>
      <c r="E830" s="1">
        <f>IFERROR(__xludf.DUMMYFUNCTION("""COMPUTED_VALUE"""),5600.0)</f>
        <v>5600</v>
      </c>
      <c r="F830" s="1">
        <f>IFERROR(__xludf.DUMMYFUNCTION("""COMPUTED_VALUE"""),170855.0)</f>
        <v>170855</v>
      </c>
    </row>
    <row r="831">
      <c r="A831" s="2">
        <f>IFERROR(__xludf.DUMMYFUNCTION("""COMPUTED_VALUE"""),42412.64583333333)</f>
        <v>42412.64583</v>
      </c>
      <c r="B831" s="1">
        <f>IFERROR(__xludf.DUMMYFUNCTION("""COMPUTED_VALUE"""),5590.0)</f>
        <v>5590</v>
      </c>
      <c r="C831" s="1">
        <f>IFERROR(__xludf.DUMMYFUNCTION("""COMPUTED_VALUE"""),5650.0)</f>
        <v>5650</v>
      </c>
      <c r="D831" s="1">
        <f>IFERROR(__xludf.DUMMYFUNCTION("""COMPUTED_VALUE"""),5240.0)</f>
        <v>5240</v>
      </c>
      <c r="E831" s="1">
        <f>IFERROR(__xludf.DUMMYFUNCTION("""COMPUTED_VALUE"""),5620.0)</f>
        <v>5620</v>
      </c>
      <c r="F831" s="1">
        <f>IFERROR(__xludf.DUMMYFUNCTION("""COMPUTED_VALUE"""),329388.0)</f>
        <v>329388</v>
      </c>
    </row>
    <row r="832">
      <c r="A832" s="2">
        <f>IFERROR(__xludf.DUMMYFUNCTION("""COMPUTED_VALUE"""),42415.64583333333)</f>
        <v>42415.64583</v>
      </c>
      <c r="B832" s="1">
        <f>IFERROR(__xludf.DUMMYFUNCTION("""COMPUTED_VALUE"""),5620.0)</f>
        <v>5620</v>
      </c>
      <c r="C832" s="1">
        <f>IFERROR(__xludf.DUMMYFUNCTION("""COMPUTED_VALUE"""),5790.0)</f>
        <v>5790</v>
      </c>
      <c r="D832" s="1">
        <f>IFERROR(__xludf.DUMMYFUNCTION("""COMPUTED_VALUE"""),5380.0)</f>
        <v>5380</v>
      </c>
      <c r="E832" s="1">
        <f>IFERROR(__xludf.DUMMYFUNCTION("""COMPUTED_VALUE"""),5440.0)</f>
        <v>5440</v>
      </c>
      <c r="F832" s="1">
        <f>IFERROR(__xludf.DUMMYFUNCTION("""COMPUTED_VALUE"""),231262.0)</f>
        <v>231262</v>
      </c>
    </row>
    <row r="833">
      <c r="A833" s="2">
        <f>IFERROR(__xludf.DUMMYFUNCTION("""COMPUTED_VALUE"""),42416.64583333333)</f>
        <v>42416.64583</v>
      </c>
      <c r="B833" s="1">
        <f>IFERROR(__xludf.DUMMYFUNCTION("""COMPUTED_VALUE"""),5390.0)</f>
        <v>5390</v>
      </c>
      <c r="C833" s="1">
        <f>IFERROR(__xludf.DUMMYFUNCTION("""COMPUTED_VALUE"""),5620.0)</f>
        <v>5620</v>
      </c>
      <c r="D833" s="1">
        <f>IFERROR(__xludf.DUMMYFUNCTION("""COMPUTED_VALUE"""),5360.0)</f>
        <v>5360</v>
      </c>
      <c r="E833" s="1">
        <f>IFERROR(__xludf.DUMMYFUNCTION("""COMPUTED_VALUE"""),5360.0)</f>
        <v>5360</v>
      </c>
      <c r="F833" s="1">
        <f>IFERROR(__xludf.DUMMYFUNCTION("""COMPUTED_VALUE"""),155998.0)</f>
        <v>155998</v>
      </c>
    </row>
    <row r="834">
      <c r="A834" s="2">
        <f>IFERROR(__xludf.DUMMYFUNCTION("""COMPUTED_VALUE"""),42417.64583333333)</f>
        <v>42417.64583</v>
      </c>
      <c r="B834" s="1">
        <f>IFERROR(__xludf.DUMMYFUNCTION("""COMPUTED_VALUE"""),5400.0)</f>
        <v>5400</v>
      </c>
      <c r="C834" s="1">
        <f>IFERROR(__xludf.DUMMYFUNCTION("""COMPUTED_VALUE"""),5550.0)</f>
        <v>5550</v>
      </c>
      <c r="D834" s="1">
        <f>IFERROR(__xludf.DUMMYFUNCTION("""COMPUTED_VALUE"""),5250.0)</f>
        <v>5250</v>
      </c>
      <c r="E834" s="1">
        <f>IFERROR(__xludf.DUMMYFUNCTION("""COMPUTED_VALUE"""),5350.0)</f>
        <v>5350</v>
      </c>
      <c r="F834" s="1">
        <f>IFERROR(__xludf.DUMMYFUNCTION("""COMPUTED_VALUE"""),152193.0)</f>
        <v>152193</v>
      </c>
    </row>
    <row r="835">
      <c r="A835" s="2">
        <f>IFERROR(__xludf.DUMMYFUNCTION("""COMPUTED_VALUE"""),42418.64583333333)</f>
        <v>42418.64583</v>
      </c>
      <c r="B835" s="1">
        <f>IFERROR(__xludf.DUMMYFUNCTION("""COMPUTED_VALUE"""),5420.0)</f>
        <v>5420</v>
      </c>
      <c r="C835" s="1">
        <f>IFERROR(__xludf.DUMMYFUNCTION("""COMPUTED_VALUE"""),5510.0)</f>
        <v>5510</v>
      </c>
      <c r="D835" s="1">
        <f>IFERROR(__xludf.DUMMYFUNCTION("""COMPUTED_VALUE"""),5130.0)</f>
        <v>5130</v>
      </c>
      <c r="E835" s="1">
        <f>IFERROR(__xludf.DUMMYFUNCTION("""COMPUTED_VALUE"""),5300.0)</f>
        <v>5300</v>
      </c>
      <c r="F835" s="1">
        <f>IFERROR(__xludf.DUMMYFUNCTION("""COMPUTED_VALUE"""),126291.0)</f>
        <v>126291</v>
      </c>
    </row>
    <row r="836">
      <c r="A836" s="2">
        <f>IFERROR(__xludf.DUMMYFUNCTION("""COMPUTED_VALUE"""),42419.64583333333)</f>
        <v>42419.64583</v>
      </c>
      <c r="B836" s="1">
        <f>IFERROR(__xludf.DUMMYFUNCTION("""COMPUTED_VALUE"""),5310.0)</f>
        <v>5310</v>
      </c>
      <c r="C836" s="1">
        <f>IFERROR(__xludf.DUMMYFUNCTION("""COMPUTED_VALUE"""),5510.0)</f>
        <v>5510</v>
      </c>
      <c r="D836" s="1">
        <f>IFERROR(__xludf.DUMMYFUNCTION("""COMPUTED_VALUE"""),5240.0)</f>
        <v>5240</v>
      </c>
      <c r="E836" s="1">
        <f>IFERROR(__xludf.DUMMYFUNCTION("""COMPUTED_VALUE"""),5510.0)</f>
        <v>5510</v>
      </c>
      <c r="F836" s="1">
        <f>IFERROR(__xludf.DUMMYFUNCTION("""COMPUTED_VALUE"""),74613.0)</f>
        <v>74613</v>
      </c>
    </row>
    <row r="837">
      <c r="A837" s="2">
        <f>IFERROR(__xludf.DUMMYFUNCTION("""COMPUTED_VALUE"""),42422.64583333333)</f>
        <v>42422.64583</v>
      </c>
      <c r="B837" s="1">
        <f>IFERROR(__xludf.DUMMYFUNCTION("""COMPUTED_VALUE"""),5470.0)</f>
        <v>5470</v>
      </c>
      <c r="C837" s="1">
        <f>IFERROR(__xludf.DUMMYFUNCTION("""COMPUTED_VALUE"""),5560.0)</f>
        <v>5560</v>
      </c>
      <c r="D837" s="1">
        <f>IFERROR(__xludf.DUMMYFUNCTION("""COMPUTED_VALUE"""),5300.0)</f>
        <v>5300</v>
      </c>
      <c r="E837" s="1">
        <f>IFERROR(__xludf.DUMMYFUNCTION("""COMPUTED_VALUE"""),5450.0)</f>
        <v>5450</v>
      </c>
      <c r="F837" s="1">
        <f>IFERROR(__xludf.DUMMYFUNCTION("""COMPUTED_VALUE"""),76069.0)</f>
        <v>76069</v>
      </c>
    </row>
    <row r="838">
      <c r="A838" s="2">
        <f>IFERROR(__xludf.DUMMYFUNCTION("""COMPUTED_VALUE"""),42423.64583333333)</f>
        <v>42423.64583</v>
      </c>
      <c r="B838" s="1">
        <f>IFERROR(__xludf.DUMMYFUNCTION("""COMPUTED_VALUE"""),5500.0)</f>
        <v>5500</v>
      </c>
      <c r="C838" s="1">
        <f>IFERROR(__xludf.DUMMYFUNCTION("""COMPUTED_VALUE"""),5500.0)</f>
        <v>5500</v>
      </c>
      <c r="D838" s="1">
        <f>IFERROR(__xludf.DUMMYFUNCTION("""COMPUTED_VALUE"""),5330.0)</f>
        <v>5330</v>
      </c>
      <c r="E838" s="1">
        <f>IFERROR(__xludf.DUMMYFUNCTION("""COMPUTED_VALUE"""),5370.0)</f>
        <v>5370</v>
      </c>
      <c r="F838" s="1">
        <f>IFERROR(__xludf.DUMMYFUNCTION("""COMPUTED_VALUE"""),66362.0)</f>
        <v>66362</v>
      </c>
    </row>
    <row r="839">
      <c r="A839" s="2">
        <f>IFERROR(__xludf.DUMMYFUNCTION("""COMPUTED_VALUE"""),42424.64583333333)</f>
        <v>42424.64583</v>
      </c>
      <c r="B839" s="1">
        <f>IFERROR(__xludf.DUMMYFUNCTION("""COMPUTED_VALUE"""),5480.0)</f>
        <v>5480</v>
      </c>
      <c r="C839" s="1">
        <f>IFERROR(__xludf.DUMMYFUNCTION("""COMPUTED_VALUE"""),5550.0)</f>
        <v>5550</v>
      </c>
      <c r="D839" s="1">
        <f>IFERROR(__xludf.DUMMYFUNCTION("""COMPUTED_VALUE"""),5370.0)</f>
        <v>5370</v>
      </c>
      <c r="E839" s="1">
        <f>IFERROR(__xludf.DUMMYFUNCTION("""COMPUTED_VALUE"""),5430.0)</f>
        <v>5430</v>
      </c>
      <c r="F839" s="1">
        <f>IFERROR(__xludf.DUMMYFUNCTION("""COMPUTED_VALUE"""),64276.0)</f>
        <v>64276</v>
      </c>
    </row>
    <row r="840">
      <c r="A840" s="2">
        <f>IFERROR(__xludf.DUMMYFUNCTION("""COMPUTED_VALUE"""),42425.64583333333)</f>
        <v>42425.64583</v>
      </c>
      <c r="B840" s="1">
        <f>IFERROR(__xludf.DUMMYFUNCTION("""COMPUTED_VALUE"""),5540.0)</f>
        <v>5540</v>
      </c>
      <c r="C840" s="1">
        <f>IFERROR(__xludf.DUMMYFUNCTION("""COMPUTED_VALUE"""),5540.0)</f>
        <v>5540</v>
      </c>
      <c r="D840" s="1">
        <f>IFERROR(__xludf.DUMMYFUNCTION("""COMPUTED_VALUE"""),5200.0)</f>
        <v>5200</v>
      </c>
      <c r="E840" s="1">
        <f>IFERROR(__xludf.DUMMYFUNCTION("""COMPUTED_VALUE"""),5200.0)</f>
        <v>5200</v>
      </c>
      <c r="F840" s="1">
        <f>IFERROR(__xludf.DUMMYFUNCTION("""COMPUTED_VALUE"""),128344.0)</f>
        <v>128344</v>
      </c>
    </row>
    <row r="841">
      <c r="A841" s="2">
        <f>IFERROR(__xludf.DUMMYFUNCTION("""COMPUTED_VALUE"""),42426.64583333333)</f>
        <v>42426.64583</v>
      </c>
      <c r="B841" s="1">
        <f>IFERROR(__xludf.DUMMYFUNCTION("""COMPUTED_VALUE"""),5290.0)</f>
        <v>5290</v>
      </c>
      <c r="C841" s="1">
        <f>IFERROR(__xludf.DUMMYFUNCTION("""COMPUTED_VALUE"""),5290.0)</f>
        <v>5290</v>
      </c>
      <c r="D841" s="1">
        <f>IFERROR(__xludf.DUMMYFUNCTION("""COMPUTED_VALUE"""),4925.0)</f>
        <v>4925</v>
      </c>
      <c r="E841" s="1">
        <f>IFERROR(__xludf.DUMMYFUNCTION("""COMPUTED_VALUE"""),5080.0)</f>
        <v>5080</v>
      </c>
      <c r="F841" s="1">
        <f>IFERROR(__xludf.DUMMYFUNCTION("""COMPUTED_VALUE"""),131150.0)</f>
        <v>131150</v>
      </c>
    </row>
    <row r="842">
      <c r="A842" s="2">
        <f>IFERROR(__xludf.DUMMYFUNCTION("""COMPUTED_VALUE"""),42429.64583333333)</f>
        <v>42429.64583</v>
      </c>
      <c r="B842" s="1">
        <f>IFERROR(__xludf.DUMMYFUNCTION("""COMPUTED_VALUE"""),5080.0)</f>
        <v>5080</v>
      </c>
      <c r="C842" s="1">
        <f>IFERROR(__xludf.DUMMYFUNCTION("""COMPUTED_VALUE"""),5120.0)</f>
        <v>5120</v>
      </c>
      <c r="D842" s="1">
        <f>IFERROR(__xludf.DUMMYFUNCTION("""COMPUTED_VALUE"""),4800.0)</f>
        <v>4800</v>
      </c>
      <c r="E842" s="1">
        <f>IFERROR(__xludf.DUMMYFUNCTION("""COMPUTED_VALUE"""),4955.0)</f>
        <v>4955</v>
      </c>
      <c r="F842" s="1">
        <f>IFERROR(__xludf.DUMMYFUNCTION("""COMPUTED_VALUE"""),71811.0)</f>
        <v>71811</v>
      </c>
    </row>
    <row r="843">
      <c r="A843" s="2">
        <f>IFERROR(__xludf.DUMMYFUNCTION("""COMPUTED_VALUE"""),42431.64583333333)</f>
        <v>42431.64583</v>
      </c>
      <c r="B843" s="1">
        <f>IFERROR(__xludf.DUMMYFUNCTION("""COMPUTED_VALUE"""),4955.0)</f>
        <v>4955</v>
      </c>
      <c r="C843" s="1">
        <f>IFERROR(__xludf.DUMMYFUNCTION("""COMPUTED_VALUE"""),5390.0)</f>
        <v>5390</v>
      </c>
      <c r="D843" s="1">
        <f>IFERROR(__xludf.DUMMYFUNCTION("""COMPUTED_VALUE"""),4855.0)</f>
        <v>4855</v>
      </c>
      <c r="E843" s="1">
        <f>IFERROR(__xludf.DUMMYFUNCTION("""COMPUTED_VALUE"""),5010.0)</f>
        <v>5010</v>
      </c>
      <c r="F843" s="1">
        <f>IFERROR(__xludf.DUMMYFUNCTION("""COMPUTED_VALUE"""),138910.0)</f>
        <v>138910</v>
      </c>
    </row>
    <row r="844">
      <c r="A844" s="2">
        <f>IFERROR(__xludf.DUMMYFUNCTION("""COMPUTED_VALUE"""),42432.64583333333)</f>
        <v>42432.64583</v>
      </c>
      <c r="B844" s="1">
        <f>IFERROR(__xludf.DUMMYFUNCTION("""COMPUTED_VALUE"""),4955.0)</f>
        <v>4955</v>
      </c>
      <c r="C844" s="1">
        <f>IFERROR(__xludf.DUMMYFUNCTION("""COMPUTED_VALUE"""),5060.0)</f>
        <v>5060</v>
      </c>
      <c r="D844" s="1">
        <f>IFERROR(__xludf.DUMMYFUNCTION("""COMPUTED_VALUE"""),4865.0)</f>
        <v>4865</v>
      </c>
      <c r="E844" s="1">
        <f>IFERROR(__xludf.DUMMYFUNCTION("""COMPUTED_VALUE"""),5000.0)</f>
        <v>5000</v>
      </c>
      <c r="F844" s="1">
        <f>IFERROR(__xludf.DUMMYFUNCTION("""COMPUTED_VALUE"""),44552.0)</f>
        <v>44552</v>
      </c>
    </row>
    <row r="845">
      <c r="A845" s="2">
        <f>IFERROR(__xludf.DUMMYFUNCTION("""COMPUTED_VALUE"""),42433.64583333333)</f>
        <v>42433.64583</v>
      </c>
      <c r="B845" s="1">
        <f>IFERROR(__xludf.DUMMYFUNCTION("""COMPUTED_VALUE"""),5020.0)</f>
        <v>5020</v>
      </c>
      <c r="C845" s="1">
        <f>IFERROR(__xludf.DUMMYFUNCTION("""COMPUTED_VALUE"""),5050.0)</f>
        <v>5050</v>
      </c>
      <c r="D845" s="1">
        <f>IFERROR(__xludf.DUMMYFUNCTION("""COMPUTED_VALUE"""),4960.0)</f>
        <v>4960</v>
      </c>
      <c r="E845" s="1">
        <f>IFERROR(__xludf.DUMMYFUNCTION("""COMPUTED_VALUE"""),5000.0)</f>
        <v>5000</v>
      </c>
      <c r="F845" s="1">
        <f>IFERROR(__xludf.DUMMYFUNCTION("""COMPUTED_VALUE"""),33306.0)</f>
        <v>33306</v>
      </c>
    </row>
    <row r="846">
      <c r="A846" s="2">
        <f>IFERROR(__xludf.DUMMYFUNCTION("""COMPUTED_VALUE"""),42436.64583333333)</f>
        <v>42436.64583</v>
      </c>
      <c r="B846" s="1">
        <f>IFERROR(__xludf.DUMMYFUNCTION("""COMPUTED_VALUE"""),4970.0)</f>
        <v>4970</v>
      </c>
      <c r="C846" s="1">
        <f>IFERROR(__xludf.DUMMYFUNCTION("""COMPUTED_VALUE"""),5060.0)</f>
        <v>5060</v>
      </c>
      <c r="D846" s="1">
        <f>IFERROR(__xludf.DUMMYFUNCTION("""COMPUTED_VALUE"""),4910.0)</f>
        <v>4910</v>
      </c>
      <c r="E846" s="1">
        <f>IFERROR(__xludf.DUMMYFUNCTION("""COMPUTED_VALUE"""),4930.0)</f>
        <v>4930</v>
      </c>
      <c r="F846" s="1">
        <f>IFERROR(__xludf.DUMMYFUNCTION("""COMPUTED_VALUE"""),39963.0)</f>
        <v>39963</v>
      </c>
    </row>
    <row r="847">
      <c r="A847" s="2">
        <f>IFERROR(__xludf.DUMMYFUNCTION("""COMPUTED_VALUE"""),42437.64583333333)</f>
        <v>42437.64583</v>
      </c>
      <c r="B847" s="1">
        <f>IFERROR(__xludf.DUMMYFUNCTION("""COMPUTED_VALUE"""),4900.0)</f>
        <v>4900</v>
      </c>
      <c r="C847" s="1">
        <f>IFERROR(__xludf.DUMMYFUNCTION("""COMPUTED_VALUE"""),4990.0)</f>
        <v>4990</v>
      </c>
      <c r="D847" s="1">
        <f>IFERROR(__xludf.DUMMYFUNCTION("""COMPUTED_VALUE"""),4850.0)</f>
        <v>4850</v>
      </c>
      <c r="E847" s="1">
        <f>IFERROR(__xludf.DUMMYFUNCTION("""COMPUTED_VALUE"""),4910.0)</f>
        <v>4910</v>
      </c>
      <c r="F847" s="1">
        <f>IFERROR(__xludf.DUMMYFUNCTION("""COMPUTED_VALUE"""),41308.0)</f>
        <v>41308</v>
      </c>
    </row>
    <row r="848">
      <c r="A848" s="2">
        <f>IFERROR(__xludf.DUMMYFUNCTION("""COMPUTED_VALUE"""),42438.64583333333)</f>
        <v>42438.64583</v>
      </c>
      <c r="B848" s="1">
        <f>IFERROR(__xludf.DUMMYFUNCTION("""COMPUTED_VALUE"""),4975.0)</f>
        <v>4975</v>
      </c>
      <c r="C848" s="1">
        <f>IFERROR(__xludf.DUMMYFUNCTION("""COMPUTED_VALUE"""),4975.0)</f>
        <v>4975</v>
      </c>
      <c r="D848" s="1">
        <f>IFERROR(__xludf.DUMMYFUNCTION("""COMPUTED_VALUE"""),4850.0)</f>
        <v>4850</v>
      </c>
      <c r="E848" s="1">
        <f>IFERROR(__xludf.DUMMYFUNCTION("""COMPUTED_VALUE"""),4940.0)</f>
        <v>4940</v>
      </c>
      <c r="F848" s="1">
        <f>IFERROR(__xludf.DUMMYFUNCTION("""COMPUTED_VALUE"""),31244.0)</f>
        <v>31244</v>
      </c>
    </row>
    <row r="849">
      <c r="A849" s="2">
        <f>IFERROR(__xludf.DUMMYFUNCTION("""COMPUTED_VALUE"""),42439.64583333333)</f>
        <v>42439.64583</v>
      </c>
      <c r="B849" s="1">
        <f>IFERROR(__xludf.DUMMYFUNCTION("""COMPUTED_VALUE"""),4850.0)</f>
        <v>4850</v>
      </c>
      <c r="C849" s="1">
        <f>IFERROR(__xludf.DUMMYFUNCTION("""COMPUTED_VALUE"""),4970.0)</f>
        <v>4970</v>
      </c>
      <c r="D849" s="1">
        <f>IFERROR(__xludf.DUMMYFUNCTION("""COMPUTED_VALUE"""),4850.0)</f>
        <v>4850</v>
      </c>
      <c r="E849" s="1">
        <f>IFERROR(__xludf.DUMMYFUNCTION("""COMPUTED_VALUE"""),4870.0)</f>
        <v>4870</v>
      </c>
      <c r="F849" s="1">
        <f>IFERROR(__xludf.DUMMYFUNCTION("""COMPUTED_VALUE"""),33662.0)</f>
        <v>33662</v>
      </c>
    </row>
    <row r="850">
      <c r="A850" s="2">
        <f>IFERROR(__xludf.DUMMYFUNCTION("""COMPUTED_VALUE"""),42440.64583333333)</f>
        <v>42440.64583</v>
      </c>
      <c r="B850" s="1">
        <f>IFERROR(__xludf.DUMMYFUNCTION("""COMPUTED_VALUE"""),4945.0)</f>
        <v>4945</v>
      </c>
      <c r="C850" s="1">
        <f>IFERROR(__xludf.DUMMYFUNCTION("""COMPUTED_VALUE"""),4945.0)</f>
        <v>4945</v>
      </c>
      <c r="D850" s="1">
        <f>IFERROR(__xludf.DUMMYFUNCTION("""COMPUTED_VALUE"""),4820.0)</f>
        <v>4820</v>
      </c>
      <c r="E850" s="1">
        <f>IFERROR(__xludf.DUMMYFUNCTION("""COMPUTED_VALUE"""),4820.0)</f>
        <v>4820</v>
      </c>
      <c r="F850" s="1">
        <f>IFERROR(__xludf.DUMMYFUNCTION("""COMPUTED_VALUE"""),47056.0)</f>
        <v>47056</v>
      </c>
    </row>
    <row r="851">
      <c r="A851" s="2">
        <f>IFERROR(__xludf.DUMMYFUNCTION("""COMPUTED_VALUE"""),42443.64583333333)</f>
        <v>42443.64583</v>
      </c>
      <c r="B851" s="1">
        <f>IFERROR(__xludf.DUMMYFUNCTION("""COMPUTED_VALUE"""),4825.0)</f>
        <v>4825</v>
      </c>
      <c r="C851" s="1">
        <f>IFERROR(__xludf.DUMMYFUNCTION("""COMPUTED_VALUE"""),4880.0)</f>
        <v>4880</v>
      </c>
      <c r="D851" s="1">
        <f>IFERROR(__xludf.DUMMYFUNCTION("""COMPUTED_VALUE"""),4500.0)</f>
        <v>4500</v>
      </c>
      <c r="E851" s="1">
        <f>IFERROR(__xludf.DUMMYFUNCTION("""COMPUTED_VALUE"""),4630.0)</f>
        <v>4630</v>
      </c>
      <c r="F851" s="1">
        <f>IFERROR(__xludf.DUMMYFUNCTION("""COMPUTED_VALUE"""),153675.0)</f>
        <v>153675</v>
      </c>
    </row>
    <row r="852">
      <c r="A852" s="2">
        <f>IFERROR(__xludf.DUMMYFUNCTION("""COMPUTED_VALUE"""),42444.64583333333)</f>
        <v>42444.64583</v>
      </c>
      <c r="B852" s="1">
        <f>IFERROR(__xludf.DUMMYFUNCTION("""COMPUTED_VALUE"""),4575.0)</f>
        <v>4575</v>
      </c>
      <c r="C852" s="1">
        <f>IFERROR(__xludf.DUMMYFUNCTION("""COMPUTED_VALUE"""),4765.0)</f>
        <v>4765</v>
      </c>
      <c r="D852" s="1">
        <f>IFERROR(__xludf.DUMMYFUNCTION("""COMPUTED_VALUE"""),4350.0)</f>
        <v>4350</v>
      </c>
      <c r="E852" s="1">
        <f>IFERROR(__xludf.DUMMYFUNCTION("""COMPUTED_VALUE"""),4650.0)</f>
        <v>4650</v>
      </c>
      <c r="F852" s="1">
        <f>IFERROR(__xludf.DUMMYFUNCTION("""COMPUTED_VALUE"""),165424.0)</f>
        <v>165424</v>
      </c>
    </row>
    <row r="853">
      <c r="A853" s="2">
        <f>IFERROR(__xludf.DUMMYFUNCTION("""COMPUTED_VALUE"""),42445.64583333333)</f>
        <v>42445.64583</v>
      </c>
      <c r="B853" s="1">
        <f>IFERROR(__xludf.DUMMYFUNCTION("""COMPUTED_VALUE"""),4710.0)</f>
        <v>4710</v>
      </c>
      <c r="C853" s="1">
        <f>IFERROR(__xludf.DUMMYFUNCTION("""COMPUTED_VALUE"""),4710.0)</f>
        <v>4710</v>
      </c>
      <c r="D853" s="1">
        <f>IFERROR(__xludf.DUMMYFUNCTION("""COMPUTED_VALUE"""),4550.0)</f>
        <v>4550</v>
      </c>
      <c r="E853" s="1">
        <f>IFERROR(__xludf.DUMMYFUNCTION("""COMPUTED_VALUE"""),4600.0)</f>
        <v>4600</v>
      </c>
      <c r="F853" s="1">
        <f>IFERROR(__xludf.DUMMYFUNCTION("""COMPUTED_VALUE"""),39708.0)</f>
        <v>39708</v>
      </c>
    </row>
    <row r="854">
      <c r="A854" s="2">
        <f>IFERROR(__xludf.DUMMYFUNCTION("""COMPUTED_VALUE"""),42446.64583333333)</f>
        <v>42446.64583</v>
      </c>
      <c r="B854" s="1">
        <f>IFERROR(__xludf.DUMMYFUNCTION("""COMPUTED_VALUE"""),4600.0)</f>
        <v>4600</v>
      </c>
      <c r="C854" s="1">
        <f>IFERROR(__xludf.DUMMYFUNCTION("""COMPUTED_VALUE"""),4710.0)</f>
        <v>4710</v>
      </c>
      <c r="D854" s="1">
        <f>IFERROR(__xludf.DUMMYFUNCTION("""COMPUTED_VALUE"""),4500.0)</f>
        <v>4500</v>
      </c>
      <c r="E854" s="1">
        <f>IFERROR(__xludf.DUMMYFUNCTION("""COMPUTED_VALUE"""),4500.0)</f>
        <v>4500</v>
      </c>
      <c r="F854" s="1">
        <f>IFERROR(__xludf.DUMMYFUNCTION("""COMPUTED_VALUE"""),43638.0)</f>
        <v>43638</v>
      </c>
    </row>
    <row r="855">
      <c r="A855" s="2">
        <f>IFERROR(__xludf.DUMMYFUNCTION("""COMPUTED_VALUE"""),42447.64583333333)</f>
        <v>42447.64583</v>
      </c>
      <c r="B855" s="1">
        <f>IFERROR(__xludf.DUMMYFUNCTION("""COMPUTED_VALUE"""),4620.0)</f>
        <v>4620</v>
      </c>
      <c r="C855" s="1">
        <f>IFERROR(__xludf.DUMMYFUNCTION("""COMPUTED_VALUE"""),4655.0)</f>
        <v>4655</v>
      </c>
      <c r="D855" s="1">
        <f>IFERROR(__xludf.DUMMYFUNCTION("""COMPUTED_VALUE"""),4500.0)</f>
        <v>4500</v>
      </c>
      <c r="E855" s="1">
        <f>IFERROR(__xludf.DUMMYFUNCTION("""COMPUTED_VALUE"""),4545.0)</f>
        <v>4545</v>
      </c>
      <c r="F855" s="1">
        <f>IFERROR(__xludf.DUMMYFUNCTION("""COMPUTED_VALUE"""),103662.0)</f>
        <v>103662</v>
      </c>
    </row>
    <row r="856">
      <c r="A856" s="2">
        <f>IFERROR(__xludf.DUMMYFUNCTION("""COMPUTED_VALUE"""),42450.64583333333)</f>
        <v>42450.64583</v>
      </c>
      <c r="B856" s="1">
        <f>IFERROR(__xludf.DUMMYFUNCTION("""COMPUTED_VALUE"""),4640.0)</f>
        <v>4640</v>
      </c>
      <c r="C856" s="1">
        <f>IFERROR(__xludf.DUMMYFUNCTION("""COMPUTED_VALUE"""),4640.0)</f>
        <v>4640</v>
      </c>
      <c r="D856" s="1">
        <f>IFERROR(__xludf.DUMMYFUNCTION("""COMPUTED_VALUE"""),4400.0)</f>
        <v>4400</v>
      </c>
      <c r="E856" s="1">
        <f>IFERROR(__xludf.DUMMYFUNCTION("""COMPUTED_VALUE"""),4470.0)</f>
        <v>4470</v>
      </c>
      <c r="F856" s="1">
        <f>IFERROR(__xludf.DUMMYFUNCTION("""COMPUTED_VALUE"""),100070.0)</f>
        <v>100070</v>
      </c>
    </row>
    <row r="857">
      <c r="A857" s="2">
        <f>IFERROR(__xludf.DUMMYFUNCTION("""COMPUTED_VALUE"""),42451.64583333333)</f>
        <v>42451.64583</v>
      </c>
      <c r="B857" s="1">
        <f>IFERROR(__xludf.DUMMYFUNCTION("""COMPUTED_VALUE"""),4550.0)</f>
        <v>4550</v>
      </c>
      <c r="C857" s="1">
        <f>IFERROR(__xludf.DUMMYFUNCTION("""COMPUTED_VALUE"""),4550.0)</f>
        <v>4550</v>
      </c>
      <c r="D857" s="1">
        <f>IFERROR(__xludf.DUMMYFUNCTION("""COMPUTED_VALUE"""),4400.0)</f>
        <v>4400</v>
      </c>
      <c r="E857" s="1">
        <f>IFERROR(__xludf.DUMMYFUNCTION("""COMPUTED_VALUE"""),4460.0)</f>
        <v>4460</v>
      </c>
      <c r="F857" s="1">
        <f>IFERROR(__xludf.DUMMYFUNCTION("""COMPUTED_VALUE"""),132206.0)</f>
        <v>132206</v>
      </c>
    </row>
    <row r="858">
      <c r="A858" s="2">
        <f>IFERROR(__xludf.DUMMYFUNCTION("""COMPUTED_VALUE"""),42452.64583333333)</f>
        <v>42452.64583</v>
      </c>
      <c r="B858" s="1">
        <f>IFERROR(__xludf.DUMMYFUNCTION("""COMPUTED_VALUE"""),4535.0)</f>
        <v>4535</v>
      </c>
      <c r="C858" s="1">
        <f>IFERROR(__xludf.DUMMYFUNCTION("""COMPUTED_VALUE"""),5460.0)</f>
        <v>5460</v>
      </c>
      <c r="D858" s="1">
        <f>IFERROR(__xludf.DUMMYFUNCTION("""COMPUTED_VALUE"""),4445.0)</f>
        <v>4445</v>
      </c>
      <c r="E858" s="1">
        <f>IFERROR(__xludf.DUMMYFUNCTION("""COMPUTED_VALUE"""),4795.0)</f>
        <v>4795</v>
      </c>
      <c r="F858" s="1">
        <f>IFERROR(__xludf.DUMMYFUNCTION("""COMPUTED_VALUE"""),431482.0)</f>
        <v>431482</v>
      </c>
    </row>
    <row r="859">
      <c r="A859" s="2">
        <f>IFERROR(__xludf.DUMMYFUNCTION("""COMPUTED_VALUE"""),42453.64583333333)</f>
        <v>42453.64583</v>
      </c>
      <c r="B859" s="1">
        <f>IFERROR(__xludf.DUMMYFUNCTION("""COMPUTED_VALUE"""),4795.0)</f>
        <v>4795</v>
      </c>
      <c r="C859" s="1">
        <f>IFERROR(__xludf.DUMMYFUNCTION("""COMPUTED_VALUE"""),4850.0)</f>
        <v>4850</v>
      </c>
      <c r="D859" s="1">
        <f>IFERROR(__xludf.DUMMYFUNCTION("""COMPUTED_VALUE"""),4685.0)</f>
        <v>4685</v>
      </c>
      <c r="E859" s="1">
        <f>IFERROR(__xludf.DUMMYFUNCTION("""COMPUTED_VALUE"""),4805.0)</f>
        <v>4805</v>
      </c>
      <c r="F859" s="1">
        <f>IFERROR(__xludf.DUMMYFUNCTION("""COMPUTED_VALUE"""),84688.0)</f>
        <v>84688</v>
      </c>
    </row>
    <row r="860">
      <c r="A860" s="2">
        <f>IFERROR(__xludf.DUMMYFUNCTION("""COMPUTED_VALUE"""),42454.64583333333)</f>
        <v>42454.64583</v>
      </c>
      <c r="B860" s="1">
        <f>IFERROR(__xludf.DUMMYFUNCTION("""COMPUTED_VALUE"""),4830.0)</f>
        <v>4830</v>
      </c>
      <c r="C860" s="1">
        <f>IFERROR(__xludf.DUMMYFUNCTION("""COMPUTED_VALUE"""),4950.0)</f>
        <v>4950</v>
      </c>
      <c r="D860" s="1">
        <f>IFERROR(__xludf.DUMMYFUNCTION("""COMPUTED_VALUE"""),4805.0)</f>
        <v>4805</v>
      </c>
      <c r="E860" s="1">
        <f>IFERROR(__xludf.DUMMYFUNCTION("""COMPUTED_VALUE"""),4900.0)</f>
        <v>4900</v>
      </c>
      <c r="F860" s="1">
        <f>IFERROR(__xludf.DUMMYFUNCTION("""COMPUTED_VALUE"""),70048.0)</f>
        <v>70048</v>
      </c>
    </row>
    <row r="861">
      <c r="A861" s="2">
        <f>IFERROR(__xludf.DUMMYFUNCTION("""COMPUTED_VALUE"""),42457.64583333333)</f>
        <v>42457.64583</v>
      </c>
      <c r="B861" s="1">
        <f>IFERROR(__xludf.DUMMYFUNCTION("""COMPUTED_VALUE"""),4805.0)</f>
        <v>4805</v>
      </c>
      <c r="C861" s="1">
        <f>IFERROR(__xludf.DUMMYFUNCTION("""COMPUTED_VALUE"""),5280.0)</f>
        <v>5280</v>
      </c>
      <c r="D861" s="1">
        <f>IFERROR(__xludf.DUMMYFUNCTION("""COMPUTED_VALUE"""),4800.0)</f>
        <v>4800</v>
      </c>
      <c r="E861" s="1">
        <f>IFERROR(__xludf.DUMMYFUNCTION("""COMPUTED_VALUE"""),4895.0)</f>
        <v>4895</v>
      </c>
      <c r="F861" s="1">
        <f>IFERROR(__xludf.DUMMYFUNCTION("""COMPUTED_VALUE"""),190689.0)</f>
        <v>190689</v>
      </c>
    </row>
    <row r="862">
      <c r="A862" s="2">
        <f>IFERROR(__xludf.DUMMYFUNCTION("""COMPUTED_VALUE"""),42458.64583333333)</f>
        <v>42458.64583</v>
      </c>
      <c r="B862" s="1">
        <f>IFERROR(__xludf.DUMMYFUNCTION("""COMPUTED_VALUE"""),4990.0)</f>
        <v>4990</v>
      </c>
      <c r="C862" s="1">
        <f>IFERROR(__xludf.DUMMYFUNCTION("""COMPUTED_VALUE"""),5290.0)</f>
        <v>5290</v>
      </c>
      <c r="D862" s="1">
        <f>IFERROR(__xludf.DUMMYFUNCTION("""COMPUTED_VALUE"""),4920.0)</f>
        <v>4920</v>
      </c>
      <c r="E862" s="1">
        <f>IFERROR(__xludf.DUMMYFUNCTION("""COMPUTED_VALUE"""),5240.0)</f>
        <v>5240</v>
      </c>
      <c r="F862" s="1">
        <f>IFERROR(__xludf.DUMMYFUNCTION("""COMPUTED_VALUE"""),229069.0)</f>
        <v>229069</v>
      </c>
    </row>
    <row r="863">
      <c r="A863" s="2">
        <f>IFERROR(__xludf.DUMMYFUNCTION("""COMPUTED_VALUE"""),42459.64583333333)</f>
        <v>42459.64583</v>
      </c>
      <c r="B863" s="1">
        <f>IFERROR(__xludf.DUMMYFUNCTION("""COMPUTED_VALUE"""),5210.0)</f>
        <v>5210</v>
      </c>
      <c r="C863" s="1">
        <f>IFERROR(__xludf.DUMMYFUNCTION("""COMPUTED_VALUE"""),5390.0)</f>
        <v>5390</v>
      </c>
      <c r="D863" s="1">
        <f>IFERROR(__xludf.DUMMYFUNCTION("""COMPUTED_VALUE"""),5120.0)</f>
        <v>5120</v>
      </c>
      <c r="E863" s="1">
        <f>IFERROR(__xludf.DUMMYFUNCTION("""COMPUTED_VALUE"""),5300.0)</f>
        <v>5300</v>
      </c>
      <c r="F863" s="1">
        <f>IFERROR(__xludf.DUMMYFUNCTION("""COMPUTED_VALUE"""),115398.0)</f>
        <v>115398</v>
      </c>
    </row>
    <row r="864">
      <c r="A864" s="2">
        <f>IFERROR(__xludf.DUMMYFUNCTION("""COMPUTED_VALUE"""),42460.64583333333)</f>
        <v>42460.64583</v>
      </c>
      <c r="B864" s="1">
        <f>IFERROR(__xludf.DUMMYFUNCTION("""COMPUTED_VALUE"""),5300.0)</f>
        <v>5300</v>
      </c>
      <c r="C864" s="1">
        <f>IFERROR(__xludf.DUMMYFUNCTION("""COMPUTED_VALUE"""),5420.0)</f>
        <v>5420</v>
      </c>
      <c r="D864" s="1">
        <f>IFERROR(__xludf.DUMMYFUNCTION("""COMPUTED_VALUE"""),5210.0)</f>
        <v>5210</v>
      </c>
      <c r="E864" s="1">
        <f>IFERROR(__xludf.DUMMYFUNCTION("""COMPUTED_VALUE"""),5380.0)</f>
        <v>5380</v>
      </c>
      <c r="F864" s="1">
        <f>IFERROR(__xludf.DUMMYFUNCTION("""COMPUTED_VALUE"""),70346.0)</f>
        <v>70346</v>
      </c>
    </row>
    <row r="865">
      <c r="A865" s="2">
        <f>IFERROR(__xludf.DUMMYFUNCTION("""COMPUTED_VALUE"""),42461.64583333333)</f>
        <v>42461.64583</v>
      </c>
      <c r="B865" s="1">
        <f>IFERROR(__xludf.DUMMYFUNCTION("""COMPUTED_VALUE"""),5270.0)</f>
        <v>5270</v>
      </c>
      <c r="C865" s="1">
        <f>IFERROR(__xludf.DUMMYFUNCTION("""COMPUTED_VALUE"""),5440.0)</f>
        <v>5440</v>
      </c>
      <c r="D865" s="1">
        <f>IFERROR(__xludf.DUMMYFUNCTION("""COMPUTED_VALUE"""),5270.0)</f>
        <v>5270</v>
      </c>
      <c r="E865" s="1">
        <f>IFERROR(__xludf.DUMMYFUNCTION("""COMPUTED_VALUE"""),5380.0)</f>
        <v>5380</v>
      </c>
      <c r="F865" s="1">
        <f>IFERROR(__xludf.DUMMYFUNCTION("""COMPUTED_VALUE"""),76515.0)</f>
        <v>76515</v>
      </c>
    </row>
    <row r="866">
      <c r="A866" s="2">
        <f>IFERROR(__xludf.DUMMYFUNCTION("""COMPUTED_VALUE"""),42464.64583333333)</f>
        <v>42464.64583</v>
      </c>
      <c r="B866" s="1">
        <f>IFERROR(__xludf.DUMMYFUNCTION("""COMPUTED_VALUE"""),5400.0)</f>
        <v>5400</v>
      </c>
      <c r="C866" s="1">
        <f>IFERROR(__xludf.DUMMYFUNCTION("""COMPUTED_VALUE"""),5400.0)</f>
        <v>5400</v>
      </c>
      <c r="D866" s="1">
        <f>IFERROR(__xludf.DUMMYFUNCTION("""COMPUTED_VALUE"""),5080.0)</f>
        <v>5080</v>
      </c>
      <c r="E866" s="1">
        <f>IFERROR(__xludf.DUMMYFUNCTION("""COMPUTED_VALUE"""),5150.0)</f>
        <v>5150</v>
      </c>
      <c r="F866" s="1">
        <f>IFERROR(__xludf.DUMMYFUNCTION("""COMPUTED_VALUE"""),96833.0)</f>
        <v>96833</v>
      </c>
    </row>
    <row r="867">
      <c r="A867" s="2">
        <f>IFERROR(__xludf.DUMMYFUNCTION("""COMPUTED_VALUE"""),42465.64583333333)</f>
        <v>42465.64583</v>
      </c>
      <c r="B867" s="1">
        <f>IFERROR(__xludf.DUMMYFUNCTION("""COMPUTED_VALUE"""),5230.0)</f>
        <v>5230</v>
      </c>
      <c r="C867" s="1">
        <f>IFERROR(__xludf.DUMMYFUNCTION("""COMPUTED_VALUE"""),5350.0)</f>
        <v>5350</v>
      </c>
      <c r="D867" s="1">
        <f>IFERROR(__xludf.DUMMYFUNCTION("""COMPUTED_VALUE"""),5100.0)</f>
        <v>5100</v>
      </c>
      <c r="E867" s="1">
        <f>IFERROR(__xludf.DUMMYFUNCTION("""COMPUTED_VALUE"""),5190.0)</f>
        <v>5190</v>
      </c>
      <c r="F867" s="1">
        <f>IFERROR(__xludf.DUMMYFUNCTION("""COMPUTED_VALUE"""),92411.0)</f>
        <v>92411</v>
      </c>
    </row>
    <row r="868">
      <c r="A868" s="2">
        <f>IFERROR(__xludf.DUMMYFUNCTION("""COMPUTED_VALUE"""),42466.64583333333)</f>
        <v>42466.64583</v>
      </c>
      <c r="B868" s="1">
        <f>IFERROR(__xludf.DUMMYFUNCTION("""COMPUTED_VALUE"""),5230.0)</f>
        <v>5230</v>
      </c>
      <c r="C868" s="1">
        <f>IFERROR(__xludf.DUMMYFUNCTION("""COMPUTED_VALUE"""),5240.0)</f>
        <v>5240</v>
      </c>
      <c r="D868" s="1">
        <f>IFERROR(__xludf.DUMMYFUNCTION("""COMPUTED_VALUE"""),5000.0)</f>
        <v>5000</v>
      </c>
      <c r="E868" s="1">
        <f>IFERROR(__xludf.DUMMYFUNCTION("""COMPUTED_VALUE"""),5100.0)</f>
        <v>5100</v>
      </c>
      <c r="F868" s="1">
        <f>IFERROR(__xludf.DUMMYFUNCTION("""COMPUTED_VALUE"""),47340.0)</f>
        <v>47340</v>
      </c>
    </row>
    <row r="869">
      <c r="A869" s="2">
        <f>IFERROR(__xludf.DUMMYFUNCTION("""COMPUTED_VALUE"""),42467.64583333333)</f>
        <v>42467.64583</v>
      </c>
      <c r="B869" s="1">
        <f>IFERROR(__xludf.DUMMYFUNCTION("""COMPUTED_VALUE"""),5100.0)</f>
        <v>5100</v>
      </c>
      <c r="C869" s="1">
        <f>IFERROR(__xludf.DUMMYFUNCTION("""COMPUTED_VALUE"""),5180.0)</f>
        <v>5180</v>
      </c>
      <c r="D869" s="1">
        <f>IFERROR(__xludf.DUMMYFUNCTION("""COMPUTED_VALUE"""),5000.0)</f>
        <v>5000</v>
      </c>
      <c r="E869" s="1">
        <f>IFERROR(__xludf.DUMMYFUNCTION("""COMPUTED_VALUE"""),5160.0)</f>
        <v>5160</v>
      </c>
      <c r="F869" s="1">
        <f>IFERROR(__xludf.DUMMYFUNCTION("""COMPUTED_VALUE"""),65501.0)</f>
        <v>65501</v>
      </c>
    </row>
    <row r="870">
      <c r="A870" s="2">
        <f>IFERROR(__xludf.DUMMYFUNCTION("""COMPUTED_VALUE"""),42468.64583333333)</f>
        <v>42468.64583</v>
      </c>
      <c r="B870" s="1">
        <f>IFERROR(__xludf.DUMMYFUNCTION("""COMPUTED_VALUE"""),5150.0)</f>
        <v>5150</v>
      </c>
      <c r="C870" s="1">
        <f>IFERROR(__xludf.DUMMYFUNCTION("""COMPUTED_VALUE"""),5450.0)</f>
        <v>5450</v>
      </c>
      <c r="D870" s="1">
        <f>IFERROR(__xludf.DUMMYFUNCTION("""COMPUTED_VALUE"""),5060.0)</f>
        <v>5060</v>
      </c>
      <c r="E870" s="1">
        <f>IFERROR(__xludf.DUMMYFUNCTION("""COMPUTED_VALUE"""),5280.0)</f>
        <v>5280</v>
      </c>
      <c r="F870" s="1">
        <f>IFERROR(__xludf.DUMMYFUNCTION("""COMPUTED_VALUE"""),129762.0)</f>
        <v>129762</v>
      </c>
    </row>
    <row r="871">
      <c r="A871" s="2">
        <f>IFERROR(__xludf.DUMMYFUNCTION("""COMPUTED_VALUE"""),42471.64583333333)</f>
        <v>42471.64583</v>
      </c>
      <c r="B871" s="1">
        <f>IFERROR(__xludf.DUMMYFUNCTION("""COMPUTED_VALUE"""),5200.0)</f>
        <v>5200</v>
      </c>
      <c r="C871" s="1">
        <f>IFERROR(__xludf.DUMMYFUNCTION("""COMPUTED_VALUE"""),5360.0)</f>
        <v>5360</v>
      </c>
      <c r="D871" s="1">
        <f>IFERROR(__xludf.DUMMYFUNCTION("""COMPUTED_VALUE"""),5050.0)</f>
        <v>5050</v>
      </c>
      <c r="E871" s="1">
        <f>IFERROR(__xludf.DUMMYFUNCTION("""COMPUTED_VALUE"""),5090.0)</f>
        <v>5090</v>
      </c>
      <c r="F871" s="1">
        <f>IFERROR(__xludf.DUMMYFUNCTION("""COMPUTED_VALUE"""),128817.0)</f>
        <v>128817</v>
      </c>
    </row>
    <row r="872">
      <c r="A872" s="2">
        <f>IFERROR(__xludf.DUMMYFUNCTION("""COMPUTED_VALUE"""),42472.64583333333)</f>
        <v>42472.64583</v>
      </c>
      <c r="B872" s="1">
        <f>IFERROR(__xludf.DUMMYFUNCTION("""COMPUTED_VALUE"""),5100.0)</f>
        <v>5100</v>
      </c>
      <c r="C872" s="1">
        <f>IFERROR(__xludf.DUMMYFUNCTION("""COMPUTED_VALUE"""),5290.0)</f>
        <v>5290</v>
      </c>
      <c r="D872" s="1">
        <f>IFERROR(__xludf.DUMMYFUNCTION("""COMPUTED_VALUE"""),5080.0)</f>
        <v>5080</v>
      </c>
      <c r="E872" s="1">
        <f>IFERROR(__xludf.DUMMYFUNCTION("""COMPUTED_VALUE"""),5140.0)</f>
        <v>5140</v>
      </c>
      <c r="F872" s="1">
        <f>IFERROR(__xludf.DUMMYFUNCTION("""COMPUTED_VALUE"""),62811.0)</f>
        <v>62811</v>
      </c>
    </row>
    <row r="873">
      <c r="A873" s="2">
        <f>IFERROR(__xludf.DUMMYFUNCTION("""COMPUTED_VALUE"""),42474.64583333333)</f>
        <v>42474.64583</v>
      </c>
      <c r="B873" s="1">
        <f>IFERROR(__xludf.DUMMYFUNCTION("""COMPUTED_VALUE"""),5330.0)</f>
        <v>5330</v>
      </c>
      <c r="C873" s="1">
        <f>IFERROR(__xludf.DUMMYFUNCTION("""COMPUTED_VALUE"""),5380.0)</f>
        <v>5380</v>
      </c>
      <c r="D873" s="1">
        <f>IFERROR(__xludf.DUMMYFUNCTION("""COMPUTED_VALUE"""),5110.0)</f>
        <v>5110</v>
      </c>
      <c r="E873" s="1">
        <f>IFERROR(__xludf.DUMMYFUNCTION("""COMPUTED_VALUE"""),5260.0)</f>
        <v>5260</v>
      </c>
      <c r="F873" s="1">
        <f>IFERROR(__xludf.DUMMYFUNCTION("""COMPUTED_VALUE"""),87698.0)</f>
        <v>87698</v>
      </c>
    </row>
    <row r="874">
      <c r="A874" s="2">
        <f>IFERROR(__xludf.DUMMYFUNCTION("""COMPUTED_VALUE"""),42475.64583333333)</f>
        <v>42475.64583</v>
      </c>
      <c r="B874" s="1">
        <f>IFERROR(__xludf.DUMMYFUNCTION("""COMPUTED_VALUE"""),5260.0)</f>
        <v>5260</v>
      </c>
      <c r="C874" s="1">
        <f>IFERROR(__xludf.DUMMYFUNCTION("""COMPUTED_VALUE"""),5290.0)</f>
        <v>5290</v>
      </c>
      <c r="D874" s="1">
        <f>IFERROR(__xludf.DUMMYFUNCTION("""COMPUTED_VALUE"""),5190.0)</f>
        <v>5190</v>
      </c>
      <c r="E874" s="1">
        <f>IFERROR(__xludf.DUMMYFUNCTION("""COMPUTED_VALUE"""),5280.0)</f>
        <v>5280</v>
      </c>
      <c r="F874" s="1">
        <f>IFERROR(__xludf.DUMMYFUNCTION("""COMPUTED_VALUE"""),26925.0)</f>
        <v>26925</v>
      </c>
    </row>
    <row r="875">
      <c r="A875" s="2">
        <f>IFERROR(__xludf.DUMMYFUNCTION("""COMPUTED_VALUE"""),42478.64583333333)</f>
        <v>42478.64583</v>
      </c>
      <c r="B875" s="1">
        <f>IFERROR(__xludf.DUMMYFUNCTION("""COMPUTED_VALUE"""),5230.0)</f>
        <v>5230</v>
      </c>
      <c r="C875" s="1">
        <f>IFERROR(__xludf.DUMMYFUNCTION("""COMPUTED_VALUE"""),5480.0)</f>
        <v>5480</v>
      </c>
      <c r="D875" s="1">
        <f>IFERROR(__xludf.DUMMYFUNCTION("""COMPUTED_VALUE"""),5230.0)</f>
        <v>5230</v>
      </c>
      <c r="E875" s="1">
        <f>IFERROR(__xludf.DUMMYFUNCTION("""COMPUTED_VALUE"""),5390.0)</f>
        <v>5390</v>
      </c>
      <c r="F875" s="1">
        <f>IFERROR(__xludf.DUMMYFUNCTION("""COMPUTED_VALUE"""),116837.0)</f>
        <v>116837</v>
      </c>
    </row>
    <row r="876">
      <c r="A876" s="2">
        <f>IFERROR(__xludf.DUMMYFUNCTION("""COMPUTED_VALUE"""),42479.64583333333)</f>
        <v>42479.64583</v>
      </c>
      <c r="B876" s="1">
        <f>IFERROR(__xludf.DUMMYFUNCTION("""COMPUTED_VALUE"""),5340.0)</f>
        <v>5340</v>
      </c>
      <c r="C876" s="1">
        <f>IFERROR(__xludf.DUMMYFUNCTION("""COMPUTED_VALUE"""),5400.0)</f>
        <v>5400</v>
      </c>
      <c r="D876" s="1">
        <f>IFERROR(__xludf.DUMMYFUNCTION("""COMPUTED_VALUE"""),5280.0)</f>
        <v>5280</v>
      </c>
      <c r="E876" s="1">
        <f>IFERROR(__xludf.DUMMYFUNCTION("""COMPUTED_VALUE"""),5300.0)</f>
        <v>5300</v>
      </c>
      <c r="F876" s="1">
        <f>IFERROR(__xludf.DUMMYFUNCTION("""COMPUTED_VALUE"""),84325.0)</f>
        <v>84325</v>
      </c>
    </row>
    <row r="877">
      <c r="A877" s="2">
        <f>IFERROR(__xludf.DUMMYFUNCTION("""COMPUTED_VALUE"""),42480.64583333333)</f>
        <v>42480.64583</v>
      </c>
      <c r="B877" s="1">
        <f>IFERROR(__xludf.DUMMYFUNCTION("""COMPUTED_VALUE"""),5200.0)</f>
        <v>5200</v>
      </c>
      <c r="C877" s="1">
        <f>IFERROR(__xludf.DUMMYFUNCTION("""COMPUTED_VALUE"""),5300.0)</f>
        <v>5300</v>
      </c>
      <c r="D877" s="1">
        <f>IFERROR(__xludf.DUMMYFUNCTION("""COMPUTED_VALUE"""),5080.0)</f>
        <v>5080</v>
      </c>
      <c r="E877" s="1">
        <f>IFERROR(__xludf.DUMMYFUNCTION("""COMPUTED_VALUE"""),5130.0)</f>
        <v>5130</v>
      </c>
      <c r="F877" s="1">
        <f>IFERROR(__xludf.DUMMYFUNCTION("""COMPUTED_VALUE"""),152175.0)</f>
        <v>152175</v>
      </c>
    </row>
    <row r="878">
      <c r="A878" s="2">
        <f>IFERROR(__xludf.DUMMYFUNCTION("""COMPUTED_VALUE"""),42481.64583333333)</f>
        <v>42481.64583</v>
      </c>
      <c r="B878" s="1">
        <f>IFERROR(__xludf.DUMMYFUNCTION("""COMPUTED_VALUE"""),5240.0)</f>
        <v>5240</v>
      </c>
      <c r="C878" s="1">
        <f>IFERROR(__xludf.DUMMYFUNCTION("""COMPUTED_VALUE"""),5300.0)</f>
        <v>5300</v>
      </c>
      <c r="D878" s="1">
        <f>IFERROR(__xludf.DUMMYFUNCTION("""COMPUTED_VALUE"""),5090.0)</f>
        <v>5090</v>
      </c>
      <c r="E878" s="1">
        <f>IFERROR(__xludf.DUMMYFUNCTION("""COMPUTED_VALUE"""),5120.0)</f>
        <v>5120</v>
      </c>
      <c r="F878" s="1">
        <f>IFERROR(__xludf.DUMMYFUNCTION("""COMPUTED_VALUE"""),201247.0)</f>
        <v>201247</v>
      </c>
    </row>
    <row r="879">
      <c r="A879" s="2">
        <f>IFERROR(__xludf.DUMMYFUNCTION("""COMPUTED_VALUE"""),42482.64583333333)</f>
        <v>42482.64583</v>
      </c>
      <c r="B879" s="1">
        <f>IFERROR(__xludf.DUMMYFUNCTION("""COMPUTED_VALUE"""),5400.0)</f>
        <v>5400</v>
      </c>
      <c r="C879" s="1">
        <f>IFERROR(__xludf.DUMMYFUNCTION("""COMPUTED_VALUE"""),5930.0)</f>
        <v>5930</v>
      </c>
      <c r="D879" s="1">
        <f>IFERROR(__xludf.DUMMYFUNCTION("""COMPUTED_VALUE"""),5340.0)</f>
        <v>5340</v>
      </c>
      <c r="E879" s="1">
        <f>IFERROR(__xludf.DUMMYFUNCTION("""COMPUTED_VALUE"""),5450.0)</f>
        <v>5450</v>
      </c>
      <c r="F879" s="1">
        <f>IFERROR(__xludf.DUMMYFUNCTION("""COMPUTED_VALUE"""),1128021.0)</f>
        <v>1128021</v>
      </c>
    </row>
    <row r="880">
      <c r="A880" s="2">
        <f>IFERROR(__xludf.DUMMYFUNCTION("""COMPUTED_VALUE"""),42485.64583333333)</f>
        <v>42485.64583</v>
      </c>
      <c r="B880" s="1">
        <f>IFERROR(__xludf.DUMMYFUNCTION("""COMPUTED_VALUE"""),5400.0)</f>
        <v>5400</v>
      </c>
      <c r="C880" s="1">
        <f>IFERROR(__xludf.DUMMYFUNCTION("""COMPUTED_VALUE"""),5630.0)</f>
        <v>5630</v>
      </c>
      <c r="D880" s="1">
        <f>IFERROR(__xludf.DUMMYFUNCTION("""COMPUTED_VALUE"""),5370.0)</f>
        <v>5370</v>
      </c>
      <c r="E880" s="1">
        <f>IFERROR(__xludf.DUMMYFUNCTION("""COMPUTED_VALUE"""),5560.0)</f>
        <v>5560</v>
      </c>
      <c r="F880" s="1">
        <f>IFERROR(__xludf.DUMMYFUNCTION("""COMPUTED_VALUE"""),190541.0)</f>
        <v>190541</v>
      </c>
    </row>
    <row r="881">
      <c r="A881" s="2">
        <f>IFERROR(__xludf.DUMMYFUNCTION("""COMPUTED_VALUE"""),42486.64583333333)</f>
        <v>42486.64583</v>
      </c>
      <c r="B881" s="1">
        <f>IFERROR(__xludf.DUMMYFUNCTION("""COMPUTED_VALUE"""),5500.0)</f>
        <v>5500</v>
      </c>
      <c r="C881" s="1">
        <f>IFERROR(__xludf.DUMMYFUNCTION("""COMPUTED_VALUE"""),5540.0)</f>
        <v>5540</v>
      </c>
      <c r="D881" s="1">
        <f>IFERROR(__xludf.DUMMYFUNCTION("""COMPUTED_VALUE"""),5340.0)</f>
        <v>5340</v>
      </c>
      <c r="E881" s="1">
        <f>IFERROR(__xludf.DUMMYFUNCTION("""COMPUTED_VALUE"""),5380.0)</f>
        <v>5380</v>
      </c>
      <c r="F881" s="1">
        <f>IFERROR(__xludf.DUMMYFUNCTION("""COMPUTED_VALUE"""),216283.0)</f>
        <v>216283</v>
      </c>
    </row>
    <row r="882">
      <c r="A882" s="2">
        <f>IFERROR(__xludf.DUMMYFUNCTION("""COMPUTED_VALUE"""),42487.64583333333)</f>
        <v>42487.64583</v>
      </c>
      <c r="B882" s="1">
        <f>IFERROR(__xludf.DUMMYFUNCTION("""COMPUTED_VALUE"""),5440.0)</f>
        <v>5440</v>
      </c>
      <c r="C882" s="1">
        <f>IFERROR(__xludf.DUMMYFUNCTION("""COMPUTED_VALUE"""),5440.0)</f>
        <v>5440</v>
      </c>
      <c r="D882" s="1">
        <f>IFERROR(__xludf.DUMMYFUNCTION("""COMPUTED_VALUE"""),5290.0)</f>
        <v>5290</v>
      </c>
      <c r="E882" s="1">
        <f>IFERROR(__xludf.DUMMYFUNCTION("""COMPUTED_VALUE"""),5350.0)</f>
        <v>5350</v>
      </c>
      <c r="F882" s="1">
        <f>IFERROR(__xludf.DUMMYFUNCTION("""COMPUTED_VALUE"""),71058.0)</f>
        <v>71058</v>
      </c>
    </row>
    <row r="883">
      <c r="A883" s="2">
        <f>IFERROR(__xludf.DUMMYFUNCTION("""COMPUTED_VALUE"""),42488.64583333333)</f>
        <v>42488.64583</v>
      </c>
      <c r="B883" s="1">
        <f>IFERROR(__xludf.DUMMYFUNCTION("""COMPUTED_VALUE"""),5300.0)</f>
        <v>5300</v>
      </c>
      <c r="C883" s="1">
        <f>IFERROR(__xludf.DUMMYFUNCTION("""COMPUTED_VALUE"""),5350.0)</f>
        <v>5350</v>
      </c>
      <c r="D883" s="1">
        <f>IFERROR(__xludf.DUMMYFUNCTION("""COMPUTED_VALUE"""),5210.0)</f>
        <v>5210</v>
      </c>
      <c r="E883" s="1">
        <f>IFERROR(__xludf.DUMMYFUNCTION("""COMPUTED_VALUE"""),5250.0)</f>
        <v>5250</v>
      </c>
      <c r="F883" s="1">
        <f>IFERROR(__xludf.DUMMYFUNCTION("""COMPUTED_VALUE"""),97174.0)</f>
        <v>97174</v>
      </c>
    </row>
    <row r="884">
      <c r="A884" s="2">
        <f>IFERROR(__xludf.DUMMYFUNCTION("""COMPUTED_VALUE"""),42489.64583333333)</f>
        <v>42489.64583</v>
      </c>
      <c r="B884" s="1">
        <f>IFERROR(__xludf.DUMMYFUNCTION("""COMPUTED_VALUE"""),5300.0)</f>
        <v>5300</v>
      </c>
      <c r="C884" s="1">
        <f>IFERROR(__xludf.DUMMYFUNCTION("""COMPUTED_VALUE"""),5300.0)</f>
        <v>5300</v>
      </c>
      <c r="D884" s="1">
        <f>IFERROR(__xludf.DUMMYFUNCTION("""COMPUTED_VALUE"""),5140.0)</f>
        <v>5140</v>
      </c>
      <c r="E884" s="1">
        <f>IFERROR(__xludf.DUMMYFUNCTION("""COMPUTED_VALUE"""),5180.0)</f>
        <v>5180</v>
      </c>
      <c r="F884" s="1">
        <f>IFERROR(__xludf.DUMMYFUNCTION("""COMPUTED_VALUE"""),113700.0)</f>
        <v>113700</v>
      </c>
    </row>
    <row r="885">
      <c r="A885" s="2">
        <f>IFERROR(__xludf.DUMMYFUNCTION("""COMPUTED_VALUE"""),42492.64583333333)</f>
        <v>42492.64583</v>
      </c>
      <c r="B885" s="1">
        <f>IFERROR(__xludf.DUMMYFUNCTION("""COMPUTED_VALUE"""),5280.0)</f>
        <v>5280</v>
      </c>
      <c r="C885" s="1">
        <f>IFERROR(__xludf.DUMMYFUNCTION("""COMPUTED_VALUE"""),5650.0)</f>
        <v>5650</v>
      </c>
      <c r="D885" s="1">
        <f>IFERROR(__xludf.DUMMYFUNCTION("""COMPUTED_VALUE"""),5090.0)</f>
        <v>5090</v>
      </c>
      <c r="E885" s="1">
        <f>IFERROR(__xludf.DUMMYFUNCTION("""COMPUTED_VALUE"""),5430.0)</f>
        <v>5430</v>
      </c>
      <c r="F885" s="1">
        <f>IFERROR(__xludf.DUMMYFUNCTION("""COMPUTED_VALUE"""),244836.0)</f>
        <v>244836</v>
      </c>
    </row>
    <row r="886">
      <c r="A886" s="2">
        <f>IFERROR(__xludf.DUMMYFUNCTION("""COMPUTED_VALUE"""),42493.64583333333)</f>
        <v>42493.64583</v>
      </c>
      <c r="B886" s="1">
        <f>IFERROR(__xludf.DUMMYFUNCTION("""COMPUTED_VALUE"""),5470.0)</f>
        <v>5470</v>
      </c>
      <c r="C886" s="1">
        <f>IFERROR(__xludf.DUMMYFUNCTION("""COMPUTED_VALUE"""),5470.0)</f>
        <v>5470</v>
      </c>
      <c r="D886" s="1">
        <f>IFERROR(__xludf.DUMMYFUNCTION("""COMPUTED_VALUE"""),5320.0)</f>
        <v>5320</v>
      </c>
      <c r="E886" s="1">
        <f>IFERROR(__xludf.DUMMYFUNCTION("""COMPUTED_VALUE"""),5410.0)</f>
        <v>5410</v>
      </c>
      <c r="F886" s="1">
        <f>IFERROR(__xludf.DUMMYFUNCTION("""COMPUTED_VALUE"""),45394.0)</f>
        <v>45394</v>
      </c>
    </row>
    <row r="887">
      <c r="A887" s="2">
        <f>IFERROR(__xludf.DUMMYFUNCTION("""COMPUTED_VALUE"""),42494.64583333333)</f>
        <v>42494.64583</v>
      </c>
      <c r="B887" s="1">
        <f>IFERROR(__xludf.DUMMYFUNCTION("""COMPUTED_VALUE"""),5400.0)</f>
        <v>5400</v>
      </c>
      <c r="C887" s="1">
        <f>IFERROR(__xludf.DUMMYFUNCTION("""COMPUTED_VALUE"""),5550.0)</f>
        <v>5550</v>
      </c>
      <c r="D887" s="1">
        <f>IFERROR(__xludf.DUMMYFUNCTION("""COMPUTED_VALUE"""),5320.0)</f>
        <v>5320</v>
      </c>
      <c r="E887" s="1">
        <f>IFERROR(__xludf.DUMMYFUNCTION("""COMPUTED_VALUE"""),5400.0)</f>
        <v>5400</v>
      </c>
      <c r="F887" s="1">
        <f>IFERROR(__xludf.DUMMYFUNCTION("""COMPUTED_VALUE"""),182322.0)</f>
        <v>182322</v>
      </c>
    </row>
    <row r="888">
      <c r="A888" s="2">
        <f>IFERROR(__xludf.DUMMYFUNCTION("""COMPUTED_VALUE"""),42499.64583333333)</f>
        <v>42499.64583</v>
      </c>
      <c r="B888" s="1">
        <f>IFERROR(__xludf.DUMMYFUNCTION("""COMPUTED_VALUE"""),5320.0)</f>
        <v>5320</v>
      </c>
      <c r="C888" s="1">
        <f>IFERROR(__xludf.DUMMYFUNCTION("""COMPUTED_VALUE"""),5380.0)</f>
        <v>5380</v>
      </c>
      <c r="D888" s="1">
        <f>IFERROR(__xludf.DUMMYFUNCTION("""COMPUTED_VALUE"""),5240.0)</f>
        <v>5240</v>
      </c>
      <c r="E888" s="1">
        <f>IFERROR(__xludf.DUMMYFUNCTION("""COMPUTED_VALUE"""),5270.0)</f>
        <v>5270</v>
      </c>
      <c r="F888" s="1">
        <f>IFERROR(__xludf.DUMMYFUNCTION("""COMPUTED_VALUE"""),144642.0)</f>
        <v>144642</v>
      </c>
    </row>
    <row r="889">
      <c r="A889" s="2">
        <f>IFERROR(__xludf.DUMMYFUNCTION("""COMPUTED_VALUE"""),42500.64583333333)</f>
        <v>42500.64583</v>
      </c>
      <c r="B889" s="1">
        <f>IFERROR(__xludf.DUMMYFUNCTION("""COMPUTED_VALUE"""),5260.0)</f>
        <v>5260</v>
      </c>
      <c r="C889" s="1">
        <f>IFERROR(__xludf.DUMMYFUNCTION("""COMPUTED_VALUE"""),5310.0)</f>
        <v>5310</v>
      </c>
      <c r="D889" s="1">
        <f>IFERROR(__xludf.DUMMYFUNCTION("""COMPUTED_VALUE"""),5050.0)</f>
        <v>5050</v>
      </c>
      <c r="E889" s="1">
        <f>IFERROR(__xludf.DUMMYFUNCTION("""COMPUTED_VALUE"""),5050.0)</f>
        <v>5050</v>
      </c>
      <c r="F889" s="1">
        <f>IFERROR(__xludf.DUMMYFUNCTION("""COMPUTED_VALUE"""),393730.0)</f>
        <v>393730</v>
      </c>
    </row>
    <row r="890">
      <c r="A890" s="2">
        <f>IFERROR(__xludf.DUMMYFUNCTION("""COMPUTED_VALUE"""),42501.64583333333)</f>
        <v>42501.64583</v>
      </c>
      <c r="B890" s="1">
        <f>IFERROR(__xludf.DUMMYFUNCTION("""COMPUTED_VALUE"""),5070.0)</f>
        <v>5070</v>
      </c>
      <c r="C890" s="1">
        <f>IFERROR(__xludf.DUMMYFUNCTION("""COMPUTED_VALUE"""),5180.0)</f>
        <v>5180</v>
      </c>
      <c r="D890" s="1">
        <f>IFERROR(__xludf.DUMMYFUNCTION("""COMPUTED_VALUE"""),4990.0)</f>
        <v>4990</v>
      </c>
      <c r="E890" s="1">
        <f>IFERROR(__xludf.DUMMYFUNCTION("""COMPUTED_VALUE"""),5170.0)</f>
        <v>5170</v>
      </c>
      <c r="F890" s="1">
        <f>IFERROR(__xludf.DUMMYFUNCTION("""COMPUTED_VALUE"""),69971.0)</f>
        <v>69971</v>
      </c>
    </row>
    <row r="891">
      <c r="A891" s="2">
        <f>IFERROR(__xludf.DUMMYFUNCTION("""COMPUTED_VALUE"""),42502.64583333333)</f>
        <v>42502.64583</v>
      </c>
      <c r="B891" s="1">
        <f>IFERROR(__xludf.DUMMYFUNCTION("""COMPUTED_VALUE"""),5200.0)</f>
        <v>5200</v>
      </c>
      <c r="C891" s="1">
        <f>IFERROR(__xludf.DUMMYFUNCTION("""COMPUTED_VALUE"""),5280.0)</f>
        <v>5280</v>
      </c>
      <c r="D891" s="1">
        <f>IFERROR(__xludf.DUMMYFUNCTION("""COMPUTED_VALUE"""),5100.0)</f>
        <v>5100</v>
      </c>
      <c r="E891" s="1">
        <f>IFERROR(__xludf.DUMMYFUNCTION("""COMPUTED_VALUE"""),5230.0)</f>
        <v>5230</v>
      </c>
      <c r="F891" s="1">
        <f>IFERROR(__xludf.DUMMYFUNCTION("""COMPUTED_VALUE"""),88661.0)</f>
        <v>88661</v>
      </c>
    </row>
    <row r="892">
      <c r="A892" s="2">
        <f>IFERROR(__xludf.DUMMYFUNCTION("""COMPUTED_VALUE"""),42503.64583333333)</f>
        <v>42503.64583</v>
      </c>
      <c r="B892" s="1">
        <f>IFERROR(__xludf.DUMMYFUNCTION("""COMPUTED_VALUE"""),5260.0)</f>
        <v>5260</v>
      </c>
      <c r="C892" s="1">
        <f>IFERROR(__xludf.DUMMYFUNCTION("""COMPUTED_VALUE"""),5260.0)</f>
        <v>5260</v>
      </c>
      <c r="D892" s="1">
        <f>IFERROR(__xludf.DUMMYFUNCTION("""COMPUTED_VALUE"""),5150.0)</f>
        <v>5150</v>
      </c>
      <c r="E892" s="1">
        <f>IFERROR(__xludf.DUMMYFUNCTION("""COMPUTED_VALUE"""),5180.0)</f>
        <v>5180</v>
      </c>
      <c r="F892" s="1">
        <f>IFERROR(__xludf.DUMMYFUNCTION("""COMPUTED_VALUE"""),66614.0)</f>
        <v>66614</v>
      </c>
    </row>
    <row r="893">
      <c r="A893" s="2">
        <f>IFERROR(__xludf.DUMMYFUNCTION("""COMPUTED_VALUE"""),42506.64583333333)</f>
        <v>42506.64583</v>
      </c>
      <c r="B893" s="1">
        <f>IFERROR(__xludf.DUMMYFUNCTION("""COMPUTED_VALUE"""),5180.0)</f>
        <v>5180</v>
      </c>
      <c r="C893" s="1">
        <f>IFERROR(__xludf.DUMMYFUNCTION("""COMPUTED_VALUE"""),5240.0)</f>
        <v>5240</v>
      </c>
      <c r="D893" s="1">
        <f>IFERROR(__xludf.DUMMYFUNCTION("""COMPUTED_VALUE"""),5150.0)</f>
        <v>5150</v>
      </c>
      <c r="E893" s="1">
        <f>IFERROR(__xludf.DUMMYFUNCTION("""COMPUTED_VALUE"""),5240.0)</f>
        <v>5240</v>
      </c>
      <c r="F893" s="1">
        <f>IFERROR(__xludf.DUMMYFUNCTION("""COMPUTED_VALUE"""),426291.0)</f>
        <v>426291</v>
      </c>
    </row>
    <row r="894">
      <c r="A894" s="2">
        <f>IFERROR(__xludf.DUMMYFUNCTION("""COMPUTED_VALUE"""),42507.64583333333)</f>
        <v>42507.64583</v>
      </c>
      <c r="B894" s="1">
        <f>IFERROR(__xludf.DUMMYFUNCTION("""COMPUTED_VALUE"""),5250.0)</f>
        <v>5250</v>
      </c>
      <c r="C894" s="1">
        <f>IFERROR(__xludf.DUMMYFUNCTION("""COMPUTED_VALUE"""),5420.0)</f>
        <v>5420</v>
      </c>
      <c r="D894" s="1">
        <f>IFERROR(__xludf.DUMMYFUNCTION("""COMPUTED_VALUE"""),5160.0)</f>
        <v>5160</v>
      </c>
      <c r="E894" s="1">
        <f>IFERROR(__xludf.DUMMYFUNCTION("""COMPUTED_VALUE"""),5190.0)</f>
        <v>5190</v>
      </c>
      <c r="F894" s="1">
        <f>IFERROR(__xludf.DUMMYFUNCTION("""COMPUTED_VALUE"""),125831.0)</f>
        <v>125831</v>
      </c>
    </row>
    <row r="895">
      <c r="A895" s="2">
        <f>IFERROR(__xludf.DUMMYFUNCTION("""COMPUTED_VALUE"""),42508.64583333333)</f>
        <v>42508.64583</v>
      </c>
      <c r="B895" s="1">
        <f>IFERROR(__xludf.DUMMYFUNCTION("""COMPUTED_VALUE"""),5200.0)</f>
        <v>5200</v>
      </c>
      <c r="C895" s="1">
        <f>IFERROR(__xludf.DUMMYFUNCTION("""COMPUTED_VALUE"""),5220.0)</f>
        <v>5220</v>
      </c>
      <c r="D895" s="1">
        <f>IFERROR(__xludf.DUMMYFUNCTION("""COMPUTED_VALUE"""),5080.0)</f>
        <v>5080</v>
      </c>
      <c r="E895" s="1">
        <f>IFERROR(__xludf.DUMMYFUNCTION("""COMPUTED_VALUE"""),5160.0)</f>
        <v>5160</v>
      </c>
      <c r="F895" s="1">
        <f>IFERROR(__xludf.DUMMYFUNCTION("""COMPUTED_VALUE"""),122958.0)</f>
        <v>122958</v>
      </c>
    </row>
    <row r="896">
      <c r="A896" s="2">
        <f>IFERROR(__xludf.DUMMYFUNCTION("""COMPUTED_VALUE"""),42509.64583333333)</f>
        <v>42509.64583</v>
      </c>
      <c r="B896" s="1">
        <f>IFERROR(__xludf.DUMMYFUNCTION("""COMPUTED_VALUE"""),5160.0)</f>
        <v>5160</v>
      </c>
      <c r="C896" s="1">
        <f>IFERROR(__xludf.DUMMYFUNCTION("""COMPUTED_VALUE"""),5240.0)</f>
        <v>5240</v>
      </c>
      <c r="D896" s="1">
        <f>IFERROR(__xludf.DUMMYFUNCTION("""COMPUTED_VALUE"""),5000.0)</f>
        <v>5000</v>
      </c>
      <c r="E896" s="1">
        <f>IFERROR(__xludf.DUMMYFUNCTION("""COMPUTED_VALUE"""),5080.0)</f>
        <v>5080</v>
      </c>
      <c r="F896" s="1">
        <f>IFERROR(__xludf.DUMMYFUNCTION("""COMPUTED_VALUE"""),146993.0)</f>
        <v>146993</v>
      </c>
    </row>
    <row r="897">
      <c r="A897" s="2">
        <f>IFERROR(__xludf.DUMMYFUNCTION("""COMPUTED_VALUE"""),42510.64583333333)</f>
        <v>42510.64583</v>
      </c>
      <c r="B897" s="1">
        <f>IFERROR(__xludf.DUMMYFUNCTION("""COMPUTED_VALUE"""),5180.0)</f>
        <v>5180</v>
      </c>
      <c r="C897" s="1">
        <f>IFERROR(__xludf.DUMMYFUNCTION("""COMPUTED_VALUE"""),5180.0)</f>
        <v>5180</v>
      </c>
      <c r="D897" s="1">
        <f>IFERROR(__xludf.DUMMYFUNCTION("""COMPUTED_VALUE"""),5080.0)</f>
        <v>5080</v>
      </c>
      <c r="E897" s="1">
        <f>IFERROR(__xludf.DUMMYFUNCTION("""COMPUTED_VALUE"""),5130.0)</f>
        <v>5130</v>
      </c>
      <c r="F897" s="1">
        <f>IFERROR(__xludf.DUMMYFUNCTION("""COMPUTED_VALUE"""),110438.0)</f>
        <v>110438</v>
      </c>
    </row>
    <row r="898">
      <c r="A898" s="2">
        <f>IFERROR(__xludf.DUMMYFUNCTION("""COMPUTED_VALUE"""),42513.64583333333)</f>
        <v>42513.64583</v>
      </c>
      <c r="B898" s="1">
        <f>IFERROR(__xludf.DUMMYFUNCTION("""COMPUTED_VALUE"""),5250.0)</f>
        <v>5250</v>
      </c>
      <c r="C898" s="1">
        <f>IFERROR(__xludf.DUMMYFUNCTION("""COMPUTED_VALUE"""),5750.0)</f>
        <v>5750</v>
      </c>
      <c r="D898" s="1">
        <f>IFERROR(__xludf.DUMMYFUNCTION("""COMPUTED_VALUE"""),5160.0)</f>
        <v>5160</v>
      </c>
      <c r="E898" s="1">
        <f>IFERROR(__xludf.DUMMYFUNCTION("""COMPUTED_VALUE"""),5350.0)</f>
        <v>5350</v>
      </c>
      <c r="F898" s="1">
        <f>IFERROR(__xludf.DUMMYFUNCTION("""COMPUTED_VALUE"""),1272791.0)</f>
        <v>1272791</v>
      </c>
    </row>
    <row r="899">
      <c r="A899" s="2">
        <f>IFERROR(__xludf.DUMMYFUNCTION("""COMPUTED_VALUE"""),42514.64583333333)</f>
        <v>42514.64583</v>
      </c>
      <c r="B899" s="1">
        <f>IFERROR(__xludf.DUMMYFUNCTION("""COMPUTED_VALUE"""),5500.0)</f>
        <v>5500</v>
      </c>
      <c r="C899" s="1">
        <f>IFERROR(__xludf.DUMMYFUNCTION("""COMPUTED_VALUE"""),5500.0)</f>
        <v>5500</v>
      </c>
      <c r="D899" s="1">
        <f>IFERROR(__xludf.DUMMYFUNCTION("""COMPUTED_VALUE"""),5160.0)</f>
        <v>5160</v>
      </c>
      <c r="E899" s="1">
        <f>IFERROR(__xludf.DUMMYFUNCTION("""COMPUTED_VALUE"""),5200.0)</f>
        <v>5200</v>
      </c>
      <c r="F899" s="1">
        <f>IFERROR(__xludf.DUMMYFUNCTION("""COMPUTED_VALUE"""),765233.0)</f>
        <v>765233</v>
      </c>
    </row>
    <row r="900">
      <c r="A900" s="2">
        <f>IFERROR(__xludf.DUMMYFUNCTION("""COMPUTED_VALUE"""),42515.64583333333)</f>
        <v>42515.64583</v>
      </c>
      <c r="B900" s="1">
        <f>IFERROR(__xludf.DUMMYFUNCTION("""COMPUTED_VALUE"""),5280.0)</f>
        <v>5280</v>
      </c>
      <c r="C900" s="1">
        <f>IFERROR(__xludf.DUMMYFUNCTION("""COMPUTED_VALUE"""),5700.0)</f>
        <v>5700</v>
      </c>
      <c r="D900" s="1">
        <f>IFERROR(__xludf.DUMMYFUNCTION("""COMPUTED_VALUE"""),5250.0)</f>
        <v>5250</v>
      </c>
      <c r="E900" s="1">
        <f>IFERROR(__xludf.DUMMYFUNCTION("""COMPUTED_VALUE"""),5700.0)</f>
        <v>5700</v>
      </c>
      <c r="F900" s="1">
        <f>IFERROR(__xludf.DUMMYFUNCTION("""COMPUTED_VALUE"""),527875.0)</f>
        <v>527875</v>
      </c>
    </row>
    <row r="901">
      <c r="A901" s="2">
        <f>IFERROR(__xludf.DUMMYFUNCTION("""COMPUTED_VALUE"""),42516.64583333333)</f>
        <v>42516.64583</v>
      </c>
      <c r="B901" s="1">
        <f>IFERROR(__xludf.DUMMYFUNCTION("""COMPUTED_VALUE"""),5690.0)</f>
        <v>5690</v>
      </c>
      <c r="C901" s="1">
        <f>IFERROR(__xludf.DUMMYFUNCTION("""COMPUTED_VALUE"""),6400.0)</f>
        <v>6400</v>
      </c>
      <c r="D901" s="1">
        <f>IFERROR(__xludf.DUMMYFUNCTION("""COMPUTED_VALUE"""),5640.0)</f>
        <v>5640</v>
      </c>
      <c r="E901" s="1">
        <f>IFERROR(__xludf.DUMMYFUNCTION("""COMPUTED_VALUE"""),6050.0)</f>
        <v>6050</v>
      </c>
      <c r="F901" s="1">
        <f>IFERROR(__xludf.DUMMYFUNCTION("""COMPUTED_VALUE"""),1187260.0)</f>
        <v>1187260</v>
      </c>
    </row>
    <row r="902">
      <c r="A902" s="2">
        <f>IFERROR(__xludf.DUMMYFUNCTION("""COMPUTED_VALUE"""),42517.64583333333)</f>
        <v>42517.64583</v>
      </c>
      <c r="B902" s="1">
        <f>IFERROR(__xludf.DUMMYFUNCTION("""COMPUTED_VALUE"""),6140.0)</f>
        <v>6140</v>
      </c>
      <c r="C902" s="1">
        <f>IFERROR(__xludf.DUMMYFUNCTION("""COMPUTED_VALUE"""),6300.0)</f>
        <v>6300</v>
      </c>
      <c r="D902" s="1">
        <f>IFERROR(__xludf.DUMMYFUNCTION("""COMPUTED_VALUE"""),5950.0)</f>
        <v>5950</v>
      </c>
      <c r="E902" s="1">
        <f>IFERROR(__xludf.DUMMYFUNCTION("""COMPUTED_VALUE"""),6170.0)</f>
        <v>6170</v>
      </c>
      <c r="F902" s="1">
        <f>IFERROR(__xludf.DUMMYFUNCTION("""COMPUTED_VALUE"""),365175.0)</f>
        <v>365175</v>
      </c>
    </row>
    <row r="903">
      <c r="A903" s="2">
        <f>IFERROR(__xludf.DUMMYFUNCTION("""COMPUTED_VALUE"""),42520.64583333333)</f>
        <v>42520.64583</v>
      </c>
      <c r="B903" s="1">
        <f>IFERROR(__xludf.DUMMYFUNCTION("""COMPUTED_VALUE"""),6200.0)</f>
        <v>6200</v>
      </c>
      <c r="C903" s="1">
        <f>IFERROR(__xludf.DUMMYFUNCTION("""COMPUTED_VALUE"""),6500.0)</f>
        <v>6500</v>
      </c>
      <c r="D903" s="1">
        <f>IFERROR(__xludf.DUMMYFUNCTION("""COMPUTED_VALUE"""),6130.0)</f>
        <v>6130</v>
      </c>
      <c r="E903" s="1">
        <f>IFERROR(__xludf.DUMMYFUNCTION("""COMPUTED_VALUE"""),6370.0)</f>
        <v>6370</v>
      </c>
      <c r="F903" s="1">
        <f>IFERROR(__xludf.DUMMYFUNCTION("""COMPUTED_VALUE"""),357291.0)</f>
        <v>357291</v>
      </c>
    </row>
    <row r="904">
      <c r="A904" s="2">
        <f>IFERROR(__xludf.DUMMYFUNCTION("""COMPUTED_VALUE"""),42521.64583333333)</f>
        <v>42521.64583</v>
      </c>
      <c r="B904" s="1">
        <f>IFERROR(__xludf.DUMMYFUNCTION("""COMPUTED_VALUE"""),6420.0)</f>
        <v>6420</v>
      </c>
      <c r="C904" s="1">
        <f>IFERROR(__xludf.DUMMYFUNCTION("""COMPUTED_VALUE"""),6570.0)</f>
        <v>6570</v>
      </c>
      <c r="D904" s="1">
        <f>IFERROR(__xludf.DUMMYFUNCTION("""COMPUTED_VALUE"""),6200.0)</f>
        <v>6200</v>
      </c>
      <c r="E904" s="1">
        <f>IFERROR(__xludf.DUMMYFUNCTION("""COMPUTED_VALUE"""),6350.0)</f>
        <v>6350</v>
      </c>
      <c r="F904" s="1">
        <f>IFERROR(__xludf.DUMMYFUNCTION("""COMPUTED_VALUE"""),267016.0)</f>
        <v>267016</v>
      </c>
    </row>
    <row r="905">
      <c r="A905" s="2">
        <f>IFERROR(__xludf.DUMMYFUNCTION("""COMPUTED_VALUE"""),42522.64583333333)</f>
        <v>42522.64583</v>
      </c>
      <c r="B905" s="1">
        <f>IFERROR(__xludf.DUMMYFUNCTION("""COMPUTED_VALUE"""),6300.0)</f>
        <v>6300</v>
      </c>
      <c r="C905" s="1">
        <f>IFERROR(__xludf.DUMMYFUNCTION("""COMPUTED_VALUE"""),6300.0)</f>
        <v>6300</v>
      </c>
      <c r="D905" s="1">
        <f>IFERROR(__xludf.DUMMYFUNCTION("""COMPUTED_VALUE"""),5900.0)</f>
        <v>5900</v>
      </c>
      <c r="E905" s="1">
        <f>IFERROR(__xludf.DUMMYFUNCTION("""COMPUTED_VALUE"""),6200.0)</f>
        <v>6200</v>
      </c>
      <c r="F905" s="1">
        <f>IFERROR(__xludf.DUMMYFUNCTION("""COMPUTED_VALUE"""),393579.0)</f>
        <v>393579</v>
      </c>
    </row>
    <row r="906">
      <c r="A906" s="2">
        <f>IFERROR(__xludf.DUMMYFUNCTION("""COMPUTED_VALUE"""),42523.64583333333)</f>
        <v>42523.64583</v>
      </c>
      <c r="B906" s="1">
        <f>IFERROR(__xludf.DUMMYFUNCTION("""COMPUTED_VALUE"""),6200.0)</f>
        <v>6200</v>
      </c>
      <c r="C906" s="1">
        <f>IFERROR(__xludf.DUMMYFUNCTION("""COMPUTED_VALUE"""),7000.0)</f>
        <v>7000</v>
      </c>
      <c r="D906" s="1">
        <f>IFERROR(__xludf.DUMMYFUNCTION("""COMPUTED_VALUE"""),6050.0)</f>
        <v>6050</v>
      </c>
      <c r="E906" s="1">
        <f>IFERROR(__xludf.DUMMYFUNCTION("""COMPUTED_VALUE"""),6800.0)</f>
        <v>6800</v>
      </c>
      <c r="F906" s="1">
        <f>IFERROR(__xludf.DUMMYFUNCTION("""COMPUTED_VALUE"""),862662.0)</f>
        <v>862662</v>
      </c>
    </row>
    <row r="907">
      <c r="A907" s="2">
        <f>IFERROR(__xludf.DUMMYFUNCTION("""COMPUTED_VALUE"""),42524.64583333333)</f>
        <v>42524.64583</v>
      </c>
      <c r="B907" s="1">
        <f>IFERROR(__xludf.DUMMYFUNCTION("""COMPUTED_VALUE"""),6900.0)</f>
        <v>6900</v>
      </c>
      <c r="C907" s="1">
        <f>IFERROR(__xludf.DUMMYFUNCTION("""COMPUTED_VALUE"""),7180.0)</f>
        <v>7180</v>
      </c>
      <c r="D907" s="1">
        <f>IFERROR(__xludf.DUMMYFUNCTION("""COMPUTED_VALUE"""),6740.0)</f>
        <v>6740</v>
      </c>
      <c r="E907" s="1">
        <f>IFERROR(__xludf.DUMMYFUNCTION("""COMPUTED_VALUE"""),7100.0)</f>
        <v>7100</v>
      </c>
      <c r="F907" s="1">
        <f>IFERROR(__xludf.DUMMYFUNCTION("""COMPUTED_VALUE"""),650427.0)</f>
        <v>650427</v>
      </c>
    </row>
    <row r="908">
      <c r="A908" s="2">
        <f>IFERROR(__xludf.DUMMYFUNCTION("""COMPUTED_VALUE"""),42528.64583333333)</f>
        <v>42528.64583</v>
      </c>
      <c r="B908" s="1">
        <f>IFERROR(__xludf.DUMMYFUNCTION("""COMPUTED_VALUE"""),7100.0)</f>
        <v>7100</v>
      </c>
      <c r="C908" s="1">
        <f>IFERROR(__xludf.DUMMYFUNCTION("""COMPUTED_VALUE"""),7410.0)</f>
        <v>7410</v>
      </c>
      <c r="D908" s="1">
        <f>IFERROR(__xludf.DUMMYFUNCTION("""COMPUTED_VALUE"""),7050.0)</f>
        <v>7050</v>
      </c>
      <c r="E908" s="1">
        <f>IFERROR(__xludf.DUMMYFUNCTION("""COMPUTED_VALUE"""),7190.0)</f>
        <v>7190</v>
      </c>
      <c r="F908" s="1">
        <f>IFERROR(__xludf.DUMMYFUNCTION("""COMPUTED_VALUE"""),411877.0)</f>
        <v>411877</v>
      </c>
    </row>
    <row r="909">
      <c r="A909" s="2">
        <f>IFERROR(__xludf.DUMMYFUNCTION("""COMPUTED_VALUE"""),42529.64583333333)</f>
        <v>42529.64583</v>
      </c>
      <c r="B909" s="1">
        <f>IFERROR(__xludf.DUMMYFUNCTION("""COMPUTED_VALUE"""),7240.0)</f>
        <v>7240</v>
      </c>
      <c r="C909" s="1">
        <f>IFERROR(__xludf.DUMMYFUNCTION("""COMPUTED_VALUE"""),7300.0)</f>
        <v>7300</v>
      </c>
      <c r="D909" s="1">
        <f>IFERROR(__xludf.DUMMYFUNCTION("""COMPUTED_VALUE"""),6880.0)</f>
        <v>6880</v>
      </c>
      <c r="E909" s="1">
        <f>IFERROR(__xludf.DUMMYFUNCTION("""COMPUTED_VALUE"""),7140.0)</f>
        <v>7140</v>
      </c>
      <c r="F909" s="1">
        <f>IFERROR(__xludf.DUMMYFUNCTION("""COMPUTED_VALUE"""),232545.0)</f>
        <v>232545</v>
      </c>
    </row>
    <row r="910">
      <c r="A910" s="2">
        <f>IFERROR(__xludf.DUMMYFUNCTION("""COMPUTED_VALUE"""),42530.64583333333)</f>
        <v>42530.64583</v>
      </c>
      <c r="B910" s="1">
        <f>IFERROR(__xludf.DUMMYFUNCTION("""COMPUTED_VALUE"""),7050.0)</f>
        <v>7050</v>
      </c>
      <c r="C910" s="1">
        <f>IFERROR(__xludf.DUMMYFUNCTION("""COMPUTED_VALUE"""),7340.0)</f>
        <v>7340</v>
      </c>
      <c r="D910" s="1">
        <f>IFERROR(__xludf.DUMMYFUNCTION("""COMPUTED_VALUE"""),7000.0)</f>
        <v>7000</v>
      </c>
      <c r="E910" s="1">
        <f>IFERROR(__xludf.DUMMYFUNCTION("""COMPUTED_VALUE"""),7140.0)</f>
        <v>7140</v>
      </c>
      <c r="F910" s="1">
        <f>IFERROR(__xludf.DUMMYFUNCTION("""COMPUTED_VALUE"""),240492.0)</f>
        <v>240492</v>
      </c>
    </row>
    <row r="911">
      <c r="A911" s="2">
        <f>IFERROR(__xludf.DUMMYFUNCTION("""COMPUTED_VALUE"""),42531.64583333333)</f>
        <v>42531.64583</v>
      </c>
      <c r="B911" s="1">
        <f>IFERROR(__xludf.DUMMYFUNCTION("""COMPUTED_VALUE"""),7060.0)</f>
        <v>7060</v>
      </c>
      <c r="C911" s="1">
        <f>IFERROR(__xludf.DUMMYFUNCTION("""COMPUTED_VALUE"""),7600.0)</f>
        <v>7600</v>
      </c>
      <c r="D911" s="1">
        <f>IFERROR(__xludf.DUMMYFUNCTION("""COMPUTED_VALUE"""),7060.0)</f>
        <v>7060</v>
      </c>
      <c r="E911" s="1">
        <f>IFERROR(__xludf.DUMMYFUNCTION("""COMPUTED_VALUE"""),7310.0)</f>
        <v>7310</v>
      </c>
      <c r="F911" s="1">
        <f>IFERROR(__xludf.DUMMYFUNCTION("""COMPUTED_VALUE"""),294609.0)</f>
        <v>294609</v>
      </c>
    </row>
    <row r="912">
      <c r="A912" s="2">
        <f>IFERROR(__xludf.DUMMYFUNCTION("""COMPUTED_VALUE"""),42534.64583333333)</f>
        <v>42534.64583</v>
      </c>
      <c r="B912" s="1">
        <f>IFERROR(__xludf.DUMMYFUNCTION("""COMPUTED_VALUE"""),7200.0)</f>
        <v>7200</v>
      </c>
      <c r="C912" s="1">
        <f>IFERROR(__xludf.DUMMYFUNCTION("""COMPUTED_VALUE"""),7270.0)</f>
        <v>7270</v>
      </c>
      <c r="D912" s="1">
        <f>IFERROR(__xludf.DUMMYFUNCTION("""COMPUTED_VALUE"""),6980.0)</f>
        <v>6980</v>
      </c>
      <c r="E912" s="1">
        <f>IFERROR(__xludf.DUMMYFUNCTION("""COMPUTED_VALUE"""),6980.0)</f>
        <v>6980</v>
      </c>
      <c r="F912" s="1">
        <f>IFERROR(__xludf.DUMMYFUNCTION("""COMPUTED_VALUE"""),256587.0)</f>
        <v>256587</v>
      </c>
    </row>
    <row r="913">
      <c r="A913" s="2">
        <f>IFERROR(__xludf.DUMMYFUNCTION("""COMPUTED_VALUE"""),42535.64583333333)</f>
        <v>42535.64583</v>
      </c>
      <c r="B913" s="1">
        <f>IFERROR(__xludf.DUMMYFUNCTION("""COMPUTED_VALUE"""),6930.0)</f>
        <v>6930</v>
      </c>
      <c r="C913" s="1">
        <f>IFERROR(__xludf.DUMMYFUNCTION("""COMPUTED_VALUE"""),7440.0)</f>
        <v>7440</v>
      </c>
      <c r="D913" s="1">
        <f>IFERROR(__xludf.DUMMYFUNCTION("""COMPUTED_VALUE"""),6920.0)</f>
        <v>6920</v>
      </c>
      <c r="E913" s="1">
        <f>IFERROR(__xludf.DUMMYFUNCTION("""COMPUTED_VALUE"""),7290.0)</f>
        <v>7290</v>
      </c>
      <c r="F913" s="1">
        <f>IFERROR(__xludf.DUMMYFUNCTION("""COMPUTED_VALUE"""),290990.0)</f>
        <v>290990</v>
      </c>
    </row>
    <row r="914">
      <c r="A914" s="2">
        <f>IFERROR(__xludf.DUMMYFUNCTION("""COMPUTED_VALUE"""),42536.64583333333)</f>
        <v>42536.64583</v>
      </c>
      <c r="B914" s="1">
        <f>IFERROR(__xludf.DUMMYFUNCTION("""COMPUTED_VALUE"""),7300.0)</f>
        <v>7300</v>
      </c>
      <c r="C914" s="1">
        <f>IFERROR(__xludf.DUMMYFUNCTION("""COMPUTED_VALUE"""),8120.0)</f>
        <v>8120</v>
      </c>
      <c r="D914" s="1">
        <f>IFERROR(__xludf.DUMMYFUNCTION("""COMPUTED_VALUE"""),7300.0)</f>
        <v>7300</v>
      </c>
      <c r="E914" s="1">
        <f>IFERROR(__xludf.DUMMYFUNCTION("""COMPUTED_VALUE"""),8020.0)</f>
        <v>8020</v>
      </c>
      <c r="F914" s="1">
        <f>IFERROR(__xludf.DUMMYFUNCTION("""COMPUTED_VALUE"""),729198.0)</f>
        <v>729198</v>
      </c>
    </row>
    <row r="915">
      <c r="A915" s="2">
        <f>IFERROR(__xludf.DUMMYFUNCTION("""COMPUTED_VALUE"""),42537.64583333333)</f>
        <v>42537.64583</v>
      </c>
      <c r="B915" s="1">
        <f>IFERROR(__xludf.DUMMYFUNCTION("""COMPUTED_VALUE"""),8190.0)</f>
        <v>8190</v>
      </c>
      <c r="C915" s="1">
        <f>IFERROR(__xludf.DUMMYFUNCTION("""COMPUTED_VALUE"""),8500.0)</f>
        <v>8500</v>
      </c>
      <c r="D915" s="1">
        <f>IFERROR(__xludf.DUMMYFUNCTION("""COMPUTED_VALUE"""),7970.0)</f>
        <v>7970</v>
      </c>
      <c r="E915" s="1">
        <f>IFERROR(__xludf.DUMMYFUNCTION("""COMPUTED_VALUE"""),8100.0)</f>
        <v>8100</v>
      </c>
      <c r="F915" s="1">
        <f>IFERROR(__xludf.DUMMYFUNCTION("""COMPUTED_VALUE"""),567204.0)</f>
        <v>567204</v>
      </c>
    </row>
    <row r="916">
      <c r="A916" s="2">
        <f>IFERROR(__xludf.DUMMYFUNCTION("""COMPUTED_VALUE"""),42538.64583333333)</f>
        <v>42538.64583</v>
      </c>
      <c r="B916" s="1">
        <f>IFERROR(__xludf.DUMMYFUNCTION("""COMPUTED_VALUE"""),8100.0)</f>
        <v>8100</v>
      </c>
      <c r="C916" s="1">
        <f>IFERROR(__xludf.DUMMYFUNCTION("""COMPUTED_VALUE"""),8100.0)</f>
        <v>8100</v>
      </c>
      <c r="D916" s="1">
        <f>IFERROR(__xludf.DUMMYFUNCTION("""COMPUTED_VALUE"""),7590.0)</f>
        <v>7590</v>
      </c>
      <c r="E916" s="1">
        <f>IFERROR(__xludf.DUMMYFUNCTION("""COMPUTED_VALUE"""),7900.0)</f>
        <v>7900</v>
      </c>
      <c r="F916" s="1">
        <f>IFERROR(__xludf.DUMMYFUNCTION("""COMPUTED_VALUE"""),366217.0)</f>
        <v>366217</v>
      </c>
    </row>
    <row r="917">
      <c r="A917" s="2">
        <f>IFERROR(__xludf.DUMMYFUNCTION("""COMPUTED_VALUE"""),42541.64583333333)</f>
        <v>42541.64583</v>
      </c>
      <c r="B917" s="1">
        <f>IFERROR(__xludf.DUMMYFUNCTION("""COMPUTED_VALUE"""),7940.0)</f>
        <v>7940</v>
      </c>
      <c r="C917" s="1">
        <f>IFERROR(__xludf.DUMMYFUNCTION("""COMPUTED_VALUE"""),8100.0)</f>
        <v>8100</v>
      </c>
      <c r="D917" s="1">
        <f>IFERROR(__xludf.DUMMYFUNCTION("""COMPUTED_VALUE"""),7650.0)</f>
        <v>7650</v>
      </c>
      <c r="E917" s="1">
        <f>IFERROR(__xludf.DUMMYFUNCTION("""COMPUTED_VALUE"""),8090.0)</f>
        <v>8090</v>
      </c>
      <c r="F917" s="1">
        <f>IFERROR(__xludf.DUMMYFUNCTION("""COMPUTED_VALUE"""),198039.0)</f>
        <v>198039</v>
      </c>
    </row>
    <row r="918">
      <c r="A918" s="2">
        <f>IFERROR(__xludf.DUMMYFUNCTION("""COMPUTED_VALUE"""),42542.64583333333)</f>
        <v>42542.64583</v>
      </c>
      <c r="B918" s="1">
        <f>IFERROR(__xludf.DUMMYFUNCTION("""COMPUTED_VALUE"""),8090.0)</f>
        <v>8090</v>
      </c>
      <c r="C918" s="1">
        <f>IFERROR(__xludf.DUMMYFUNCTION("""COMPUTED_VALUE"""),8150.0)</f>
        <v>8150</v>
      </c>
      <c r="D918" s="1">
        <f>IFERROR(__xludf.DUMMYFUNCTION("""COMPUTED_VALUE"""),7970.0)</f>
        <v>7970</v>
      </c>
      <c r="E918" s="1">
        <f>IFERROR(__xludf.DUMMYFUNCTION("""COMPUTED_VALUE"""),8150.0)</f>
        <v>8150</v>
      </c>
      <c r="F918" s="1">
        <f>IFERROR(__xludf.DUMMYFUNCTION("""COMPUTED_VALUE"""),162369.0)</f>
        <v>162369</v>
      </c>
    </row>
    <row r="919">
      <c r="A919" s="2">
        <f>IFERROR(__xludf.DUMMYFUNCTION("""COMPUTED_VALUE"""),42543.64583333333)</f>
        <v>42543.64583</v>
      </c>
      <c r="B919" s="1">
        <f>IFERROR(__xludf.DUMMYFUNCTION("""COMPUTED_VALUE"""),8150.0)</f>
        <v>8150</v>
      </c>
      <c r="C919" s="1">
        <f>IFERROR(__xludf.DUMMYFUNCTION("""COMPUTED_VALUE"""),8190.0)</f>
        <v>8190</v>
      </c>
      <c r="D919" s="1">
        <f>IFERROR(__xludf.DUMMYFUNCTION("""COMPUTED_VALUE"""),8050.0)</f>
        <v>8050</v>
      </c>
      <c r="E919" s="1">
        <f>IFERROR(__xludf.DUMMYFUNCTION("""COMPUTED_VALUE"""),8160.0)</f>
        <v>8160</v>
      </c>
      <c r="F919" s="1">
        <f>IFERROR(__xludf.DUMMYFUNCTION("""COMPUTED_VALUE"""),140519.0)</f>
        <v>140519</v>
      </c>
    </row>
    <row r="920">
      <c r="A920" s="2">
        <f>IFERROR(__xludf.DUMMYFUNCTION("""COMPUTED_VALUE"""),42544.64583333333)</f>
        <v>42544.64583</v>
      </c>
      <c r="B920" s="1">
        <f>IFERROR(__xludf.DUMMYFUNCTION("""COMPUTED_VALUE"""),8150.0)</f>
        <v>8150</v>
      </c>
      <c r="C920" s="1">
        <f>IFERROR(__xludf.DUMMYFUNCTION("""COMPUTED_VALUE"""),8150.0)</f>
        <v>8150</v>
      </c>
      <c r="D920" s="1">
        <f>IFERROR(__xludf.DUMMYFUNCTION("""COMPUTED_VALUE"""),7680.0)</f>
        <v>7680</v>
      </c>
      <c r="E920" s="1">
        <f>IFERROR(__xludf.DUMMYFUNCTION("""COMPUTED_VALUE"""),7820.0)</f>
        <v>7820</v>
      </c>
      <c r="F920" s="1">
        <f>IFERROR(__xludf.DUMMYFUNCTION("""COMPUTED_VALUE"""),260146.0)</f>
        <v>260146</v>
      </c>
    </row>
    <row r="921">
      <c r="A921" s="2">
        <f>IFERROR(__xludf.DUMMYFUNCTION("""COMPUTED_VALUE"""),42545.64583333333)</f>
        <v>42545.64583</v>
      </c>
      <c r="B921" s="1">
        <f>IFERROR(__xludf.DUMMYFUNCTION("""COMPUTED_VALUE"""),8000.0)</f>
        <v>8000</v>
      </c>
      <c r="C921" s="1">
        <f>IFERROR(__xludf.DUMMYFUNCTION("""COMPUTED_VALUE"""),8000.0)</f>
        <v>8000</v>
      </c>
      <c r="D921" s="1">
        <f>IFERROR(__xludf.DUMMYFUNCTION("""COMPUTED_VALUE"""),7000.0)</f>
        <v>7000</v>
      </c>
      <c r="E921" s="1">
        <f>IFERROR(__xludf.DUMMYFUNCTION("""COMPUTED_VALUE"""),7330.0)</f>
        <v>7330</v>
      </c>
      <c r="F921" s="1">
        <f>IFERROR(__xludf.DUMMYFUNCTION("""COMPUTED_VALUE"""),380731.0)</f>
        <v>380731</v>
      </c>
    </row>
    <row r="922">
      <c r="A922" s="2">
        <f>IFERROR(__xludf.DUMMYFUNCTION("""COMPUTED_VALUE"""),42548.64583333333)</f>
        <v>42548.64583</v>
      </c>
      <c r="B922" s="1">
        <f>IFERROR(__xludf.DUMMYFUNCTION("""COMPUTED_VALUE"""),7040.0)</f>
        <v>7040</v>
      </c>
      <c r="C922" s="1">
        <f>IFERROR(__xludf.DUMMYFUNCTION("""COMPUTED_VALUE"""),7380.0)</f>
        <v>7380</v>
      </c>
      <c r="D922" s="1">
        <f>IFERROR(__xludf.DUMMYFUNCTION("""COMPUTED_VALUE"""),7040.0)</f>
        <v>7040</v>
      </c>
      <c r="E922" s="1">
        <f>IFERROR(__xludf.DUMMYFUNCTION("""COMPUTED_VALUE"""),7200.0)</f>
        <v>7200</v>
      </c>
      <c r="F922" s="1">
        <f>IFERROR(__xludf.DUMMYFUNCTION("""COMPUTED_VALUE"""),181127.0)</f>
        <v>181127</v>
      </c>
    </row>
    <row r="923">
      <c r="A923" s="2">
        <f>IFERROR(__xludf.DUMMYFUNCTION("""COMPUTED_VALUE"""),42549.64583333333)</f>
        <v>42549.64583</v>
      </c>
      <c r="B923" s="1">
        <f>IFERROR(__xludf.DUMMYFUNCTION("""COMPUTED_VALUE"""),7200.0)</f>
        <v>7200</v>
      </c>
      <c r="C923" s="1">
        <f>IFERROR(__xludf.DUMMYFUNCTION("""COMPUTED_VALUE"""),7900.0)</f>
        <v>7900</v>
      </c>
      <c r="D923" s="1">
        <f>IFERROR(__xludf.DUMMYFUNCTION("""COMPUTED_VALUE"""),7110.0)</f>
        <v>7110</v>
      </c>
      <c r="E923" s="1">
        <f>IFERROR(__xludf.DUMMYFUNCTION("""COMPUTED_VALUE"""),7630.0)</f>
        <v>7630</v>
      </c>
      <c r="F923" s="1">
        <f>IFERROR(__xludf.DUMMYFUNCTION("""COMPUTED_VALUE"""),241921.0)</f>
        <v>241921</v>
      </c>
    </row>
    <row r="924">
      <c r="A924" s="2">
        <f>IFERROR(__xludf.DUMMYFUNCTION("""COMPUTED_VALUE"""),42550.64583333333)</f>
        <v>42550.64583</v>
      </c>
      <c r="B924" s="1">
        <f>IFERROR(__xludf.DUMMYFUNCTION("""COMPUTED_VALUE"""),7800.0)</f>
        <v>7800</v>
      </c>
      <c r="C924" s="1">
        <f>IFERROR(__xludf.DUMMYFUNCTION("""COMPUTED_VALUE"""),7920.0)</f>
        <v>7920</v>
      </c>
      <c r="D924" s="1">
        <f>IFERROR(__xludf.DUMMYFUNCTION("""COMPUTED_VALUE"""),7610.0)</f>
        <v>7610</v>
      </c>
      <c r="E924" s="1">
        <f>IFERROR(__xludf.DUMMYFUNCTION("""COMPUTED_VALUE"""),7890.0)</f>
        <v>7890</v>
      </c>
      <c r="F924" s="1">
        <f>IFERROR(__xludf.DUMMYFUNCTION("""COMPUTED_VALUE"""),102792.0)</f>
        <v>102792</v>
      </c>
    </row>
    <row r="925">
      <c r="A925" s="2">
        <f>IFERROR(__xludf.DUMMYFUNCTION("""COMPUTED_VALUE"""),42551.64583333333)</f>
        <v>42551.64583</v>
      </c>
      <c r="B925" s="1">
        <f>IFERROR(__xludf.DUMMYFUNCTION("""COMPUTED_VALUE"""),7900.0)</f>
        <v>7900</v>
      </c>
      <c r="C925" s="1">
        <f>IFERROR(__xludf.DUMMYFUNCTION("""COMPUTED_VALUE"""),7980.0)</f>
        <v>7980</v>
      </c>
      <c r="D925" s="1">
        <f>IFERROR(__xludf.DUMMYFUNCTION("""COMPUTED_VALUE"""),7580.0)</f>
        <v>7580</v>
      </c>
      <c r="E925" s="1">
        <f>IFERROR(__xludf.DUMMYFUNCTION("""COMPUTED_VALUE"""),7690.0)</f>
        <v>7690</v>
      </c>
      <c r="F925" s="1">
        <f>IFERROR(__xludf.DUMMYFUNCTION("""COMPUTED_VALUE"""),114395.0)</f>
        <v>114395</v>
      </c>
    </row>
    <row r="926">
      <c r="A926" s="2">
        <f>IFERROR(__xludf.DUMMYFUNCTION("""COMPUTED_VALUE"""),42552.64583333333)</f>
        <v>42552.64583</v>
      </c>
      <c r="B926" s="1">
        <f>IFERROR(__xludf.DUMMYFUNCTION("""COMPUTED_VALUE"""),7690.0)</f>
        <v>7690</v>
      </c>
      <c r="C926" s="1">
        <f>IFERROR(__xludf.DUMMYFUNCTION("""COMPUTED_VALUE"""),8080.0)</f>
        <v>8080</v>
      </c>
      <c r="D926" s="1">
        <f>IFERROR(__xludf.DUMMYFUNCTION("""COMPUTED_VALUE"""),7690.0)</f>
        <v>7690</v>
      </c>
      <c r="E926" s="1">
        <f>IFERROR(__xludf.DUMMYFUNCTION("""COMPUTED_VALUE"""),7970.0)</f>
        <v>7970</v>
      </c>
      <c r="F926" s="1">
        <f>IFERROR(__xludf.DUMMYFUNCTION("""COMPUTED_VALUE"""),213647.0)</f>
        <v>213647</v>
      </c>
    </row>
    <row r="927">
      <c r="A927" s="2">
        <f>IFERROR(__xludf.DUMMYFUNCTION("""COMPUTED_VALUE"""),42555.64583333333)</f>
        <v>42555.64583</v>
      </c>
      <c r="B927" s="1">
        <f>IFERROR(__xludf.DUMMYFUNCTION("""COMPUTED_VALUE"""),7990.0)</f>
        <v>7990</v>
      </c>
      <c r="C927" s="1">
        <f>IFERROR(__xludf.DUMMYFUNCTION("""COMPUTED_VALUE"""),8060.0)</f>
        <v>8060</v>
      </c>
      <c r="D927" s="1">
        <f>IFERROR(__xludf.DUMMYFUNCTION("""COMPUTED_VALUE"""),7910.0)</f>
        <v>7910</v>
      </c>
      <c r="E927" s="1">
        <f>IFERROR(__xludf.DUMMYFUNCTION("""COMPUTED_VALUE"""),7980.0)</f>
        <v>7980</v>
      </c>
      <c r="F927" s="1">
        <f>IFERROR(__xludf.DUMMYFUNCTION("""COMPUTED_VALUE"""),100612.0)</f>
        <v>100612</v>
      </c>
    </row>
    <row r="928">
      <c r="A928" s="2">
        <f>IFERROR(__xludf.DUMMYFUNCTION("""COMPUTED_VALUE"""),42556.64583333333)</f>
        <v>42556.64583</v>
      </c>
      <c r="B928" s="1">
        <f>IFERROR(__xludf.DUMMYFUNCTION("""COMPUTED_VALUE"""),7980.0)</f>
        <v>7980</v>
      </c>
      <c r="C928" s="1">
        <f>IFERROR(__xludf.DUMMYFUNCTION("""COMPUTED_VALUE"""),7980.0)</f>
        <v>7980</v>
      </c>
      <c r="D928" s="1">
        <f>IFERROR(__xludf.DUMMYFUNCTION("""COMPUTED_VALUE"""),7730.0)</f>
        <v>7730</v>
      </c>
      <c r="E928" s="1">
        <f>IFERROR(__xludf.DUMMYFUNCTION("""COMPUTED_VALUE"""),7780.0)</f>
        <v>7780</v>
      </c>
      <c r="F928" s="1">
        <f>IFERROR(__xludf.DUMMYFUNCTION("""COMPUTED_VALUE"""),129081.0)</f>
        <v>129081</v>
      </c>
    </row>
    <row r="929">
      <c r="A929" s="2">
        <f>IFERROR(__xludf.DUMMYFUNCTION("""COMPUTED_VALUE"""),42557.64583333333)</f>
        <v>42557.64583</v>
      </c>
      <c r="B929" s="1">
        <f>IFERROR(__xludf.DUMMYFUNCTION("""COMPUTED_VALUE"""),7750.0)</f>
        <v>7750</v>
      </c>
      <c r="C929" s="1">
        <f>IFERROR(__xludf.DUMMYFUNCTION("""COMPUTED_VALUE"""),7950.0)</f>
        <v>7950</v>
      </c>
      <c r="D929" s="1">
        <f>IFERROR(__xludf.DUMMYFUNCTION("""COMPUTED_VALUE"""),7720.0)</f>
        <v>7720</v>
      </c>
      <c r="E929" s="1">
        <f>IFERROR(__xludf.DUMMYFUNCTION("""COMPUTED_VALUE"""),7790.0)</f>
        <v>7790</v>
      </c>
      <c r="F929" s="1">
        <f>IFERROR(__xludf.DUMMYFUNCTION("""COMPUTED_VALUE"""),102803.0)</f>
        <v>102803</v>
      </c>
    </row>
    <row r="930">
      <c r="A930" s="2">
        <f>IFERROR(__xludf.DUMMYFUNCTION("""COMPUTED_VALUE"""),42558.64583333333)</f>
        <v>42558.64583</v>
      </c>
      <c r="B930" s="1">
        <f>IFERROR(__xludf.DUMMYFUNCTION("""COMPUTED_VALUE"""),7850.0)</f>
        <v>7850</v>
      </c>
      <c r="C930" s="1">
        <f>IFERROR(__xludf.DUMMYFUNCTION("""COMPUTED_VALUE"""),7950.0)</f>
        <v>7950</v>
      </c>
      <c r="D930" s="1">
        <f>IFERROR(__xludf.DUMMYFUNCTION("""COMPUTED_VALUE"""),7650.0)</f>
        <v>7650</v>
      </c>
      <c r="E930" s="1">
        <f>IFERROR(__xludf.DUMMYFUNCTION("""COMPUTED_VALUE"""),7810.0)</f>
        <v>7810</v>
      </c>
      <c r="F930" s="1">
        <f>IFERROR(__xludf.DUMMYFUNCTION("""COMPUTED_VALUE"""),111463.0)</f>
        <v>111463</v>
      </c>
    </row>
    <row r="931">
      <c r="A931" s="2">
        <f>IFERROR(__xludf.DUMMYFUNCTION("""COMPUTED_VALUE"""),42559.64583333333)</f>
        <v>42559.64583</v>
      </c>
      <c r="B931" s="1">
        <f>IFERROR(__xludf.DUMMYFUNCTION("""COMPUTED_VALUE"""),7790.0)</f>
        <v>7790</v>
      </c>
      <c r="C931" s="1">
        <f>IFERROR(__xludf.DUMMYFUNCTION("""COMPUTED_VALUE"""),7840.0)</f>
        <v>7840</v>
      </c>
      <c r="D931" s="1">
        <f>IFERROR(__xludf.DUMMYFUNCTION("""COMPUTED_VALUE"""),7400.0)</f>
        <v>7400</v>
      </c>
      <c r="E931" s="1">
        <f>IFERROR(__xludf.DUMMYFUNCTION("""COMPUTED_VALUE"""),7450.0)</f>
        <v>7450</v>
      </c>
      <c r="F931" s="1">
        <f>IFERROR(__xludf.DUMMYFUNCTION("""COMPUTED_VALUE"""),178973.0)</f>
        <v>178973</v>
      </c>
    </row>
    <row r="932">
      <c r="A932" s="2">
        <f>IFERROR(__xludf.DUMMYFUNCTION("""COMPUTED_VALUE"""),42562.64583333333)</f>
        <v>42562.64583</v>
      </c>
      <c r="B932" s="1">
        <f>IFERROR(__xludf.DUMMYFUNCTION("""COMPUTED_VALUE"""),7380.0)</f>
        <v>7380</v>
      </c>
      <c r="C932" s="1">
        <f>IFERROR(__xludf.DUMMYFUNCTION("""COMPUTED_VALUE"""),7440.0)</f>
        <v>7440</v>
      </c>
      <c r="D932" s="1">
        <f>IFERROR(__xludf.DUMMYFUNCTION("""COMPUTED_VALUE"""),6990.0)</f>
        <v>6990</v>
      </c>
      <c r="E932" s="1">
        <f>IFERROR(__xludf.DUMMYFUNCTION("""COMPUTED_VALUE"""),7190.0)</f>
        <v>7190</v>
      </c>
      <c r="F932" s="1">
        <f>IFERROR(__xludf.DUMMYFUNCTION("""COMPUTED_VALUE"""),341483.0)</f>
        <v>341483</v>
      </c>
    </row>
    <row r="933">
      <c r="A933" s="2">
        <f>IFERROR(__xludf.DUMMYFUNCTION("""COMPUTED_VALUE"""),42563.64583333333)</f>
        <v>42563.64583</v>
      </c>
      <c r="B933" s="1">
        <f>IFERROR(__xludf.DUMMYFUNCTION("""COMPUTED_VALUE"""),7210.0)</f>
        <v>7210</v>
      </c>
      <c r="C933" s="1">
        <f>IFERROR(__xludf.DUMMYFUNCTION("""COMPUTED_VALUE"""),7290.0)</f>
        <v>7290</v>
      </c>
      <c r="D933" s="1">
        <f>IFERROR(__xludf.DUMMYFUNCTION("""COMPUTED_VALUE"""),7100.0)</f>
        <v>7100</v>
      </c>
      <c r="E933" s="1">
        <f>IFERROR(__xludf.DUMMYFUNCTION("""COMPUTED_VALUE"""),7170.0)</f>
        <v>7170</v>
      </c>
      <c r="F933" s="1">
        <f>IFERROR(__xludf.DUMMYFUNCTION("""COMPUTED_VALUE"""),77410.0)</f>
        <v>77410</v>
      </c>
    </row>
    <row r="934">
      <c r="A934" s="2">
        <f>IFERROR(__xludf.DUMMYFUNCTION("""COMPUTED_VALUE"""),42564.64583333333)</f>
        <v>42564.64583</v>
      </c>
      <c r="B934" s="1">
        <f>IFERROR(__xludf.DUMMYFUNCTION("""COMPUTED_VALUE"""),7170.0)</f>
        <v>7170</v>
      </c>
      <c r="C934" s="1">
        <f>IFERROR(__xludf.DUMMYFUNCTION("""COMPUTED_VALUE"""),7180.0)</f>
        <v>7180</v>
      </c>
      <c r="D934" s="1">
        <f>IFERROR(__xludf.DUMMYFUNCTION("""COMPUTED_VALUE"""),6950.0)</f>
        <v>6950</v>
      </c>
      <c r="E934" s="1">
        <f>IFERROR(__xludf.DUMMYFUNCTION("""COMPUTED_VALUE"""),7050.0)</f>
        <v>7050</v>
      </c>
      <c r="F934" s="1">
        <f>IFERROR(__xludf.DUMMYFUNCTION("""COMPUTED_VALUE"""),196524.0)</f>
        <v>196524</v>
      </c>
    </row>
    <row r="935">
      <c r="A935" s="2">
        <f>IFERROR(__xludf.DUMMYFUNCTION("""COMPUTED_VALUE"""),42565.64583333333)</f>
        <v>42565.64583</v>
      </c>
      <c r="B935" s="1">
        <f>IFERROR(__xludf.DUMMYFUNCTION("""COMPUTED_VALUE"""),7000.0)</f>
        <v>7000</v>
      </c>
      <c r="C935" s="1">
        <f>IFERROR(__xludf.DUMMYFUNCTION("""COMPUTED_VALUE"""),7120.0)</f>
        <v>7120</v>
      </c>
      <c r="D935" s="1">
        <f>IFERROR(__xludf.DUMMYFUNCTION("""COMPUTED_VALUE"""),6870.0)</f>
        <v>6870</v>
      </c>
      <c r="E935" s="1">
        <f>IFERROR(__xludf.DUMMYFUNCTION("""COMPUTED_VALUE"""),6980.0)</f>
        <v>6980</v>
      </c>
      <c r="F935" s="1">
        <f>IFERROR(__xludf.DUMMYFUNCTION("""COMPUTED_VALUE"""),141006.0)</f>
        <v>141006</v>
      </c>
    </row>
    <row r="936">
      <c r="A936" s="2">
        <f>IFERROR(__xludf.DUMMYFUNCTION("""COMPUTED_VALUE"""),42566.64583333333)</f>
        <v>42566.64583</v>
      </c>
      <c r="B936" s="1">
        <f>IFERROR(__xludf.DUMMYFUNCTION("""COMPUTED_VALUE"""),7120.0)</f>
        <v>7120</v>
      </c>
      <c r="C936" s="1">
        <f>IFERROR(__xludf.DUMMYFUNCTION("""COMPUTED_VALUE"""),7120.0)</f>
        <v>7120</v>
      </c>
      <c r="D936" s="1">
        <f>IFERROR(__xludf.DUMMYFUNCTION("""COMPUTED_VALUE"""),6930.0)</f>
        <v>6930</v>
      </c>
      <c r="E936" s="1">
        <f>IFERROR(__xludf.DUMMYFUNCTION("""COMPUTED_VALUE"""),7040.0)</f>
        <v>7040</v>
      </c>
      <c r="F936" s="1">
        <f>IFERROR(__xludf.DUMMYFUNCTION("""COMPUTED_VALUE"""),97604.0)</f>
        <v>97604</v>
      </c>
    </row>
    <row r="937">
      <c r="A937" s="2">
        <f>IFERROR(__xludf.DUMMYFUNCTION("""COMPUTED_VALUE"""),42569.64583333333)</f>
        <v>42569.64583</v>
      </c>
      <c r="B937" s="1">
        <f>IFERROR(__xludf.DUMMYFUNCTION("""COMPUTED_VALUE"""),7080.0)</f>
        <v>7080</v>
      </c>
      <c r="C937" s="1">
        <f>IFERROR(__xludf.DUMMYFUNCTION("""COMPUTED_VALUE"""),7500.0)</f>
        <v>7500</v>
      </c>
      <c r="D937" s="1">
        <f>IFERROR(__xludf.DUMMYFUNCTION("""COMPUTED_VALUE"""),7050.0)</f>
        <v>7050</v>
      </c>
      <c r="E937" s="1">
        <f>IFERROR(__xludf.DUMMYFUNCTION("""COMPUTED_VALUE"""),7450.0)</f>
        <v>7450</v>
      </c>
      <c r="F937" s="1">
        <f>IFERROR(__xludf.DUMMYFUNCTION("""COMPUTED_VALUE"""),131531.0)</f>
        <v>131531</v>
      </c>
    </row>
    <row r="938">
      <c r="A938" s="2">
        <f>IFERROR(__xludf.DUMMYFUNCTION("""COMPUTED_VALUE"""),42570.64583333333)</f>
        <v>42570.64583</v>
      </c>
      <c r="B938" s="1">
        <f>IFERROR(__xludf.DUMMYFUNCTION("""COMPUTED_VALUE"""),7450.0)</f>
        <v>7450</v>
      </c>
      <c r="C938" s="1">
        <f>IFERROR(__xludf.DUMMYFUNCTION("""COMPUTED_VALUE"""),8250.0)</f>
        <v>8250</v>
      </c>
      <c r="D938" s="1">
        <f>IFERROR(__xludf.DUMMYFUNCTION("""COMPUTED_VALUE"""),7440.0)</f>
        <v>7440</v>
      </c>
      <c r="E938" s="1">
        <f>IFERROR(__xludf.DUMMYFUNCTION("""COMPUTED_VALUE"""),8000.0)</f>
        <v>8000</v>
      </c>
      <c r="F938" s="1">
        <f>IFERROR(__xludf.DUMMYFUNCTION("""COMPUTED_VALUE"""),657304.0)</f>
        <v>657304</v>
      </c>
    </row>
    <row r="939">
      <c r="A939" s="2">
        <f>IFERROR(__xludf.DUMMYFUNCTION("""COMPUTED_VALUE"""),42571.64583333333)</f>
        <v>42571.64583</v>
      </c>
      <c r="B939" s="1">
        <f>IFERROR(__xludf.DUMMYFUNCTION("""COMPUTED_VALUE"""),8050.0)</f>
        <v>8050</v>
      </c>
      <c r="C939" s="1">
        <f>IFERROR(__xludf.DUMMYFUNCTION("""COMPUTED_VALUE"""),8120.0)</f>
        <v>8120</v>
      </c>
      <c r="D939" s="1">
        <f>IFERROR(__xludf.DUMMYFUNCTION("""COMPUTED_VALUE"""),7900.0)</f>
        <v>7900</v>
      </c>
      <c r="E939" s="1">
        <f>IFERROR(__xludf.DUMMYFUNCTION("""COMPUTED_VALUE"""),8090.0)</f>
        <v>8090</v>
      </c>
      <c r="F939" s="1">
        <f>IFERROR(__xludf.DUMMYFUNCTION("""COMPUTED_VALUE"""),139488.0)</f>
        <v>139488</v>
      </c>
    </row>
    <row r="940">
      <c r="A940" s="2">
        <f>IFERROR(__xludf.DUMMYFUNCTION("""COMPUTED_VALUE"""),42572.64583333333)</f>
        <v>42572.64583</v>
      </c>
      <c r="B940" s="1">
        <f>IFERROR(__xludf.DUMMYFUNCTION("""COMPUTED_VALUE"""),8110.0)</f>
        <v>8110</v>
      </c>
      <c r="C940" s="1">
        <f>IFERROR(__xludf.DUMMYFUNCTION("""COMPUTED_VALUE"""),8120.0)</f>
        <v>8120</v>
      </c>
      <c r="D940" s="1">
        <f>IFERROR(__xludf.DUMMYFUNCTION("""COMPUTED_VALUE"""),7800.0)</f>
        <v>7800</v>
      </c>
      <c r="E940" s="1">
        <f>IFERROR(__xludf.DUMMYFUNCTION("""COMPUTED_VALUE"""),7800.0)</f>
        <v>7800</v>
      </c>
      <c r="F940" s="1">
        <f>IFERROR(__xludf.DUMMYFUNCTION("""COMPUTED_VALUE"""),135715.0)</f>
        <v>135715</v>
      </c>
    </row>
    <row r="941">
      <c r="A941" s="2">
        <f>IFERROR(__xludf.DUMMYFUNCTION("""COMPUTED_VALUE"""),42573.64583333333)</f>
        <v>42573.64583</v>
      </c>
      <c r="B941" s="1">
        <f>IFERROR(__xludf.DUMMYFUNCTION("""COMPUTED_VALUE"""),7820.0)</f>
        <v>7820</v>
      </c>
      <c r="C941" s="1">
        <f>IFERROR(__xludf.DUMMYFUNCTION("""COMPUTED_VALUE"""),7880.0)</f>
        <v>7880</v>
      </c>
      <c r="D941" s="1">
        <f>IFERROR(__xludf.DUMMYFUNCTION("""COMPUTED_VALUE"""),7530.0)</f>
        <v>7530</v>
      </c>
      <c r="E941" s="1">
        <f>IFERROR(__xludf.DUMMYFUNCTION("""COMPUTED_VALUE"""),7800.0)</f>
        <v>7800</v>
      </c>
      <c r="F941" s="1">
        <f>IFERROR(__xludf.DUMMYFUNCTION("""COMPUTED_VALUE"""),114045.0)</f>
        <v>114045</v>
      </c>
    </row>
    <row r="942">
      <c r="A942" s="2">
        <f>IFERROR(__xludf.DUMMYFUNCTION("""COMPUTED_VALUE"""),42576.64583333333)</f>
        <v>42576.64583</v>
      </c>
      <c r="B942" s="1">
        <f>IFERROR(__xludf.DUMMYFUNCTION("""COMPUTED_VALUE"""),7820.0)</f>
        <v>7820</v>
      </c>
      <c r="C942" s="1">
        <f>IFERROR(__xludf.DUMMYFUNCTION("""COMPUTED_VALUE"""),8580.0)</f>
        <v>8580</v>
      </c>
      <c r="D942" s="1">
        <f>IFERROR(__xludf.DUMMYFUNCTION("""COMPUTED_VALUE"""),7800.0)</f>
        <v>7800</v>
      </c>
      <c r="E942" s="1">
        <f>IFERROR(__xludf.DUMMYFUNCTION("""COMPUTED_VALUE"""),8170.0)</f>
        <v>8170</v>
      </c>
      <c r="F942" s="1">
        <f>IFERROR(__xludf.DUMMYFUNCTION("""COMPUTED_VALUE"""),416792.0)</f>
        <v>416792</v>
      </c>
    </row>
    <row r="943">
      <c r="A943" s="2">
        <f>IFERROR(__xludf.DUMMYFUNCTION("""COMPUTED_VALUE"""),42577.64583333333)</f>
        <v>42577.64583</v>
      </c>
      <c r="B943" s="1">
        <f>IFERROR(__xludf.DUMMYFUNCTION("""COMPUTED_VALUE"""),8200.0)</f>
        <v>8200</v>
      </c>
      <c r="C943" s="1">
        <f>IFERROR(__xludf.DUMMYFUNCTION("""COMPUTED_VALUE"""),8370.0)</f>
        <v>8370</v>
      </c>
      <c r="D943" s="1">
        <f>IFERROR(__xludf.DUMMYFUNCTION("""COMPUTED_VALUE"""),8060.0)</f>
        <v>8060</v>
      </c>
      <c r="E943" s="1">
        <f>IFERROR(__xludf.DUMMYFUNCTION("""COMPUTED_VALUE"""),8140.0)</f>
        <v>8140</v>
      </c>
      <c r="F943" s="1">
        <f>IFERROR(__xludf.DUMMYFUNCTION("""COMPUTED_VALUE"""),119599.0)</f>
        <v>119599</v>
      </c>
    </row>
    <row r="944">
      <c r="A944" s="2">
        <f>IFERROR(__xludf.DUMMYFUNCTION("""COMPUTED_VALUE"""),42578.64583333333)</f>
        <v>42578.64583</v>
      </c>
      <c r="B944" s="1">
        <f>IFERROR(__xludf.DUMMYFUNCTION("""COMPUTED_VALUE"""),8230.0)</f>
        <v>8230</v>
      </c>
      <c r="C944" s="1">
        <f>IFERROR(__xludf.DUMMYFUNCTION("""COMPUTED_VALUE"""),8390.0)</f>
        <v>8390</v>
      </c>
      <c r="D944" s="1">
        <f>IFERROR(__xludf.DUMMYFUNCTION("""COMPUTED_VALUE"""),8070.0)</f>
        <v>8070</v>
      </c>
      <c r="E944" s="1">
        <f>IFERROR(__xludf.DUMMYFUNCTION("""COMPUTED_VALUE"""),8180.0)</f>
        <v>8180</v>
      </c>
      <c r="F944" s="1">
        <f>IFERROR(__xludf.DUMMYFUNCTION("""COMPUTED_VALUE"""),192312.0)</f>
        <v>192312</v>
      </c>
    </row>
    <row r="945">
      <c r="A945" s="2">
        <f>IFERROR(__xludf.DUMMYFUNCTION("""COMPUTED_VALUE"""),42579.64583333333)</f>
        <v>42579.64583</v>
      </c>
      <c r="B945" s="1">
        <f>IFERROR(__xludf.DUMMYFUNCTION("""COMPUTED_VALUE"""),8180.0)</f>
        <v>8180</v>
      </c>
      <c r="C945" s="1">
        <f>IFERROR(__xludf.DUMMYFUNCTION("""COMPUTED_VALUE"""),8320.0)</f>
        <v>8320</v>
      </c>
      <c r="D945" s="1">
        <f>IFERROR(__xludf.DUMMYFUNCTION("""COMPUTED_VALUE"""),8070.0)</f>
        <v>8070</v>
      </c>
      <c r="E945" s="1">
        <f>IFERROR(__xludf.DUMMYFUNCTION("""COMPUTED_VALUE"""),8290.0)</f>
        <v>8290</v>
      </c>
      <c r="F945" s="1">
        <f>IFERROR(__xludf.DUMMYFUNCTION("""COMPUTED_VALUE"""),107224.0)</f>
        <v>107224</v>
      </c>
    </row>
    <row r="946">
      <c r="A946" s="2">
        <f>IFERROR(__xludf.DUMMYFUNCTION("""COMPUTED_VALUE"""),42580.64583333333)</f>
        <v>42580.64583</v>
      </c>
      <c r="B946" s="1">
        <f>IFERROR(__xludf.DUMMYFUNCTION("""COMPUTED_VALUE"""),8240.0)</f>
        <v>8240</v>
      </c>
      <c r="C946" s="1">
        <f>IFERROR(__xludf.DUMMYFUNCTION("""COMPUTED_VALUE"""),8420.0)</f>
        <v>8420</v>
      </c>
      <c r="D946" s="1">
        <f>IFERROR(__xludf.DUMMYFUNCTION("""COMPUTED_VALUE"""),8210.0)</f>
        <v>8210</v>
      </c>
      <c r="E946" s="1">
        <f>IFERROR(__xludf.DUMMYFUNCTION("""COMPUTED_VALUE"""),8300.0)</f>
        <v>8300</v>
      </c>
      <c r="F946" s="1">
        <f>IFERROR(__xludf.DUMMYFUNCTION("""COMPUTED_VALUE"""),102296.0)</f>
        <v>102296</v>
      </c>
    </row>
    <row r="947">
      <c r="A947" s="2">
        <f>IFERROR(__xludf.DUMMYFUNCTION("""COMPUTED_VALUE"""),42583.64583333333)</f>
        <v>42583.64583</v>
      </c>
      <c r="B947" s="1">
        <f>IFERROR(__xludf.DUMMYFUNCTION("""COMPUTED_VALUE"""),8300.0)</f>
        <v>8300</v>
      </c>
      <c r="C947" s="1">
        <f>IFERROR(__xludf.DUMMYFUNCTION("""COMPUTED_VALUE"""),8400.0)</f>
        <v>8400</v>
      </c>
      <c r="D947" s="1">
        <f>IFERROR(__xludf.DUMMYFUNCTION("""COMPUTED_VALUE"""),7990.0)</f>
        <v>7990</v>
      </c>
      <c r="E947" s="1">
        <f>IFERROR(__xludf.DUMMYFUNCTION("""COMPUTED_VALUE"""),8150.0)</f>
        <v>8150</v>
      </c>
      <c r="F947" s="1">
        <f>IFERROR(__xludf.DUMMYFUNCTION("""COMPUTED_VALUE"""),85049.0)</f>
        <v>85049</v>
      </c>
    </row>
    <row r="948">
      <c r="A948" s="2">
        <f>IFERROR(__xludf.DUMMYFUNCTION("""COMPUTED_VALUE"""),42584.64583333333)</f>
        <v>42584.64583</v>
      </c>
      <c r="B948" s="1">
        <f>IFERROR(__xludf.DUMMYFUNCTION("""COMPUTED_VALUE"""),8110.0)</f>
        <v>8110</v>
      </c>
      <c r="C948" s="1">
        <f>IFERROR(__xludf.DUMMYFUNCTION("""COMPUTED_VALUE"""),8230.0)</f>
        <v>8230</v>
      </c>
      <c r="D948" s="1">
        <f>IFERROR(__xludf.DUMMYFUNCTION("""COMPUTED_VALUE"""),7850.0)</f>
        <v>7850</v>
      </c>
      <c r="E948" s="1">
        <f>IFERROR(__xludf.DUMMYFUNCTION("""COMPUTED_VALUE"""),7920.0)</f>
        <v>7920</v>
      </c>
      <c r="F948" s="1">
        <f>IFERROR(__xludf.DUMMYFUNCTION("""COMPUTED_VALUE"""),124640.0)</f>
        <v>124640</v>
      </c>
    </row>
    <row r="949">
      <c r="A949" s="2">
        <f>IFERROR(__xludf.DUMMYFUNCTION("""COMPUTED_VALUE"""),42585.64583333333)</f>
        <v>42585.64583</v>
      </c>
      <c r="B949" s="1">
        <f>IFERROR(__xludf.DUMMYFUNCTION("""COMPUTED_VALUE"""),8050.0)</f>
        <v>8050</v>
      </c>
      <c r="C949" s="1">
        <f>IFERROR(__xludf.DUMMYFUNCTION("""COMPUTED_VALUE"""),8070.0)</f>
        <v>8070</v>
      </c>
      <c r="D949" s="1">
        <f>IFERROR(__xludf.DUMMYFUNCTION("""COMPUTED_VALUE"""),7830.0)</f>
        <v>7830</v>
      </c>
      <c r="E949" s="1">
        <f>IFERROR(__xludf.DUMMYFUNCTION("""COMPUTED_VALUE"""),8000.0)</f>
        <v>8000</v>
      </c>
      <c r="F949" s="1">
        <f>IFERROR(__xludf.DUMMYFUNCTION("""COMPUTED_VALUE"""),64901.0)</f>
        <v>64901</v>
      </c>
    </row>
    <row r="950">
      <c r="A950" s="2">
        <f>IFERROR(__xludf.DUMMYFUNCTION("""COMPUTED_VALUE"""),42586.64583333333)</f>
        <v>42586.64583</v>
      </c>
      <c r="B950" s="1">
        <f>IFERROR(__xludf.DUMMYFUNCTION("""COMPUTED_VALUE"""),8010.0)</f>
        <v>8010</v>
      </c>
      <c r="C950" s="1">
        <f>IFERROR(__xludf.DUMMYFUNCTION("""COMPUTED_VALUE"""),8100.0)</f>
        <v>8100</v>
      </c>
      <c r="D950" s="1">
        <f>IFERROR(__xludf.DUMMYFUNCTION("""COMPUTED_VALUE"""),7960.0)</f>
        <v>7960</v>
      </c>
      <c r="E950" s="1">
        <f>IFERROR(__xludf.DUMMYFUNCTION("""COMPUTED_VALUE"""),7990.0)</f>
        <v>7990</v>
      </c>
      <c r="F950" s="1">
        <f>IFERROR(__xludf.DUMMYFUNCTION("""COMPUTED_VALUE"""),51998.0)</f>
        <v>51998</v>
      </c>
    </row>
    <row r="951">
      <c r="A951" s="2">
        <f>IFERROR(__xludf.DUMMYFUNCTION("""COMPUTED_VALUE"""),42587.64583333333)</f>
        <v>42587.64583</v>
      </c>
      <c r="B951" s="1">
        <f>IFERROR(__xludf.DUMMYFUNCTION("""COMPUTED_VALUE"""),8100.0)</f>
        <v>8100</v>
      </c>
      <c r="C951" s="1">
        <f>IFERROR(__xludf.DUMMYFUNCTION("""COMPUTED_VALUE"""),8140.0)</f>
        <v>8140</v>
      </c>
      <c r="D951" s="1">
        <f>IFERROR(__xludf.DUMMYFUNCTION("""COMPUTED_VALUE"""),7970.0)</f>
        <v>7970</v>
      </c>
      <c r="E951" s="1">
        <f>IFERROR(__xludf.DUMMYFUNCTION("""COMPUTED_VALUE"""),8040.0)</f>
        <v>8040</v>
      </c>
      <c r="F951" s="1">
        <f>IFERROR(__xludf.DUMMYFUNCTION("""COMPUTED_VALUE"""),64148.0)</f>
        <v>64148</v>
      </c>
    </row>
    <row r="952">
      <c r="A952" s="2">
        <f>IFERROR(__xludf.DUMMYFUNCTION("""COMPUTED_VALUE"""),42590.64583333333)</f>
        <v>42590.64583</v>
      </c>
      <c r="B952" s="1">
        <f>IFERROR(__xludf.DUMMYFUNCTION("""COMPUTED_VALUE"""),8090.0)</f>
        <v>8090</v>
      </c>
      <c r="C952" s="1">
        <f>IFERROR(__xludf.DUMMYFUNCTION("""COMPUTED_VALUE"""),8090.0)</f>
        <v>8090</v>
      </c>
      <c r="D952" s="1">
        <f>IFERROR(__xludf.DUMMYFUNCTION("""COMPUTED_VALUE"""),7900.0)</f>
        <v>7900</v>
      </c>
      <c r="E952" s="1">
        <f>IFERROR(__xludf.DUMMYFUNCTION("""COMPUTED_VALUE"""),7990.0)</f>
        <v>7990</v>
      </c>
      <c r="F952" s="1">
        <f>IFERROR(__xludf.DUMMYFUNCTION("""COMPUTED_VALUE"""),53875.0)</f>
        <v>53875</v>
      </c>
    </row>
    <row r="953">
      <c r="A953" s="2">
        <f>IFERROR(__xludf.DUMMYFUNCTION("""COMPUTED_VALUE"""),42591.64583333333)</f>
        <v>42591.64583</v>
      </c>
      <c r="B953" s="1">
        <f>IFERROR(__xludf.DUMMYFUNCTION("""COMPUTED_VALUE"""),8020.0)</f>
        <v>8020</v>
      </c>
      <c r="C953" s="1">
        <f>IFERROR(__xludf.DUMMYFUNCTION("""COMPUTED_VALUE"""),8020.0)</f>
        <v>8020</v>
      </c>
      <c r="D953" s="1">
        <f>IFERROR(__xludf.DUMMYFUNCTION("""COMPUTED_VALUE"""),7880.0)</f>
        <v>7880</v>
      </c>
      <c r="E953" s="1">
        <f>IFERROR(__xludf.DUMMYFUNCTION("""COMPUTED_VALUE"""),7990.0)</f>
        <v>7990</v>
      </c>
      <c r="F953" s="1">
        <f>IFERROR(__xludf.DUMMYFUNCTION("""COMPUTED_VALUE"""),43476.0)</f>
        <v>43476</v>
      </c>
    </row>
    <row r="954">
      <c r="A954" s="2">
        <f>IFERROR(__xludf.DUMMYFUNCTION("""COMPUTED_VALUE"""),42592.64583333333)</f>
        <v>42592.64583</v>
      </c>
      <c r="B954" s="1">
        <f>IFERROR(__xludf.DUMMYFUNCTION("""COMPUTED_VALUE"""),8000.0)</f>
        <v>8000</v>
      </c>
      <c r="C954" s="1">
        <f>IFERROR(__xludf.DUMMYFUNCTION("""COMPUTED_VALUE"""),8160.0)</f>
        <v>8160</v>
      </c>
      <c r="D954" s="1">
        <f>IFERROR(__xludf.DUMMYFUNCTION("""COMPUTED_VALUE"""),7900.0)</f>
        <v>7900</v>
      </c>
      <c r="E954" s="1">
        <f>IFERROR(__xludf.DUMMYFUNCTION("""COMPUTED_VALUE"""),8160.0)</f>
        <v>8160</v>
      </c>
      <c r="F954" s="1">
        <f>IFERROR(__xludf.DUMMYFUNCTION("""COMPUTED_VALUE"""),74705.0)</f>
        <v>74705</v>
      </c>
    </row>
    <row r="955">
      <c r="A955" s="2">
        <f>IFERROR(__xludf.DUMMYFUNCTION("""COMPUTED_VALUE"""),42593.64583333333)</f>
        <v>42593.64583</v>
      </c>
      <c r="B955" s="1">
        <f>IFERROR(__xludf.DUMMYFUNCTION("""COMPUTED_VALUE"""),8160.0)</f>
        <v>8160</v>
      </c>
      <c r="C955" s="1">
        <f>IFERROR(__xludf.DUMMYFUNCTION("""COMPUTED_VALUE"""),8420.0)</f>
        <v>8420</v>
      </c>
      <c r="D955" s="1">
        <f>IFERROR(__xludf.DUMMYFUNCTION("""COMPUTED_VALUE"""),8080.0)</f>
        <v>8080</v>
      </c>
      <c r="E955" s="1">
        <f>IFERROR(__xludf.DUMMYFUNCTION("""COMPUTED_VALUE"""),8310.0)</f>
        <v>8310</v>
      </c>
      <c r="F955" s="1">
        <f>IFERROR(__xludf.DUMMYFUNCTION("""COMPUTED_VALUE"""),223261.0)</f>
        <v>223261</v>
      </c>
    </row>
    <row r="956">
      <c r="A956" s="2">
        <f>IFERROR(__xludf.DUMMYFUNCTION("""COMPUTED_VALUE"""),42594.64583333333)</f>
        <v>42594.64583</v>
      </c>
      <c r="B956" s="1">
        <f>IFERROR(__xludf.DUMMYFUNCTION("""COMPUTED_VALUE"""),8230.0)</f>
        <v>8230</v>
      </c>
      <c r="C956" s="1">
        <f>IFERROR(__xludf.DUMMYFUNCTION("""COMPUTED_VALUE"""),8550.0)</f>
        <v>8550</v>
      </c>
      <c r="D956" s="1">
        <f>IFERROR(__xludf.DUMMYFUNCTION("""COMPUTED_VALUE"""),8120.0)</f>
        <v>8120</v>
      </c>
      <c r="E956" s="1">
        <f>IFERROR(__xludf.DUMMYFUNCTION("""COMPUTED_VALUE"""),8160.0)</f>
        <v>8160</v>
      </c>
      <c r="F956" s="1">
        <f>IFERROR(__xludf.DUMMYFUNCTION("""COMPUTED_VALUE"""),237948.0)</f>
        <v>237948</v>
      </c>
    </row>
    <row r="957">
      <c r="A957" s="2">
        <f>IFERROR(__xludf.DUMMYFUNCTION("""COMPUTED_VALUE"""),42598.64583333333)</f>
        <v>42598.64583</v>
      </c>
      <c r="B957" s="1">
        <f>IFERROR(__xludf.DUMMYFUNCTION("""COMPUTED_VALUE"""),8300.0)</f>
        <v>8300</v>
      </c>
      <c r="C957" s="1">
        <f>IFERROR(__xludf.DUMMYFUNCTION("""COMPUTED_VALUE"""),8300.0)</f>
        <v>8300</v>
      </c>
      <c r="D957" s="1">
        <f>IFERROR(__xludf.DUMMYFUNCTION("""COMPUTED_VALUE"""),8070.0)</f>
        <v>8070</v>
      </c>
      <c r="E957" s="1">
        <f>IFERROR(__xludf.DUMMYFUNCTION("""COMPUTED_VALUE"""),8110.0)</f>
        <v>8110</v>
      </c>
      <c r="F957" s="1">
        <f>IFERROR(__xludf.DUMMYFUNCTION("""COMPUTED_VALUE"""),75202.0)</f>
        <v>75202</v>
      </c>
    </row>
    <row r="958">
      <c r="A958" s="2">
        <f>IFERROR(__xludf.DUMMYFUNCTION("""COMPUTED_VALUE"""),42599.64583333333)</f>
        <v>42599.64583</v>
      </c>
      <c r="B958" s="1">
        <f>IFERROR(__xludf.DUMMYFUNCTION("""COMPUTED_VALUE"""),8050.0)</f>
        <v>8050</v>
      </c>
      <c r="C958" s="1">
        <f>IFERROR(__xludf.DUMMYFUNCTION("""COMPUTED_VALUE"""),8090.0)</f>
        <v>8090</v>
      </c>
      <c r="D958" s="1">
        <f>IFERROR(__xludf.DUMMYFUNCTION("""COMPUTED_VALUE"""),7810.0)</f>
        <v>7810</v>
      </c>
      <c r="E958" s="1">
        <f>IFERROR(__xludf.DUMMYFUNCTION("""COMPUTED_VALUE"""),7870.0)</f>
        <v>7870</v>
      </c>
      <c r="F958" s="1">
        <f>IFERROR(__xludf.DUMMYFUNCTION("""COMPUTED_VALUE"""),95495.0)</f>
        <v>95495</v>
      </c>
    </row>
    <row r="959">
      <c r="A959" s="2">
        <f>IFERROR(__xludf.DUMMYFUNCTION("""COMPUTED_VALUE"""),42600.64583333333)</f>
        <v>42600.64583</v>
      </c>
      <c r="B959" s="1">
        <f>IFERROR(__xludf.DUMMYFUNCTION("""COMPUTED_VALUE"""),7870.0)</f>
        <v>7870</v>
      </c>
      <c r="C959" s="1">
        <f>IFERROR(__xludf.DUMMYFUNCTION("""COMPUTED_VALUE"""),8000.0)</f>
        <v>8000</v>
      </c>
      <c r="D959" s="1">
        <f>IFERROR(__xludf.DUMMYFUNCTION("""COMPUTED_VALUE"""),7850.0)</f>
        <v>7850</v>
      </c>
      <c r="E959" s="1">
        <f>IFERROR(__xludf.DUMMYFUNCTION("""COMPUTED_VALUE"""),7990.0)</f>
        <v>7990</v>
      </c>
      <c r="F959" s="1">
        <f>IFERROR(__xludf.DUMMYFUNCTION("""COMPUTED_VALUE"""),58909.0)</f>
        <v>58909</v>
      </c>
    </row>
    <row r="960">
      <c r="A960" s="2">
        <f>IFERROR(__xludf.DUMMYFUNCTION("""COMPUTED_VALUE"""),42601.64583333333)</f>
        <v>42601.64583</v>
      </c>
      <c r="B960" s="1">
        <f>IFERROR(__xludf.DUMMYFUNCTION("""COMPUTED_VALUE"""),8000.0)</f>
        <v>8000</v>
      </c>
      <c r="C960" s="1">
        <f>IFERROR(__xludf.DUMMYFUNCTION("""COMPUTED_VALUE"""),8080.0)</f>
        <v>8080</v>
      </c>
      <c r="D960" s="1">
        <f>IFERROR(__xludf.DUMMYFUNCTION("""COMPUTED_VALUE"""),7930.0)</f>
        <v>7930</v>
      </c>
      <c r="E960" s="1">
        <f>IFERROR(__xludf.DUMMYFUNCTION("""COMPUTED_VALUE"""),7990.0)</f>
        <v>7990</v>
      </c>
      <c r="F960" s="1">
        <f>IFERROR(__xludf.DUMMYFUNCTION("""COMPUTED_VALUE"""),14356.0)</f>
        <v>14356</v>
      </c>
    </row>
    <row r="961">
      <c r="A961" s="2">
        <f>IFERROR(__xludf.DUMMYFUNCTION("""COMPUTED_VALUE"""),42604.64583333333)</f>
        <v>42604.64583</v>
      </c>
      <c r="B961" s="1">
        <f>IFERROR(__xludf.DUMMYFUNCTION("""COMPUTED_VALUE"""),7900.0)</f>
        <v>7900</v>
      </c>
      <c r="C961" s="1">
        <f>IFERROR(__xludf.DUMMYFUNCTION("""COMPUTED_VALUE"""),7980.0)</f>
        <v>7980</v>
      </c>
      <c r="D961" s="1">
        <f>IFERROR(__xludf.DUMMYFUNCTION("""COMPUTED_VALUE"""),7710.0)</f>
        <v>7710</v>
      </c>
      <c r="E961" s="1">
        <f>IFERROR(__xludf.DUMMYFUNCTION("""COMPUTED_VALUE"""),7840.0)</f>
        <v>7840</v>
      </c>
      <c r="F961" s="1">
        <f>IFERROR(__xludf.DUMMYFUNCTION("""COMPUTED_VALUE"""),121834.0)</f>
        <v>121834</v>
      </c>
    </row>
    <row r="962">
      <c r="A962" s="2">
        <f>IFERROR(__xludf.DUMMYFUNCTION("""COMPUTED_VALUE"""),42605.64583333333)</f>
        <v>42605.64583</v>
      </c>
      <c r="B962" s="1">
        <f>IFERROR(__xludf.DUMMYFUNCTION("""COMPUTED_VALUE"""),7780.0)</f>
        <v>7780</v>
      </c>
      <c r="C962" s="1">
        <f>IFERROR(__xludf.DUMMYFUNCTION("""COMPUTED_VALUE"""),7880.0)</f>
        <v>7880</v>
      </c>
      <c r="D962" s="1">
        <f>IFERROR(__xludf.DUMMYFUNCTION("""COMPUTED_VALUE"""),7640.0)</f>
        <v>7640</v>
      </c>
      <c r="E962" s="1">
        <f>IFERROR(__xludf.DUMMYFUNCTION("""COMPUTED_VALUE"""),7750.0)</f>
        <v>7750</v>
      </c>
      <c r="F962" s="1">
        <f>IFERROR(__xludf.DUMMYFUNCTION("""COMPUTED_VALUE"""),81037.0)</f>
        <v>81037</v>
      </c>
    </row>
    <row r="963">
      <c r="A963" s="2">
        <f>IFERROR(__xludf.DUMMYFUNCTION("""COMPUTED_VALUE"""),42606.64583333333)</f>
        <v>42606.64583</v>
      </c>
      <c r="B963" s="1">
        <f>IFERROR(__xludf.DUMMYFUNCTION("""COMPUTED_VALUE"""),7840.0)</f>
        <v>7840</v>
      </c>
      <c r="C963" s="1">
        <f>IFERROR(__xludf.DUMMYFUNCTION("""COMPUTED_VALUE"""),7840.0)</f>
        <v>7840</v>
      </c>
      <c r="D963" s="1">
        <f>IFERROR(__xludf.DUMMYFUNCTION("""COMPUTED_VALUE"""),7550.0)</f>
        <v>7550</v>
      </c>
      <c r="E963" s="1">
        <f>IFERROR(__xludf.DUMMYFUNCTION("""COMPUTED_VALUE"""),7610.0)</f>
        <v>7610</v>
      </c>
      <c r="F963" s="1">
        <f>IFERROR(__xludf.DUMMYFUNCTION("""COMPUTED_VALUE"""),86788.0)</f>
        <v>86788</v>
      </c>
    </row>
    <row r="964">
      <c r="A964" s="2">
        <f>IFERROR(__xludf.DUMMYFUNCTION("""COMPUTED_VALUE"""),42607.64583333333)</f>
        <v>42607.64583</v>
      </c>
      <c r="B964" s="1">
        <f>IFERROR(__xludf.DUMMYFUNCTION("""COMPUTED_VALUE"""),7670.0)</f>
        <v>7670</v>
      </c>
      <c r="C964" s="1">
        <f>IFERROR(__xludf.DUMMYFUNCTION("""COMPUTED_VALUE"""),7770.0)</f>
        <v>7770</v>
      </c>
      <c r="D964" s="1">
        <f>IFERROR(__xludf.DUMMYFUNCTION("""COMPUTED_VALUE"""),7350.0)</f>
        <v>7350</v>
      </c>
      <c r="E964" s="1">
        <f>IFERROR(__xludf.DUMMYFUNCTION("""COMPUTED_VALUE"""),7380.0)</f>
        <v>7380</v>
      </c>
      <c r="F964" s="1">
        <f>IFERROR(__xludf.DUMMYFUNCTION("""COMPUTED_VALUE"""),107640.0)</f>
        <v>107640</v>
      </c>
    </row>
    <row r="965">
      <c r="A965" s="2">
        <f>IFERROR(__xludf.DUMMYFUNCTION("""COMPUTED_VALUE"""),42608.64583333333)</f>
        <v>42608.64583</v>
      </c>
      <c r="B965" s="1">
        <f>IFERROR(__xludf.DUMMYFUNCTION("""COMPUTED_VALUE"""),7490.0)</f>
        <v>7490</v>
      </c>
      <c r="C965" s="1">
        <f>IFERROR(__xludf.DUMMYFUNCTION("""COMPUTED_VALUE"""),7510.0)</f>
        <v>7510</v>
      </c>
      <c r="D965" s="1">
        <f>IFERROR(__xludf.DUMMYFUNCTION("""COMPUTED_VALUE"""),7130.0)</f>
        <v>7130</v>
      </c>
      <c r="E965" s="1">
        <f>IFERROR(__xludf.DUMMYFUNCTION("""COMPUTED_VALUE"""),7510.0)</f>
        <v>7510</v>
      </c>
      <c r="F965" s="1">
        <f>IFERROR(__xludf.DUMMYFUNCTION("""COMPUTED_VALUE"""),86505.0)</f>
        <v>86505</v>
      </c>
    </row>
    <row r="966">
      <c r="A966" s="2">
        <f>IFERROR(__xludf.DUMMYFUNCTION("""COMPUTED_VALUE"""),42611.64583333333)</f>
        <v>42611.64583</v>
      </c>
      <c r="B966" s="1">
        <f>IFERROR(__xludf.DUMMYFUNCTION("""COMPUTED_VALUE"""),7510.0)</f>
        <v>7510</v>
      </c>
      <c r="C966" s="1">
        <f>IFERROR(__xludf.DUMMYFUNCTION("""COMPUTED_VALUE"""),7640.0)</f>
        <v>7640</v>
      </c>
      <c r="D966" s="1">
        <f>IFERROR(__xludf.DUMMYFUNCTION("""COMPUTED_VALUE"""),7250.0)</f>
        <v>7250</v>
      </c>
      <c r="E966" s="1">
        <f>IFERROR(__xludf.DUMMYFUNCTION("""COMPUTED_VALUE"""),7300.0)</f>
        <v>7300</v>
      </c>
      <c r="F966" s="1">
        <f>IFERROR(__xludf.DUMMYFUNCTION("""COMPUTED_VALUE"""),74243.0)</f>
        <v>74243</v>
      </c>
    </row>
    <row r="967">
      <c r="A967" s="2">
        <f>IFERROR(__xludf.DUMMYFUNCTION("""COMPUTED_VALUE"""),42612.64583333333)</f>
        <v>42612.64583</v>
      </c>
      <c r="B967" s="1">
        <f>IFERROR(__xludf.DUMMYFUNCTION("""COMPUTED_VALUE"""),7350.0)</f>
        <v>7350</v>
      </c>
      <c r="C967" s="1">
        <f>IFERROR(__xludf.DUMMYFUNCTION("""COMPUTED_VALUE"""),7450.0)</f>
        <v>7450</v>
      </c>
      <c r="D967" s="1">
        <f>IFERROR(__xludf.DUMMYFUNCTION("""COMPUTED_VALUE"""),7120.0)</f>
        <v>7120</v>
      </c>
      <c r="E967" s="1">
        <f>IFERROR(__xludf.DUMMYFUNCTION("""COMPUTED_VALUE"""),7290.0)</f>
        <v>7290</v>
      </c>
      <c r="F967" s="1">
        <f>IFERROR(__xludf.DUMMYFUNCTION("""COMPUTED_VALUE"""),77247.0)</f>
        <v>77247</v>
      </c>
    </row>
    <row r="968">
      <c r="A968" s="2">
        <f>IFERROR(__xludf.DUMMYFUNCTION("""COMPUTED_VALUE"""),42613.64583333333)</f>
        <v>42613.64583</v>
      </c>
      <c r="B968" s="1">
        <f>IFERROR(__xludf.DUMMYFUNCTION("""COMPUTED_VALUE"""),7400.0)</f>
        <v>7400</v>
      </c>
      <c r="C968" s="1">
        <f>IFERROR(__xludf.DUMMYFUNCTION("""COMPUTED_VALUE"""),7400.0)</f>
        <v>7400</v>
      </c>
      <c r="D968" s="1">
        <f>IFERROR(__xludf.DUMMYFUNCTION("""COMPUTED_VALUE"""),7000.0)</f>
        <v>7000</v>
      </c>
      <c r="E968" s="1">
        <f>IFERROR(__xludf.DUMMYFUNCTION("""COMPUTED_VALUE"""),7020.0)</f>
        <v>7020</v>
      </c>
      <c r="F968" s="1">
        <f>IFERROR(__xludf.DUMMYFUNCTION("""COMPUTED_VALUE"""),77810.0)</f>
        <v>77810</v>
      </c>
    </row>
    <row r="969">
      <c r="A969" s="2">
        <f>IFERROR(__xludf.DUMMYFUNCTION("""COMPUTED_VALUE"""),42614.64583333333)</f>
        <v>42614.64583</v>
      </c>
      <c r="B969" s="1">
        <f>IFERROR(__xludf.DUMMYFUNCTION("""COMPUTED_VALUE"""),7160.0)</f>
        <v>7160</v>
      </c>
      <c r="C969" s="1">
        <f>IFERROR(__xludf.DUMMYFUNCTION("""COMPUTED_VALUE"""),7230.0)</f>
        <v>7230</v>
      </c>
      <c r="D969" s="1">
        <f>IFERROR(__xludf.DUMMYFUNCTION("""COMPUTED_VALUE"""),6990.0)</f>
        <v>6990</v>
      </c>
      <c r="E969" s="1">
        <f>IFERROR(__xludf.DUMMYFUNCTION("""COMPUTED_VALUE"""),7000.0)</f>
        <v>7000</v>
      </c>
      <c r="F969" s="1">
        <f>IFERROR(__xludf.DUMMYFUNCTION("""COMPUTED_VALUE"""),52973.0)</f>
        <v>52973</v>
      </c>
    </row>
    <row r="970">
      <c r="A970" s="2">
        <f>IFERROR(__xludf.DUMMYFUNCTION("""COMPUTED_VALUE"""),42615.64583333333)</f>
        <v>42615.64583</v>
      </c>
      <c r="B970" s="1">
        <f>IFERROR(__xludf.DUMMYFUNCTION("""COMPUTED_VALUE"""),6990.0)</f>
        <v>6990</v>
      </c>
      <c r="C970" s="1">
        <f>IFERROR(__xludf.DUMMYFUNCTION("""COMPUTED_VALUE"""),7100.0)</f>
        <v>7100</v>
      </c>
      <c r="D970" s="1">
        <f>IFERROR(__xludf.DUMMYFUNCTION("""COMPUTED_VALUE"""),6980.0)</f>
        <v>6980</v>
      </c>
      <c r="E970" s="1">
        <f>IFERROR(__xludf.DUMMYFUNCTION("""COMPUTED_VALUE"""),7000.0)</f>
        <v>7000</v>
      </c>
      <c r="F970" s="1">
        <f>IFERROR(__xludf.DUMMYFUNCTION("""COMPUTED_VALUE"""),53726.0)</f>
        <v>53726</v>
      </c>
    </row>
    <row r="971">
      <c r="A971" s="2">
        <f>IFERROR(__xludf.DUMMYFUNCTION("""COMPUTED_VALUE"""),42618.64583333333)</f>
        <v>42618.64583</v>
      </c>
      <c r="B971" s="1">
        <f>IFERROR(__xludf.DUMMYFUNCTION("""COMPUTED_VALUE"""),6960.0)</f>
        <v>6960</v>
      </c>
      <c r="C971" s="1">
        <f>IFERROR(__xludf.DUMMYFUNCTION("""COMPUTED_VALUE"""),7050.0)</f>
        <v>7050</v>
      </c>
      <c r="D971" s="1">
        <f>IFERROR(__xludf.DUMMYFUNCTION("""COMPUTED_VALUE"""),6760.0)</f>
        <v>6760</v>
      </c>
      <c r="E971" s="1">
        <f>IFERROR(__xludf.DUMMYFUNCTION("""COMPUTED_VALUE"""),6810.0)</f>
        <v>6810</v>
      </c>
      <c r="F971" s="1">
        <f>IFERROR(__xludf.DUMMYFUNCTION("""COMPUTED_VALUE"""),83317.0)</f>
        <v>83317</v>
      </c>
    </row>
    <row r="972">
      <c r="A972" s="2">
        <f>IFERROR(__xludf.DUMMYFUNCTION("""COMPUTED_VALUE"""),42619.64583333333)</f>
        <v>42619.64583</v>
      </c>
      <c r="B972" s="1">
        <f>IFERROR(__xludf.DUMMYFUNCTION("""COMPUTED_VALUE"""),6800.0)</f>
        <v>6800</v>
      </c>
      <c r="C972" s="1">
        <f>IFERROR(__xludf.DUMMYFUNCTION("""COMPUTED_VALUE"""),6870.0)</f>
        <v>6870</v>
      </c>
      <c r="D972" s="1">
        <f>IFERROR(__xludf.DUMMYFUNCTION("""COMPUTED_VALUE"""),6460.0)</f>
        <v>6460</v>
      </c>
      <c r="E972" s="1">
        <f>IFERROR(__xludf.DUMMYFUNCTION("""COMPUTED_VALUE"""),6780.0)</f>
        <v>6780</v>
      </c>
      <c r="F972" s="1">
        <f>IFERROR(__xludf.DUMMYFUNCTION("""COMPUTED_VALUE"""),189589.0)</f>
        <v>189589</v>
      </c>
    </row>
    <row r="973">
      <c r="A973" s="2">
        <f>IFERROR(__xludf.DUMMYFUNCTION("""COMPUTED_VALUE"""),42620.64583333333)</f>
        <v>42620.64583</v>
      </c>
      <c r="B973" s="1">
        <f>IFERROR(__xludf.DUMMYFUNCTION("""COMPUTED_VALUE"""),6870.0)</f>
        <v>6870</v>
      </c>
      <c r="C973" s="1">
        <f>IFERROR(__xludf.DUMMYFUNCTION("""COMPUTED_VALUE"""),6870.0)</f>
        <v>6870</v>
      </c>
      <c r="D973" s="1">
        <f>IFERROR(__xludf.DUMMYFUNCTION("""COMPUTED_VALUE"""),6440.0)</f>
        <v>6440</v>
      </c>
      <c r="E973" s="1">
        <f>IFERROR(__xludf.DUMMYFUNCTION("""COMPUTED_VALUE"""),6680.0)</f>
        <v>6680</v>
      </c>
      <c r="F973" s="1">
        <f>IFERROR(__xludf.DUMMYFUNCTION("""COMPUTED_VALUE"""),94189.0)</f>
        <v>94189</v>
      </c>
    </row>
    <row r="974">
      <c r="A974" s="2">
        <f>IFERROR(__xludf.DUMMYFUNCTION("""COMPUTED_VALUE"""),42621.64583333333)</f>
        <v>42621.64583</v>
      </c>
      <c r="B974" s="1">
        <f>IFERROR(__xludf.DUMMYFUNCTION("""COMPUTED_VALUE"""),6650.0)</f>
        <v>6650</v>
      </c>
      <c r="C974" s="1">
        <f>IFERROR(__xludf.DUMMYFUNCTION("""COMPUTED_VALUE"""),6650.0)</f>
        <v>6650</v>
      </c>
      <c r="D974" s="1">
        <f>IFERROR(__xludf.DUMMYFUNCTION("""COMPUTED_VALUE"""),6440.0)</f>
        <v>6440</v>
      </c>
      <c r="E974" s="1">
        <f>IFERROR(__xludf.DUMMYFUNCTION("""COMPUTED_VALUE"""),6480.0)</f>
        <v>6480</v>
      </c>
      <c r="F974" s="1">
        <f>IFERROR(__xludf.DUMMYFUNCTION("""COMPUTED_VALUE"""),65595.0)</f>
        <v>65595</v>
      </c>
    </row>
    <row r="975">
      <c r="A975" s="2">
        <f>IFERROR(__xludf.DUMMYFUNCTION("""COMPUTED_VALUE"""),42622.64583333333)</f>
        <v>42622.64583</v>
      </c>
      <c r="B975" s="1">
        <f>IFERROR(__xludf.DUMMYFUNCTION("""COMPUTED_VALUE"""),6760.0)</f>
        <v>6760</v>
      </c>
      <c r="C975" s="1">
        <f>IFERROR(__xludf.DUMMYFUNCTION("""COMPUTED_VALUE"""),7710.0)</f>
        <v>7710</v>
      </c>
      <c r="D975" s="1">
        <f>IFERROR(__xludf.DUMMYFUNCTION("""COMPUTED_VALUE"""),6630.0)</f>
        <v>6630</v>
      </c>
      <c r="E975" s="1">
        <f>IFERROR(__xludf.DUMMYFUNCTION("""COMPUTED_VALUE"""),6910.0)</f>
        <v>6910</v>
      </c>
      <c r="F975" s="1">
        <f>IFERROR(__xludf.DUMMYFUNCTION("""COMPUTED_VALUE"""),513650.0)</f>
        <v>513650</v>
      </c>
    </row>
    <row r="976">
      <c r="A976" s="2">
        <f>IFERROR(__xludf.DUMMYFUNCTION("""COMPUTED_VALUE"""),42625.64583333333)</f>
        <v>42625.64583</v>
      </c>
      <c r="B976" s="1">
        <f>IFERROR(__xludf.DUMMYFUNCTION("""COMPUTED_VALUE"""),6700.0)</f>
        <v>6700</v>
      </c>
      <c r="C976" s="1">
        <f>IFERROR(__xludf.DUMMYFUNCTION("""COMPUTED_VALUE"""),6810.0)</f>
        <v>6810</v>
      </c>
      <c r="D976" s="1">
        <f>IFERROR(__xludf.DUMMYFUNCTION("""COMPUTED_VALUE"""),6550.0)</f>
        <v>6550</v>
      </c>
      <c r="E976" s="1">
        <f>IFERROR(__xludf.DUMMYFUNCTION("""COMPUTED_VALUE"""),6560.0)</f>
        <v>6560</v>
      </c>
      <c r="F976" s="1">
        <f>IFERROR(__xludf.DUMMYFUNCTION("""COMPUTED_VALUE"""),110490.0)</f>
        <v>110490</v>
      </c>
    </row>
    <row r="977">
      <c r="A977" s="2">
        <f>IFERROR(__xludf.DUMMYFUNCTION("""COMPUTED_VALUE"""),42626.64583333333)</f>
        <v>42626.64583</v>
      </c>
      <c r="B977" s="1">
        <f>IFERROR(__xludf.DUMMYFUNCTION("""COMPUTED_VALUE"""),6540.0)</f>
        <v>6540</v>
      </c>
      <c r="C977" s="1">
        <f>IFERROR(__xludf.DUMMYFUNCTION("""COMPUTED_VALUE"""),7120.0)</f>
        <v>7120</v>
      </c>
      <c r="D977" s="1">
        <f>IFERROR(__xludf.DUMMYFUNCTION("""COMPUTED_VALUE"""),6540.0)</f>
        <v>6540</v>
      </c>
      <c r="E977" s="1">
        <f>IFERROR(__xludf.DUMMYFUNCTION("""COMPUTED_VALUE"""),6800.0)</f>
        <v>6800</v>
      </c>
      <c r="F977" s="1">
        <f>IFERROR(__xludf.DUMMYFUNCTION("""COMPUTED_VALUE"""),40054.0)</f>
        <v>40054</v>
      </c>
    </row>
    <row r="978">
      <c r="A978" s="2">
        <f>IFERROR(__xludf.DUMMYFUNCTION("""COMPUTED_VALUE"""),42632.64583333333)</f>
        <v>42632.64583</v>
      </c>
      <c r="B978" s="1">
        <f>IFERROR(__xludf.DUMMYFUNCTION("""COMPUTED_VALUE"""),6900.0)</f>
        <v>6900</v>
      </c>
      <c r="C978" s="1">
        <f>IFERROR(__xludf.DUMMYFUNCTION("""COMPUTED_VALUE"""),6980.0)</f>
        <v>6980</v>
      </c>
      <c r="D978" s="1">
        <f>IFERROR(__xludf.DUMMYFUNCTION("""COMPUTED_VALUE"""),6740.0)</f>
        <v>6740</v>
      </c>
      <c r="E978" s="1">
        <f>IFERROR(__xludf.DUMMYFUNCTION("""COMPUTED_VALUE"""),6910.0)</f>
        <v>6910</v>
      </c>
      <c r="F978" s="1">
        <f>IFERROR(__xludf.DUMMYFUNCTION("""COMPUTED_VALUE"""),39448.0)</f>
        <v>39448</v>
      </c>
    </row>
    <row r="979">
      <c r="A979" s="2">
        <f>IFERROR(__xludf.DUMMYFUNCTION("""COMPUTED_VALUE"""),42633.64583333333)</f>
        <v>42633.64583</v>
      </c>
      <c r="B979" s="1">
        <f>IFERROR(__xludf.DUMMYFUNCTION("""COMPUTED_VALUE"""),7000.0)</f>
        <v>7000</v>
      </c>
      <c r="C979" s="1">
        <f>IFERROR(__xludf.DUMMYFUNCTION("""COMPUTED_VALUE"""),7000.0)</f>
        <v>7000</v>
      </c>
      <c r="D979" s="1">
        <f>IFERROR(__xludf.DUMMYFUNCTION("""COMPUTED_VALUE"""),6810.0)</f>
        <v>6810</v>
      </c>
      <c r="E979" s="1">
        <f>IFERROR(__xludf.DUMMYFUNCTION("""COMPUTED_VALUE"""),6950.0)</f>
        <v>6950</v>
      </c>
      <c r="F979" s="1">
        <f>IFERROR(__xludf.DUMMYFUNCTION("""COMPUTED_VALUE"""),61438.0)</f>
        <v>61438</v>
      </c>
    </row>
    <row r="980">
      <c r="A980" s="2">
        <f>IFERROR(__xludf.DUMMYFUNCTION("""COMPUTED_VALUE"""),42634.64583333333)</f>
        <v>42634.64583</v>
      </c>
      <c r="B980" s="1">
        <f>IFERROR(__xludf.DUMMYFUNCTION("""COMPUTED_VALUE"""),6960.0)</f>
        <v>6960</v>
      </c>
      <c r="C980" s="1">
        <f>IFERROR(__xludf.DUMMYFUNCTION("""COMPUTED_VALUE"""),7250.0)</f>
        <v>7250</v>
      </c>
      <c r="D980" s="1">
        <f>IFERROR(__xludf.DUMMYFUNCTION("""COMPUTED_VALUE"""),6900.0)</f>
        <v>6900</v>
      </c>
      <c r="E980" s="1">
        <f>IFERROR(__xludf.DUMMYFUNCTION("""COMPUTED_VALUE"""),7250.0)</f>
        <v>7250</v>
      </c>
      <c r="F980" s="1">
        <f>IFERROR(__xludf.DUMMYFUNCTION("""COMPUTED_VALUE"""),93083.0)</f>
        <v>93083</v>
      </c>
    </row>
    <row r="981">
      <c r="A981" s="2">
        <f>IFERROR(__xludf.DUMMYFUNCTION("""COMPUTED_VALUE"""),42635.64583333333)</f>
        <v>42635.64583</v>
      </c>
      <c r="B981" s="1">
        <f>IFERROR(__xludf.DUMMYFUNCTION("""COMPUTED_VALUE"""),7250.0)</f>
        <v>7250</v>
      </c>
      <c r="C981" s="1">
        <f>IFERROR(__xludf.DUMMYFUNCTION("""COMPUTED_VALUE"""),7430.0)</f>
        <v>7430</v>
      </c>
      <c r="D981" s="1">
        <f>IFERROR(__xludf.DUMMYFUNCTION("""COMPUTED_VALUE"""),6960.0)</f>
        <v>6960</v>
      </c>
      <c r="E981" s="1">
        <f>IFERROR(__xludf.DUMMYFUNCTION("""COMPUTED_VALUE"""),7010.0)</f>
        <v>7010</v>
      </c>
      <c r="F981" s="1">
        <f>IFERROR(__xludf.DUMMYFUNCTION("""COMPUTED_VALUE"""),120654.0)</f>
        <v>120654</v>
      </c>
    </row>
    <row r="982">
      <c r="A982" s="2">
        <f>IFERROR(__xludf.DUMMYFUNCTION("""COMPUTED_VALUE"""),42636.64583333333)</f>
        <v>42636.64583</v>
      </c>
      <c r="B982" s="1">
        <f>IFERROR(__xludf.DUMMYFUNCTION("""COMPUTED_VALUE"""),6950.0)</f>
        <v>6950</v>
      </c>
      <c r="C982" s="1">
        <f>IFERROR(__xludf.DUMMYFUNCTION("""COMPUTED_VALUE"""),7090.0)</f>
        <v>7090</v>
      </c>
      <c r="D982" s="1">
        <f>IFERROR(__xludf.DUMMYFUNCTION("""COMPUTED_VALUE"""),6730.0)</f>
        <v>6730</v>
      </c>
      <c r="E982" s="1">
        <f>IFERROR(__xludf.DUMMYFUNCTION("""COMPUTED_VALUE"""),6770.0)</f>
        <v>6770</v>
      </c>
      <c r="F982" s="1">
        <f>IFERROR(__xludf.DUMMYFUNCTION("""COMPUTED_VALUE"""),102718.0)</f>
        <v>102718</v>
      </c>
    </row>
    <row r="983">
      <c r="A983" s="2">
        <f>IFERROR(__xludf.DUMMYFUNCTION("""COMPUTED_VALUE"""),42639.64583333333)</f>
        <v>42639.64583</v>
      </c>
      <c r="B983" s="1">
        <f>IFERROR(__xludf.DUMMYFUNCTION("""COMPUTED_VALUE"""),6750.0)</f>
        <v>6750</v>
      </c>
      <c r="C983" s="1">
        <f>IFERROR(__xludf.DUMMYFUNCTION("""COMPUTED_VALUE"""),6900.0)</f>
        <v>6900</v>
      </c>
      <c r="D983" s="1">
        <f>IFERROR(__xludf.DUMMYFUNCTION("""COMPUTED_VALUE"""),6700.0)</f>
        <v>6700</v>
      </c>
      <c r="E983" s="1">
        <f>IFERROR(__xludf.DUMMYFUNCTION("""COMPUTED_VALUE"""),6860.0)</f>
        <v>6860</v>
      </c>
      <c r="F983" s="1">
        <f>IFERROR(__xludf.DUMMYFUNCTION("""COMPUTED_VALUE"""),50783.0)</f>
        <v>50783</v>
      </c>
    </row>
    <row r="984">
      <c r="A984" s="2">
        <f>IFERROR(__xludf.DUMMYFUNCTION("""COMPUTED_VALUE"""),42640.64583333333)</f>
        <v>42640.64583</v>
      </c>
      <c r="B984" s="1">
        <f>IFERROR(__xludf.DUMMYFUNCTION("""COMPUTED_VALUE"""),6890.0)</f>
        <v>6890</v>
      </c>
      <c r="C984" s="1">
        <f>IFERROR(__xludf.DUMMYFUNCTION("""COMPUTED_VALUE"""),6890.0)</f>
        <v>6890</v>
      </c>
      <c r="D984" s="1">
        <f>IFERROR(__xludf.DUMMYFUNCTION("""COMPUTED_VALUE"""),6650.0)</f>
        <v>6650</v>
      </c>
      <c r="E984" s="1">
        <f>IFERROR(__xludf.DUMMYFUNCTION("""COMPUTED_VALUE"""),6770.0)</f>
        <v>6770</v>
      </c>
      <c r="F984" s="1">
        <f>IFERROR(__xludf.DUMMYFUNCTION("""COMPUTED_VALUE"""),94327.0)</f>
        <v>94327</v>
      </c>
    </row>
    <row r="985">
      <c r="A985" s="2">
        <f>IFERROR(__xludf.DUMMYFUNCTION("""COMPUTED_VALUE"""),42641.64583333333)</f>
        <v>42641.64583</v>
      </c>
      <c r="B985" s="1">
        <f>IFERROR(__xludf.DUMMYFUNCTION("""COMPUTED_VALUE"""),6800.0)</f>
        <v>6800</v>
      </c>
      <c r="C985" s="1">
        <f>IFERROR(__xludf.DUMMYFUNCTION("""COMPUTED_VALUE"""),7000.0)</f>
        <v>7000</v>
      </c>
      <c r="D985" s="1">
        <f>IFERROR(__xludf.DUMMYFUNCTION("""COMPUTED_VALUE"""),6700.0)</f>
        <v>6700</v>
      </c>
      <c r="E985" s="1">
        <f>IFERROR(__xludf.DUMMYFUNCTION("""COMPUTED_VALUE"""),7000.0)</f>
        <v>7000</v>
      </c>
      <c r="F985" s="1">
        <f>IFERROR(__xludf.DUMMYFUNCTION("""COMPUTED_VALUE"""),129524.0)</f>
        <v>129524</v>
      </c>
    </row>
    <row r="986">
      <c r="A986" s="2">
        <f>IFERROR(__xludf.DUMMYFUNCTION("""COMPUTED_VALUE"""),42642.64583333333)</f>
        <v>42642.64583</v>
      </c>
      <c r="B986" s="1">
        <f>IFERROR(__xludf.DUMMYFUNCTION("""COMPUTED_VALUE"""),7100.0)</f>
        <v>7100</v>
      </c>
      <c r="C986" s="1">
        <f>IFERROR(__xludf.DUMMYFUNCTION("""COMPUTED_VALUE"""),7350.0)</f>
        <v>7350</v>
      </c>
      <c r="D986" s="1">
        <f>IFERROR(__xludf.DUMMYFUNCTION("""COMPUTED_VALUE"""),6940.0)</f>
        <v>6940</v>
      </c>
      <c r="E986" s="1">
        <f>IFERROR(__xludf.DUMMYFUNCTION("""COMPUTED_VALUE"""),7160.0)</f>
        <v>7160</v>
      </c>
      <c r="F986" s="1">
        <f>IFERROR(__xludf.DUMMYFUNCTION("""COMPUTED_VALUE"""),125077.0)</f>
        <v>125077</v>
      </c>
    </row>
    <row r="987">
      <c r="A987" s="2">
        <f>IFERROR(__xludf.DUMMYFUNCTION("""COMPUTED_VALUE"""),42643.64583333333)</f>
        <v>42643.64583</v>
      </c>
      <c r="B987" s="1">
        <f>IFERROR(__xludf.DUMMYFUNCTION("""COMPUTED_VALUE"""),7160.0)</f>
        <v>7160</v>
      </c>
      <c r="C987" s="1">
        <f>IFERROR(__xludf.DUMMYFUNCTION("""COMPUTED_VALUE"""),7500.0)</f>
        <v>7500</v>
      </c>
      <c r="D987" s="1">
        <f>IFERROR(__xludf.DUMMYFUNCTION("""COMPUTED_VALUE"""),7050.0)</f>
        <v>7050</v>
      </c>
      <c r="E987" s="1">
        <f>IFERROR(__xludf.DUMMYFUNCTION("""COMPUTED_VALUE"""),7050.0)</f>
        <v>7050</v>
      </c>
      <c r="F987" s="1">
        <f>IFERROR(__xludf.DUMMYFUNCTION("""COMPUTED_VALUE"""),72977.0)</f>
        <v>72977</v>
      </c>
    </row>
    <row r="988">
      <c r="A988" s="2">
        <f>IFERROR(__xludf.DUMMYFUNCTION("""COMPUTED_VALUE"""),42647.64583333333)</f>
        <v>42647.64583</v>
      </c>
      <c r="B988" s="1">
        <f>IFERROR(__xludf.DUMMYFUNCTION("""COMPUTED_VALUE"""),6950.0)</f>
        <v>6950</v>
      </c>
      <c r="C988" s="1">
        <f>IFERROR(__xludf.DUMMYFUNCTION("""COMPUTED_VALUE"""),7080.0)</f>
        <v>7080</v>
      </c>
      <c r="D988" s="1">
        <f>IFERROR(__xludf.DUMMYFUNCTION("""COMPUTED_VALUE"""),6760.0)</f>
        <v>6760</v>
      </c>
      <c r="E988" s="1">
        <f>IFERROR(__xludf.DUMMYFUNCTION("""COMPUTED_VALUE"""),7050.0)</f>
        <v>7050</v>
      </c>
      <c r="F988" s="1">
        <f>IFERROR(__xludf.DUMMYFUNCTION("""COMPUTED_VALUE"""),47248.0)</f>
        <v>47248</v>
      </c>
    </row>
    <row r="989">
      <c r="A989" s="2">
        <f>IFERROR(__xludf.DUMMYFUNCTION("""COMPUTED_VALUE"""),42648.64583333333)</f>
        <v>42648.64583</v>
      </c>
      <c r="B989" s="1">
        <f>IFERROR(__xludf.DUMMYFUNCTION("""COMPUTED_VALUE"""),7060.0)</f>
        <v>7060</v>
      </c>
      <c r="C989" s="1">
        <f>IFERROR(__xludf.DUMMYFUNCTION("""COMPUTED_VALUE"""),7110.0)</f>
        <v>7110</v>
      </c>
      <c r="D989" s="1">
        <f>IFERROR(__xludf.DUMMYFUNCTION("""COMPUTED_VALUE"""),7000.0)</f>
        <v>7000</v>
      </c>
      <c r="E989" s="1">
        <f>IFERROR(__xludf.DUMMYFUNCTION("""COMPUTED_VALUE"""),7110.0)</f>
        <v>7110</v>
      </c>
      <c r="F989" s="1">
        <f>IFERROR(__xludf.DUMMYFUNCTION("""COMPUTED_VALUE"""),40338.0)</f>
        <v>40338</v>
      </c>
    </row>
    <row r="990">
      <c r="A990" s="2">
        <f>IFERROR(__xludf.DUMMYFUNCTION("""COMPUTED_VALUE"""),42649.64583333333)</f>
        <v>42649.64583</v>
      </c>
      <c r="B990" s="1">
        <f>IFERROR(__xludf.DUMMYFUNCTION("""COMPUTED_VALUE"""),7120.0)</f>
        <v>7120</v>
      </c>
      <c r="C990" s="1">
        <f>IFERROR(__xludf.DUMMYFUNCTION("""COMPUTED_VALUE"""),7280.0)</f>
        <v>7280</v>
      </c>
      <c r="D990" s="1">
        <f>IFERROR(__xludf.DUMMYFUNCTION("""COMPUTED_VALUE"""),7120.0)</f>
        <v>7120</v>
      </c>
      <c r="E990" s="1">
        <f>IFERROR(__xludf.DUMMYFUNCTION("""COMPUTED_VALUE"""),7200.0)</f>
        <v>7200</v>
      </c>
      <c r="F990" s="1">
        <f>IFERROR(__xludf.DUMMYFUNCTION("""COMPUTED_VALUE"""),72260.0)</f>
        <v>72260</v>
      </c>
    </row>
    <row r="991">
      <c r="A991" s="2">
        <f>IFERROR(__xludf.DUMMYFUNCTION("""COMPUTED_VALUE"""),42650.64583333333)</f>
        <v>42650.64583</v>
      </c>
      <c r="B991" s="1">
        <f>IFERROR(__xludf.DUMMYFUNCTION("""COMPUTED_VALUE"""),7200.0)</f>
        <v>7200</v>
      </c>
      <c r="C991" s="1">
        <f>IFERROR(__xludf.DUMMYFUNCTION("""COMPUTED_VALUE"""),7230.0)</f>
        <v>7230</v>
      </c>
      <c r="D991" s="1">
        <f>IFERROR(__xludf.DUMMYFUNCTION("""COMPUTED_VALUE"""),6930.0)</f>
        <v>6930</v>
      </c>
      <c r="E991" s="1">
        <f>IFERROR(__xludf.DUMMYFUNCTION("""COMPUTED_VALUE"""),7100.0)</f>
        <v>7100</v>
      </c>
      <c r="F991" s="1">
        <f>IFERROR(__xludf.DUMMYFUNCTION("""COMPUTED_VALUE"""),58994.0)</f>
        <v>58994</v>
      </c>
    </row>
    <row r="992">
      <c r="A992" s="2">
        <f>IFERROR(__xludf.DUMMYFUNCTION("""COMPUTED_VALUE"""),42653.64583333333)</f>
        <v>42653.64583</v>
      </c>
      <c r="B992" s="1">
        <f>IFERROR(__xludf.DUMMYFUNCTION("""COMPUTED_VALUE"""),7030.0)</f>
        <v>7030</v>
      </c>
      <c r="C992" s="1">
        <f>IFERROR(__xludf.DUMMYFUNCTION("""COMPUTED_VALUE"""),7250.0)</f>
        <v>7250</v>
      </c>
      <c r="D992" s="1">
        <f>IFERROR(__xludf.DUMMYFUNCTION("""COMPUTED_VALUE"""),7000.0)</f>
        <v>7000</v>
      </c>
      <c r="E992" s="1">
        <f>IFERROR(__xludf.DUMMYFUNCTION("""COMPUTED_VALUE"""),7060.0)</f>
        <v>7060</v>
      </c>
      <c r="F992" s="1">
        <f>IFERROR(__xludf.DUMMYFUNCTION("""COMPUTED_VALUE"""),54921.0)</f>
        <v>54921</v>
      </c>
    </row>
    <row r="993">
      <c r="A993" s="2">
        <f>IFERROR(__xludf.DUMMYFUNCTION("""COMPUTED_VALUE"""),42654.64583333333)</f>
        <v>42654.64583</v>
      </c>
      <c r="B993" s="1">
        <f>IFERROR(__xludf.DUMMYFUNCTION("""COMPUTED_VALUE"""),7060.0)</f>
        <v>7060</v>
      </c>
      <c r="C993" s="1">
        <f>IFERROR(__xludf.DUMMYFUNCTION("""COMPUTED_VALUE"""),7070.0)</f>
        <v>7070</v>
      </c>
      <c r="D993" s="1">
        <f>IFERROR(__xludf.DUMMYFUNCTION("""COMPUTED_VALUE"""),6800.0)</f>
        <v>6800</v>
      </c>
      <c r="E993" s="1">
        <f>IFERROR(__xludf.DUMMYFUNCTION("""COMPUTED_VALUE"""),6890.0)</f>
        <v>6890</v>
      </c>
      <c r="F993" s="1">
        <f>IFERROR(__xludf.DUMMYFUNCTION("""COMPUTED_VALUE"""),64505.0)</f>
        <v>64505</v>
      </c>
    </row>
    <row r="994">
      <c r="A994" s="2">
        <f>IFERROR(__xludf.DUMMYFUNCTION("""COMPUTED_VALUE"""),42655.64583333333)</f>
        <v>42655.64583</v>
      </c>
      <c r="B994" s="1">
        <f>IFERROR(__xludf.DUMMYFUNCTION("""COMPUTED_VALUE"""),6850.0)</f>
        <v>6850</v>
      </c>
      <c r="C994" s="1">
        <f>IFERROR(__xludf.DUMMYFUNCTION("""COMPUTED_VALUE"""),7170.0)</f>
        <v>7170</v>
      </c>
      <c r="D994" s="1">
        <f>IFERROR(__xludf.DUMMYFUNCTION("""COMPUTED_VALUE"""),6850.0)</f>
        <v>6850</v>
      </c>
      <c r="E994" s="1">
        <f>IFERROR(__xludf.DUMMYFUNCTION("""COMPUTED_VALUE"""),7090.0)</f>
        <v>7090</v>
      </c>
      <c r="F994" s="1">
        <f>IFERROR(__xludf.DUMMYFUNCTION("""COMPUTED_VALUE"""),85808.0)</f>
        <v>85808</v>
      </c>
    </row>
    <row r="995">
      <c r="A995" s="2">
        <f>IFERROR(__xludf.DUMMYFUNCTION("""COMPUTED_VALUE"""),42656.64583333333)</f>
        <v>42656.64583</v>
      </c>
      <c r="B995" s="1">
        <f>IFERROR(__xludf.DUMMYFUNCTION("""COMPUTED_VALUE"""),7180.0)</f>
        <v>7180</v>
      </c>
      <c r="C995" s="1">
        <f>IFERROR(__xludf.DUMMYFUNCTION("""COMPUTED_VALUE"""),7180.0)</f>
        <v>7180</v>
      </c>
      <c r="D995" s="1">
        <f>IFERROR(__xludf.DUMMYFUNCTION("""COMPUTED_VALUE"""),6930.0)</f>
        <v>6930</v>
      </c>
      <c r="E995" s="1">
        <f>IFERROR(__xludf.DUMMYFUNCTION("""COMPUTED_VALUE"""),6950.0)</f>
        <v>6950</v>
      </c>
      <c r="F995" s="1">
        <f>IFERROR(__xludf.DUMMYFUNCTION("""COMPUTED_VALUE"""),44129.0)</f>
        <v>44129</v>
      </c>
    </row>
    <row r="996">
      <c r="A996" s="2">
        <f>IFERROR(__xludf.DUMMYFUNCTION("""COMPUTED_VALUE"""),42657.64583333333)</f>
        <v>42657.64583</v>
      </c>
      <c r="B996" s="1">
        <f>IFERROR(__xludf.DUMMYFUNCTION("""COMPUTED_VALUE"""),7000.0)</f>
        <v>7000</v>
      </c>
      <c r="C996" s="1">
        <f>IFERROR(__xludf.DUMMYFUNCTION("""COMPUTED_VALUE"""),7050.0)</f>
        <v>7050</v>
      </c>
      <c r="D996" s="1">
        <f>IFERROR(__xludf.DUMMYFUNCTION("""COMPUTED_VALUE"""),6850.0)</f>
        <v>6850</v>
      </c>
      <c r="E996" s="1">
        <f>IFERROR(__xludf.DUMMYFUNCTION("""COMPUTED_VALUE"""),6850.0)</f>
        <v>6850</v>
      </c>
      <c r="F996" s="1">
        <f>IFERROR(__xludf.DUMMYFUNCTION("""COMPUTED_VALUE"""),52069.0)</f>
        <v>52069</v>
      </c>
    </row>
    <row r="997">
      <c r="A997" s="2">
        <f>IFERROR(__xludf.DUMMYFUNCTION("""COMPUTED_VALUE"""),42660.64583333333)</f>
        <v>42660.64583</v>
      </c>
      <c r="B997" s="1">
        <f>IFERROR(__xludf.DUMMYFUNCTION("""COMPUTED_VALUE"""),6840.0)</f>
        <v>6840</v>
      </c>
      <c r="C997" s="1">
        <f>IFERROR(__xludf.DUMMYFUNCTION("""COMPUTED_VALUE"""),6890.0)</f>
        <v>6890</v>
      </c>
      <c r="D997" s="1">
        <f>IFERROR(__xludf.DUMMYFUNCTION("""COMPUTED_VALUE"""),6500.0)</f>
        <v>6500</v>
      </c>
      <c r="E997" s="1">
        <f>IFERROR(__xludf.DUMMYFUNCTION("""COMPUTED_VALUE"""),6600.0)</f>
        <v>6600</v>
      </c>
      <c r="F997" s="1">
        <f>IFERROR(__xludf.DUMMYFUNCTION("""COMPUTED_VALUE"""),94017.0)</f>
        <v>94017</v>
      </c>
    </row>
    <row r="998">
      <c r="A998" s="2">
        <f>IFERROR(__xludf.DUMMYFUNCTION("""COMPUTED_VALUE"""),42661.64583333333)</f>
        <v>42661.64583</v>
      </c>
      <c r="B998" s="1">
        <f>IFERROR(__xludf.DUMMYFUNCTION("""COMPUTED_VALUE"""),6600.0)</f>
        <v>6600</v>
      </c>
      <c r="C998" s="1">
        <f>IFERROR(__xludf.DUMMYFUNCTION("""COMPUTED_VALUE"""),6670.0)</f>
        <v>6670</v>
      </c>
      <c r="D998" s="1">
        <f>IFERROR(__xludf.DUMMYFUNCTION("""COMPUTED_VALUE"""),6480.0)</f>
        <v>6480</v>
      </c>
      <c r="E998" s="1">
        <f>IFERROR(__xludf.DUMMYFUNCTION("""COMPUTED_VALUE"""),6500.0)</f>
        <v>6500</v>
      </c>
      <c r="F998" s="1">
        <f>IFERROR(__xludf.DUMMYFUNCTION("""COMPUTED_VALUE"""),47298.0)</f>
        <v>47298</v>
      </c>
    </row>
    <row r="999">
      <c r="A999" s="2">
        <f>IFERROR(__xludf.DUMMYFUNCTION("""COMPUTED_VALUE"""),42662.64583333333)</f>
        <v>42662.64583</v>
      </c>
      <c r="B999" s="1">
        <f>IFERROR(__xludf.DUMMYFUNCTION("""COMPUTED_VALUE"""),6600.0)</f>
        <v>6600</v>
      </c>
      <c r="C999" s="1">
        <f>IFERROR(__xludf.DUMMYFUNCTION("""COMPUTED_VALUE"""),6880.0)</f>
        <v>6880</v>
      </c>
      <c r="D999" s="1">
        <f>IFERROR(__xludf.DUMMYFUNCTION("""COMPUTED_VALUE"""),6500.0)</f>
        <v>6500</v>
      </c>
      <c r="E999" s="1">
        <f>IFERROR(__xludf.DUMMYFUNCTION("""COMPUTED_VALUE"""),6760.0)</f>
        <v>6760</v>
      </c>
      <c r="F999" s="1">
        <f>IFERROR(__xludf.DUMMYFUNCTION("""COMPUTED_VALUE"""),50633.0)</f>
        <v>50633</v>
      </c>
    </row>
    <row r="1000">
      <c r="A1000" s="2">
        <f>IFERROR(__xludf.DUMMYFUNCTION("""COMPUTED_VALUE"""),42663.64583333333)</f>
        <v>42663.64583</v>
      </c>
      <c r="B1000" s="1">
        <f>IFERROR(__xludf.DUMMYFUNCTION("""COMPUTED_VALUE"""),6840.0)</f>
        <v>6840</v>
      </c>
      <c r="C1000" s="1">
        <f>IFERROR(__xludf.DUMMYFUNCTION("""COMPUTED_VALUE"""),7140.0)</f>
        <v>7140</v>
      </c>
      <c r="D1000" s="1">
        <f>IFERROR(__xludf.DUMMYFUNCTION("""COMPUTED_VALUE"""),6760.0)</f>
        <v>6760</v>
      </c>
      <c r="E1000" s="1">
        <f>IFERROR(__xludf.DUMMYFUNCTION("""COMPUTED_VALUE"""),6970.0)</f>
        <v>6970</v>
      </c>
      <c r="F1000" s="1">
        <f>IFERROR(__xludf.DUMMYFUNCTION("""COMPUTED_VALUE"""),107394.0)</f>
        <v>107394</v>
      </c>
    </row>
    <row r="1001">
      <c r="A1001" s="2">
        <f>IFERROR(__xludf.DUMMYFUNCTION("""COMPUTED_VALUE"""),42664.64583333333)</f>
        <v>42664.64583</v>
      </c>
      <c r="B1001" s="1">
        <f>IFERROR(__xludf.DUMMYFUNCTION("""COMPUTED_VALUE"""),7070.0)</f>
        <v>7070</v>
      </c>
      <c r="C1001" s="1">
        <f>IFERROR(__xludf.DUMMYFUNCTION("""COMPUTED_VALUE"""),7100.0)</f>
        <v>7100</v>
      </c>
      <c r="D1001" s="1">
        <f>IFERROR(__xludf.DUMMYFUNCTION("""COMPUTED_VALUE"""),6900.0)</f>
        <v>6900</v>
      </c>
      <c r="E1001" s="1">
        <f>IFERROR(__xludf.DUMMYFUNCTION("""COMPUTED_VALUE"""),6990.0)</f>
        <v>6990</v>
      </c>
      <c r="F1001" s="1">
        <f>IFERROR(__xludf.DUMMYFUNCTION("""COMPUTED_VALUE"""),44457.0)</f>
        <v>44457</v>
      </c>
    </row>
    <row r="1002">
      <c r="A1002" s="2">
        <f>IFERROR(__xludf.DUMMYFUNCTION("""COMPUTED_VALUE"""),42667.64583333333)</f>
        <v>42667.64583</v>
      </c>
      <c r="B1002" s="1">
        <f>IFERROR(__xludf.DUMMYFUNCTION("""COMPUTED_VALUE"""),7100.0)</f>
        <v>7100</v>
      </c>
      <c r="C1002" s="1">
        <f>IFERROR(__xludf.DUMMYFUNCTION("""COMPUTED_VALUE"""),7100.0)</f>
        <v>7100</v>
      </c>
      <c r="D1002" s="1">
        <f>IFERROR(__xludf.DUMMYFUNCTION("""COMPUTED_VALUE"""),6830.0)</f>
        <v>6830</v>
      </c>
      <c r="E1002" s="1">
        <f>IFERROR(__xludf.DUMMYFUNCTION("""COMPUTED_VALUE"""),6990.0)</f>
        <v>6990</v>
      </c>
      <c r="F1002" s="1">
        <f>IFERROR(__xludf.DUMMYFUNCTION("""COMPUTED_VALUE"""),60508.0)</f>
        <v>60508</v>
      </c>
    </row>
    <row r="1003">
      <c r="A1003" s="2">
        <f>IFERROR(__xludf.DUMMYFUNCTION("""COMPUTED_VALUE"""),42668.64583333333)</f>
        <v>42668.64583</v>
      </c>
      <c r="B1003" s="1">
        <f>IFERROR(__xludf.DUMMYFUNCTION("""COMPUTED_VALUE"""),6990.0)</f>
        <v>6990</v>
      </c>
      <c r="C1003" s="1">
        <f>IFERROR(__xludf.DUMMYFUNCTION("""COMPUTED_VALUE"""),7160.0)</f>
        <v>7160</v>
      </c>
      <c r="D1003" s="1">
        <f>IFERROR(__xludf.DUMMYFUNCTION("""COMPUTED_VALUE"""),6910.0)</f>
        <v>6910</v>
      </c>
      <c r="E1003" s="1">
        <f>IFERROR(__xludf.DUMMYFUNCTION("""COMPUTED_VALUE"""),6910.0)</f>
        <v>6910</v>
      </c>
      <c r="F1003" s="1">
        <f>IFERROR(__xludf.DUMMYFUNCTION("""COMPUTED_VALUE"""),81582.0)</f>
        <v>81582</v>
      </c>
    </row>
    <row r="1004">
      <c r="A1004" s="2">
        <f>IFERROR(__xludf.DUMMYFUNCTION("""COMPUTED_VALUE"""),42669.64583333333)</f>
        <v>42669.64583</v>
      </c>
      <c r="B1004" s="1">
        <f>IFERROR(__xludf.DUMMYFUNCTION("""COMPUTED_VALUE"""),6990.0)</f>
        <v>6990</v>
      </c>
      <c r="C1004" s="1">
        <f>IFERROR(__xludf.DUMMYFUNCTION("""COMPUTED_VALUE"""),6990.0)</f>
        <v>6990</v>
      </c>
      <c r="D1004" s="1">
        <f>IFERROR(__xludf.DUMMYFUNCTION("""COMPUTED_VALUE"""),6620.0)</f>
        <v>6620</v>
      </c>
      <c r="E1004" s="1">
        <f>IFERROR(__xludf.DUMMYFUNCTION("""COMPUTED_VALUE"""),6900.0)</f>
        <v>6900</v>
      </c>
      <c r="F1004" s="1">
        <f>IFERROR(__xludf.DUMMYFUNCTION("""COMPUTED_VALUE"""),62271.0)</f>
        <v>62271</v>
      </c>
    </row>
    <row r="1005">
      <c r="A1005" s="2">
        <f>IFERROR(__xludf.DUMMYFUNCTION("""COMPUTED_VALUE"""),42670.64583333333)</f>
        <v>42670.64583</v>
      </c>
      <c r="B1005" s="1">
        <f>IFERROR(__xludf.DUMMYFUNCTION("""COMPUTED_VALUE"""),6890.0)</f>
        <v>6890</v>
      </c>
      <c r="C1005" s="1">
        <f>IFERROR(__xludf.DUMMYFUNCTION("""COMPUTED_VALUE"""),6920.0)</f>
        <v>6920</v>
      </c>
      <c r="D1005" s="1">
        <f>IFERROR(__xludf.DUMMYFUNCTION("""COMPUTED_VALUE"""),6740.0)</f>
        <v>6740</v>
      </c>
      <c r="E1005" s="1">
        <f>IFERROR(__xludf.DUMMYFUNCTION("""COMPUTED_VALUE"""),6840.0)</f>
        <v>6840</v>
      </c>
      <c r="F1005" s="1">
        <f>IFERROR(__xludf.DUMMYFUNCTION("""COMPUTED_VALUE"""),37586.0)</f>
        <v>37586</v>
      </c>
    </row>
    <row r="1006">
      <c r="A1006" s="2">
        <f>IFERROR(__xludf.DUMMYFUNCTION("""COMPUTED_VALUE"""),42671.64583333333)</f>
        <v>42671.64583</v>
      </c>
      <c r="B1006" s="1">
        <f>IFERROR(__xludf.DUMMYFUNCTION("""COMPUTED_VALUE"""),6850.0)</f>
        <v>6850</v>
      </c>
      <c r="C1006" s="1">
        <f>IFERROR(__xludf.DUMMYFUNCTION("""COMPUTED_VALUE"""),7000.0)</f>
        <v>7000</v>
      </c>
      <c r="D1006" s="1">
        <f>IFERROR(__xludf.DUMMYFUNCTION("""COMPUTED_VALUE"""),6760.0)</f>
        <v>6760</v>
      </c>
      <c r="E1006" s="1">
        <f>IFERROR(__xludf.DUMMYFUNCTION("""COMPUTED_VALUE"""),6890.0)</f>
        <v>6890</v>
      </c>
      <c r="F1006" s="1">
        <f>IFERROR(__xludf.DUMMYFUNCTION("""COMPUTED_VALUE"""),40615.0)</f>
        <v>40615</v>
      </c>
    </row>
    <row r="1007">
      <c r="A1007" s="2">
        <f>IFERROR(__xludf.DUMMYFUNCTION("""COMPUTED_VALUE"""),42674.64583333333)</f>
        <v>42674.64583</v>
      </c>
      <c r="B1007" s="1">
        <f>IFERROR(__xludf.DUMMYFUNCTION("""COMPUTED_VALUE"""),6940.0)</f>
        <v>6940</v>
      </c>
      <c r="C1007" s="1">
        <f>IFERROR(__xludf.DUMMYFUNCTION("""COMPUTED_VALUE"""),7050.0)</f>
        <v>7050</v>
      </c>
      <c r="D1007" s="1">
        <f>IFERROR(__xludf.DUMMYFUNCTION("""COMPUTED_VALUE"""),6700.0)</f>
        <v>6700</v>
      </c>
      <c r="E1007" s="1">
        <f>IFERROR(__xludf.DUMMYFUNCTION("""COMPUTED_VALUE"""),6890.0)</f>
        <v>6890</v>
      </c>
      <c r="F1007" s="1">
        <f>IFERROR(__xludf.DUMMYFUNCTION("""COMPUTED_VALUE"""),38487.0)</f>
        <v>38487</v>
      </c>
    </row>
    <row r="1008">
      <c r="A1008" s="2">
        <f>IFERROR(__xludf.DUMMYFUNCTION("""COMPUTED_VALUE"""),42675.64583333333)</f>
        <v>42675.64583</v>
      </c>
      <c r="B1008" s="1">
        <f>IFERROR(__xludf.DUMMYFUNCTION("""COMPUTED_VALUE"""),6890.0)</f>
        <v>6890</v>
      </c>
      <c r="C1008" s="1">
        <f>IFERROR(__xludf.DUMMYFUNCTION("""COMPUTED_VALUE"""),6930.0)</f>
        <v>6930</v>
      </c>
      <c r="D1008" s="1">
        <f>IFERROR(__xludf.DUMMYFUNCTION("""COMPUTED_VALUE"""),6700.0)</f>
        <v>6700</v>
      </c>
      <c r="E1008" s="1">
        <f>IFERROR(__xludf.DUMMYFUNCTION("""COMPUTED_VALUE"""),6770.0)</f>
        <v>6770</v>
      </c>
      <c r="F1008" s="1">
        <f>IFERROR(__xludf.DUMMYFUNCTION("""COMPUTED_VALUE"""),37406.0)</f>
        <v>37406</v>
      </c>
    </row>
    <row r="1009">
      <c r="A1009" s="2">
        <f>IFERROR(__xludf.DUMMYFUNCTION("""COMPUTED_VALUE"""),42676.64583333333)</f>
        <v>42676.64583</v>
      </c>
      <c r="B1009" s="1">
        <f>IFERROR(__xludf.DUMMYFUNCTION("""COMPUTED_VALUE"""),6860.0)</f>
        <v>6860</v>
      </c>
      <c r="C1009" s="1">
        <f>IFERROR(__xludf.DUMMYFUNCTION("""COMPUTED_VALUE"""),6860.0)</f>
        <v>6860</v>
      </c>
      <c r="D1009" s="1">
        <f>IFERROR(__xludf.DUMMYFUNCTION("""COMPUTED_VALUE"""),6580.0)</f>
        <v>6580</v>
      </c>
      <c r="E1009" s="1">
        <f>IFERROR(__xludf.DUMMYFUNCTION("""COMPUTED_VALUE"""),6760.0)</f>
        <v>6760</v>
      </c>
      <c r="F1009" s="1">
        <f>IFERROR(__xludf.DUMMYFUNCTION("""COMPUTED_VALUE"""),58779.0)</f>
        <v>58779</v>
      </c>
    </row>
    <row r="1010">
      <c r="A1010" s="2">
        <f>IFERROR(__xludf.DUMMYFUNCTION("""COMPUTED_VALUE"""),42677.64583333333)</f>
        <v>42677.64583</v>
      </c>
      <c r="B1010" s="1">
        <f>IFERROR(__xludf.DUMMYFUNCTION("""COMPUTED_VALUE"""),6720.0)</f>
        <v>6720</v>
      </c>
      <c r="C1010" s="1">
        <f>IFERROR(__xludf.DUMMYFUNCTION("""COMPUTED_VALUE"""),6800.0)</f>
        <v>6800</v>
      </c>
      <c r="D1010" s="1">
        <f>IFERROR(__xludf.DUMMYFUNCTION("""COMPUTED_VALUE"""),6520.0)</f>
        <v>6520</v>
      </c>
      <c r="E1010" s="1">
        <f>IFERROR(__xludf.DUMMYFUNCTION("""COMPUTED_VALUE"""),6780.0)</f>
        <v>6780</v>
      </c>
      <c r="F1010" s="1">
        <f>IFERROR(__xludf.DUMMYFUNCTION("""COMPUTED_VALUE"""),38496.0)</f>
        <v>38496</v>
      </c>
    </row>
    <row r="1011">
      <c r="A1011" s="2">
        <f>IFERROR(__xludf.DUMMYFUNCTION("""COMPUTED_VALUE"""),42678.64583333333)</f>
        <v>42678.64583</v>
      </c>
      <c r="B1011" s="1">
        <f>IFERROR(__xludf.DUMMYFUNCTION("""COMPUTED_VALUE"""),6790.0)</f>
        <v>6790</v>
      </c>
      <c r="C1011" s="1">
        <f>IFERROR(__xludf.DUMMYFUNCTION("""COMPUTED_VALUE"""),6800.0)</f>
        <v>6800</v>
      </c>
      <c r="D1011" s="1">
        <f>IFERROR(__xludf.DUMMYFUNCTION("""COMPUTED_VALUE"""),6580.0)</f>
        <v>6580</v>
      </c>
      <c r="E1011" s="1">
        <f>IFERROR(__xludf.DUMMYFUNCTION("""COMPUTED_VALUE"""),6580.0)</f>
        <v>6580</v>
      </c>
      <c r="F1011" s="1">
        <f>IFERROR(__xludf.DUMMYFUNCTION("""COMPUTED_VALUE"""),29120.0)</f>
        <v>29120</v>
      </c>
    </row>
    <row r="1012">
      <c r="A1012" s="2">
        <f>IFERROR(__xludf.DUMMYFUNCTION("""COMPUTED_VALUE"""),42681.64583333333)</f>
        <v>42681.64583</v>
      </c>
      <c r="B1012" s="1">
        <f>IFERROR(__xludf.DUMMYFUNCTION("""COMPUTED_VALUE"""),6580.0)</f>
        <v>6580</v>
      </c>
      <c r="C1012" s="1">
        <f>IFERROR(__xludf.DUMMYFUNCTION("""COMPUTED_VALUE"""),7000.0)</f>
        <v>7000</v>
      </c>
      <c r="D1012" s="1">
        <f>IFERROR(__xludf.DUMMYFUNCTION("""COMPUTED_VALUE"""),6520.0)</f>
        <v>6520</v>
      </c>
      <c r="E1012" s="1">
        <f>IFERROR(__xludf.DUMMYFUNCTION("""COMPUTED_VALUE"""),6750.0)</f>
        <v>6750</v>
      </c>
      <c r="F1012" s="1">
        <f>IFERROR(__xludf.DUMMYFUNCTION("""COMPUTED_VALUE"""),71349.0)</f>
        <v>71349</v>
      </c>
    </row>
    <row r="1013">
      <c r="A1013" s="2">
        <f>IFERROR(__xludf.DUMMYFUNCTION("""COMPUTED_VALUE"""),42682.64583333333)</f>
        <v>42682.64583</v>
      </c>
      <c r="B1013" s="1">
        <f>IFERROR(__xludf.DUMMYFUNCTION("""COMPUTED_VALUE"""),6860.0)</f>
        <v>6860</v>
      </c>
      <c r="C1013" s="1">
        <f>IFERROR(__xludf.DUMMYFUNCTION("""COMPUTED_VALUE"""),7000.0)</f>
        <v>7000</v>
      </c>
      <c r="D1013" s="1">
        <f>IFERROR(__xludf.DUMMYFUNCTION("""COMPUTED_VALUE"""),6750.0)</f>
        <v>6750</v>
      </c>
      <c r="E1013" s="1">
        <f>IFERROR(__xludf.DUMMYFUNCTION("""COMPUTED_VALUE"""),6950.0)</f>
        <v>6950</v>
      </c>
      <c r="F1013" s="1">
        <f>IFERROR(__xludf.DUMMYFUNCTION("""COMPUTED_VALUE"""),92262.0)</f>
        <v>92262</v>
      </c>
    </row>
    <row r="1014">
      <c r="A1014" s="2">
        <f>IFERROR(__xludf.DUMMYFUNCTION("""COMPUTED_VALUE"""),42683.64583333333)</f>
        <v>42683.64583</v>
      </c>
      <c r="B1014" s="1">
        <f>IFERROR(__xludf.DUMMYFUNCTION("""COMPUTED_VALUE"""),6950.0)</f>
        <v>6950</v>
      </c>
      <c r="C1014" s="1">
        <f>IFERROR(__xludf.DUMMYFUNCTION("""COMPUTED_VALUE"""),7000.0)</f>
        <v>7000</v>
      </c>
      <c r="D1014" s="1">
        <f>IFERROR(__xludf.DUMMYFUNCTION("""COMPUTED_VALUE"""),6540.0)</f>
        <v>6540</v>
      </c>
      <c r="E1014" s="1">
        <f>IFERROR(__xludf.DUMMYFUNCTION("""COMPUTED_VALUE"""),6600.0)</f>
        <v>6600</v>
      </c>
      <c r="F1014" s="1">
        <f>IFERROR(__xludf.DUMMYFUNCTION("""COMPUTED_VALUE"""),76441.0)</f>
        <v>76441</v>
      </c>
    </row>
    <row r="1015">
      <c r="A1015" s="2">
        <f>IFERROR(__xludf.DUMMYFUNCTION("""COMPUTED_VALUE"""),42684.64583333333)</f>
        <v>42684.64583</v>
      </c>
      <c r="B1015" s="1">
        <f>IFERROR(__xludf.DUMMYFUNCTION("""COMPUTED_VALUE"""),6670.0)</f>
        <v>6670</v>
      </c>
      <c r="C1015" s="1">
        <f>IFERROR(__xludf.DUMMYFUNCTION("""COMPUTED_VALUE"""),7100.0)</f>
        <v>7100</v>
      </c>
      <c r="D1015" s="1">
        <f>IFERROR(__xludf.DUMMYFUNCTION("""COMPUTED_VALUE"""),6670.0)</f>
        <v>6670</v>
      </c>
      <c r="E1015" s="1">
        <f>IFERROR(__xludf.DUMMYFUNCTION("""COMPUTED_VALUE"""),6900.0)</f>
        <v>6900</v>
      </c>
      <c r="F1015" s="1">
        <f>IFERROR(__xludf.DUMMYFUNCTION("""COMPUTED_VALUE"""),99034.0)</f>
        <v>99034</v>
      </c>
    </row>
    <row r="1016">
      <c r="A1016" s="2">
        <f>IFERROR(__xludf.DUMMYFUNCTION("""COMPUTED_VALUE"""),42685.64583333333)</f>
        <v>42685.64583</v>
      </c>
      <c r="B1016" s="1">
        <f>IFERROR(__xludf.DUMMYFUNCTION("""COMPUTED_VALUE"""),6900.0)</f>
        <v>6900</v>
      </c>
      <c r="C1016" s="1">
        <f>IFERROR(__xludf.DUMMYFUNCTION("""COMPUTED_VALUE"""),7080.0)</f>
        <v>7080</v>
      </c>
      <c r="D1016" s="1">
        <f>IFERROR(__xludf.DUMMYFUNCTION("""COMPUTED_VALUE"""),6860.0)</f>
        <v>6860</v>
      </c>
      <c r="E1016" s="1">
        <f>IFERROR(__xludf.DUMMYFUNCTION("""COMPUTED_VALUE"""),6960.0)</f>
        <v>6960</v>
      </c>
      <c r="F1016" s="1">
        <f>IFERROR(__xludf.DUMMYFUNCTION("""COMPUTED_VALUE"""),35453.0)</f>
        <v>35453</v>
      </c>
    </row>
    <row r="1017">
      <c r="A1017" s="2">
        <f>IFERROR(__xludf.DUMMYFUNCTION("""COMPUTED_VALUE"""),42688.64583333333)</f>
        <v>42688.64583</v>
      </c>
      <c r="B1017" s="1">
        <f>IFERROR(__xludf.DUMMYFUNCTION("""COMPUTED_VALUE"""),7060.0)</f>
        <v>7060</v>
      </c>
      <c r="C1017" s="1">
        <f>IFERROR(__xludf.DUMMYFUNCTION("""COMPUTED_VALUE"""),7080.0)</f>
        <v>7080</v>
      </c>
      <c r="D1017" s="1">
        <f>IFERROR(__xludf.DUMMYFUNCTION("""COMPUTED_VALUE"""),6970.0)</f>
        <v>6970</v>
      </c>
      <c r="E1017" s="1">
        <f>IFERROR(__xludf.DUMMYFUNCTION("""COMPUTED_VALUE"""),7000.0)</f>
        <v>7000</v>
      </c>
      <c r="F1017" s="1">
        <f>IFERROR(__xludf.DUMMYFUNCTION("""COMPUTED_VALUE"""),15358.0)</f>
        <v>15358</v>
      </c>
    </row>
    <row r="1018">
      <c r="A1018" s="2">
        <f>IFERROR(__xludf.DUMMYFUNCTION("""COMPUTED_VALUE"""),42689.64583333333)</f>
        <v>42689.64583</v>
      </c>
      <c r="B1018" s="1">
        <f>IFERROR(__xludf.DUMMYFUNCTION("""COMPUTED_VALUE"""),7000.0)</f>
        <v>7000</v>
      </c>
      <c r="C1018" s="1">
        <f>IFERROR(__xludf.DUMMYFUNCTION("""COMPUTED_VALUE"""),7070.0)</f>
        <v>7070</v>
      </c>
      <c r="D1018" s="1">
        <f>IFERROR(__xludf.DUMMYFUNCTION("""COMPUTED_VALUE"""),6930.0)</f>
        <v>6930</v>
      </c>
      <c r="E1018" s="1">
        <f>IFERROR(__xludf.DUMMYFUNCTION("""COMPUTED_VALUE"""),6980.0)</f>
        <v>6980</v>
      </c>
      <c r="F1018" s="1">
        <f>IFERROR(__xludf.DUMMYFUNCTION("""COMPUTED_VALUE"""),41107.0)</f>
        <v>41107</v>
      </c>
    </row>
    <row r="1019">
      <c r="A1019" s="2">
        <f>IFERROR(__xludf.DUMMYFUNCTION("""COMPUTED_VALUE"""),42690.64583333333)</f>
        <v>42690.64583</v>
      </c>
      <c r="B1019" s="1">
        <f>IFERROR(__xludf.DUMMYFUNCTION("""COMPUTED_VALUE"""),6980.0)</f>
        <v>6980</v>
      </c>
      <c r="C1019" s="1">
        <f>IFERROR(__xludf.DUMMYFUNCTION("""COMPUTED_VALUE"""),7010.0)</f>
        <v>7010</v>
      </c>
      <c r="D1019" s="1">
        <f>IFERROR(__xludf.DUMMYFUNCTION("""COMPUTED_VALUE"""),6920.0)</f>
        <v>6920</v>
      </c>
      <c r="E1019" s="1">
        <f>IFERROR(__xludf.DUMMYFUNCTION("""COMPUTED_VALUE"""),6990.0)</f>
        <v>6990</v>
      </c>
      <c r="F1019" s="1">
        <f>IFERROR(__xludf.DUMMYFUNCTION("""COMPUTED_VALUE"""),27102.0)</f>
        <v>27102</v>
      </c>
    </row>
    <row r="1020">
      <c r="A1020" s="2">
        <f>IFERROR(__xludf.DUMMYFUNCTION("""COMPUTED_VALUE"""),42691.64583333333)</f>
        <v>42691.64583</v>
      </c>
      <c r="B1020" s="1">
        <f>IFERROR(__xludf.DUMMYFUNCTION("""COMPUTED_VALUE"""),7050.0)</f>
        <v>7050</v>
      </c>
      <c r="C1020" s="1">
        <f>IFERROR(__xludf.DUMMYFUNCTION("""COMPUTED_VALUE"""),7100.0)</f>
        <v>7100</v>
      </c>
      <c r="D1020" s="1">
        <f>IFERROR(__xludf.DUMMYFUNCTION("""COMPUTED_VALUE"""),6930.0)</f>
        <v>6930</v>
      </c>
      <c r="E1020" s="1">
        <f>IFERROR(__xludf.DUMMYFUNCTION("""COMPUTED_VALUE"""),7100.0)</f>
        <v>7100</v>
      </c>
      <c r="F1020" s="1">
        <f>IFERROR(__xludf.DUMMYFUNCTION("""COMPUTED_VALUE"""),46848.0)</f>
        <v>46848</v>
      </c>
    </row>
    <row r="1021">
      <c r="A1021" s="2">
        <f>IFERROR(__xludf.DUMMYFUNCTION("""COMPUTED_VALUE"""),42692.64583333333)</f>
        <v>42692.64583</v>
      </c>
      <c r="B1021" s="1">
        <f>IFERROR(__xludf.DUMMYFUNCTION("""COMPUTED_VALUE"""),7100.0)</f>
        <v>7100</v>
      </c>
      <c r="C1021" s="1">
        <f>IFERROR(__xludf.DUMMYFUNCTION("""COMPUTED_VALUE"""),7130.0)</f>
        <v>7130</v>
      </c>
      <c r="D1021" s="1">
        <f>IFERROR(__xludf.DUMMYFUNCTION("""COMPUTED_VALUE"""),7050.0)</f>
        <v>7050</v>
      </c>
      <c r="E1021" s="1">
        <f>IFERROR(__xludf.DUMMYFUNCTION("""COMPUTED_VALUE"""),7110.0)</f>
        <v>7110</v>
      </c>
      <c r="F1021" s="1">
        <f>IFERROR(__xludf.DUMMYFUNCTION("""COMPUTED_VALUE"""),30494.0)</f>
        <v>30494</v>
      </c>
    </row>
    <row r="1022">
      <c r="A1022" s="2">
        <f>IFERROR(__xludf.DUMMYFUNCTION("""COMPUTED_VALUE"""),42695.64583333333)</f>
        <v>42695.64583</v>
      </c>
      <c r="B1022" s="1">
        <f>IFERROR(__xludf.DUMMYFUNCTION("""COMPUTED_VALUE"""),7130.0)</f>
        <v>7130</v>
      </c>
      <c r="C1022" s="1">
        <f>IFERROR(__xludf.DUMMYFUNCTION("""COMPUTED_VALUE"""),7130.0)</f>
        <v>7130</v>
      </c>
      <c r="D1022" s="1">
        <f>IFERROR(__xludf.DUMMYFUNCTION("""COMPUTED_VALUE"""),6970.0)</f>
        <v>6970</v>
      </c>
      <c r="E1022" s="1">
        <f>IFERROR(__xludf.DUMMYFUNCTION("""COMPUTED_VALUE"""),7100.0)</f>
        <v>7100</v>
      </c>
      <c r="F1022" s="1">
        <f>IFERROR(__xludf.DUMMYFUNCTION("""COMPUTED_VALUE"""),37978.0)</f>
        <v>37978</v>
      </c>
    </row>
    <row r="1023">
      <c r="A1023" s="2">
        <f>IFERROR(__xludf.DUMMYFUNCTION("""COMPUTED_VALUE"""),42696.64583333333)</f>
        <v>42696.64583</v>
      </c>
      <c r="B1023" s="1">
        <f>IFERROR(__xludf.DUMMYFUNCTION("""COMPUTED_VALUE"""),7390.0)</f>
        <v>7390</v>
      </c>
      <c r="C1023" s="1">
        <f>IFERROR(__xludf.DUMMYFUNCTION("""COMPUTED_VALUE"""),7450.0)</f>
        <v>7450</v>
      </c>
      <c r="D1023" s="1">
        <f>IFERROR(__xludf.DUMMYFUNCTION("""COMPUTED_VALUE"""),7100.0)</f>
        <v>7100</v>
      </c>
      <c r="E1023" s="1">
        <f>IFERROR(__xludf.DUMMYFUNCTION("""COMPUTED_VALUE"""),7200.0)</f>
        <v>7200</v>
      </c>
      <c r="F1023" s="1">
        <f>IFERROR(__xludf.DUMMYFUNCTION("""COMPUTED_VALUE"""),142694.0)</f>
        <v>142694</v>
      </c>
    </row>
    <row r="1024">
      <c r="A1024" s="2">
        <f>IFERROR(__xludf.DUMMYFUNCTION("""COMPUTED_VALUE"""),42697.64583333333)</f>
        <v>42697.64583</v>
      </c>
      <c r="B1024" s="1">
        <f>IFERROR(__xludf.DUMMYFUNCTION("""COMPUTED_VALUE"""),7200.0)</f>
        <v>7200</v>
      </c>
      <c r="C1024" s="1">
        <f>IFERROR(__xludf.DUMMYFUNCTION("""COMPUTED_VALUE"""),7300.0)</f>
        <v>7300</v>
      </c>
      <c r="D1024" s="1">
        <f>IFERROR(__xludf.DUMMYFUNCTION("""COMPUTED_VALUE"""),7130.0)</f>
        <v>7130</v>
      </c>
      <c r="E1024" s="1">
        <f>IFERROR(__xludf.DUMMYFUNCTION("""COMPUTED_VALUE"""),7300.0)</f>
        <v>7300</v>
      </c>
      <c r="F1024" s="1">
        <f>IFERROR(__xludf.DUMMYFUNCTION("""COMPUTED_VALUE"""),61336.0)</f>
        <v>61336</v>
      </c>
    </row>
    <row r="1025">
      <c r="A1025" s="2">
        <f>IFERROR(__xludf.DUMMYFUNCTION("""COMPUTED_VALUE"""),42698.64583333333)</f>
        <v>42698.64583</v>
      </c>
      <c r="B1025" s="1">
        <f>IFERROR(__xludf.DUMMYFUNCTION("""COMPUTED_VALUE"""),7300.0)</f>
        <v>7300</v>
      </c>
      <c r="C1025" s="1">
        <f>IFERROR(__xludf.DUMMYFUNCTION("""COMPUTED_VALUE"""),7430.0)</f>
        <v>7430</v>
      </c>
      <c r="D1025" s="1">
        <f>IFERROR(__xludf.DUMMYFUNCTION("""COMPUTED_VALUE"""),7280.0)</f>
        <v>7280</v>
      </c>
      <c r="E1025" s="1">
        <f>IFERROR(__xludf.DUMMYFUNCTION("""COMPUTED_VALUE"""),7390.0)</f>
        <v>7390</v>
      </c>
      <c r="F1025" s="1">
        <f>IFERROR(__xludf.DUMMYFUNCTION("""COMPUTED_VALUE"""),92615.0)</f>
        <v>92615</v>
      </c>
    </row>
    <row r="1026">
      <c r="A1026" s="2">
        <f>IFERROR(__xludf.DUMMYFUNCTION("""COMPUTED_VALUE"""),42699.64583333333)</f>
        <v>42699.64583</v>
      </c>
      <c r="B1026" s="1">
        <f>IFERROR(__xludf.DUMMYFUNCTION("""COMPUTED_VALUE"""),7330.0)</f>
        <v>7330</v>
      </c>
      <c r="C1026" s="1">
        <f>IFERROR(__xludf.DUMMYFUNCTION("""COMPUTED_VALUE"""),7460.0)</f>
        <v>7460</v>
      </c>
      <c r="D1026" s="1">
        <f>IFERROR(__xludf.DUMMYFUNCTION("""COMPUTED_VALUE"""),7330.0)</f>
        <v>7330</v>
      </c>
      <c r="E1026" s="1">
        <f>IFERROR(__xludf.DUMMYFUNCTION("""COMPUTED_VALUE"""),7400.0)</f>
        <v>7400</v>
      </c>
      <c r="F1026" s="1">
        <f>IFERROR(__xludf.DUMMYFUNCTION("""COMPUTED_VALUE"""),49320.0)</f>
        <v>49320</v>
      </c>
    </row>
    <row r="1027">
      <c r="A1027" s="2">
        <f>IFERROR(__xludf.DUMMYFUNCTION("""COMPUTED_VALUE"""),42702.64583333333)</f>
        <v>42702.64583</v>
      </c>
      <c r="B1027" s="1">
        <f>IFERROR(__xludf.DUMMYFUNCTION("""COMPUTED_VALUE"""),7380.0)</f>
        <v>7380</v>
      </c>
      <c r="C1027" s="1">
        <f>IFERROR(__xludf.DUMMYFUNCTION("""COMPUTED_VALUE"""),7420.0)</f>
        <v>7420</v>
      </c>
      <c r="D1027" s="1">
        <f>IFERROR(__xludf.DUMMYFUNCTION("""COMPUTED_VALUE"""),7000.0)</f>
        <v>7000</v>
      </c>
      <c r="E1027" s="1">
        <f>IFERROR(__xludf.DUMMYFUNCTION("""COMPUTED_VALUE"""),7250.0)</f>
        <v>7250</v>
      </c>
      <c r="F1027" s="1">
        <f>IFERROR(__xludf.DUMMYFUNCTION("""COMPUTED_VALUE"""),43361.0)</f>
        <v>43361</v>
      </c>
    </row>
    <row r="1028">
      <c r="A1028" s="2">
        <f>IFERROR(__xludf.DUMMYFUNCTION("""COMPUTED_VALUE"""),42703.64583333333)</f>
        <v>42703.64583</v>
      </c>
      <c r="B1028" s="1">
        <f>IFERROR(__xludf.DUMMYFUNCTION("""COMPUTED_VALUE"""),7370.0)</f>
        <v>7370</v>
      </c>
      <c r="C1028" s="1">
        <f>IFERROR(__xludf.DUMMYFUNCTION("""COMPUTED_VALUE"""),7370.0)</f>
        <v>7370</v>
      </c>
      <c r="D1028" s="1">
        <f>IFERROR(__xludf.DUMMYFUNCTION("""COMPUTED_VALUE"""),7140.0)</f>
        <v>7140</v>
      </c>
      <c r="E1028" s="1">
        <f>IFERROR(__xludf.DUMMYFUNCTION("""COMPUTED_VALUE"""),7150.0)</f>
        <v>7150</v>
      </c>
      <c r="F1028" s="1">
        <f>IFERROR(__xludf.DUMMYFUNCTION("""COMPUTED_VALUE"""),72294.0)</f>
        <v>72294</v>
      </c>
    </row>
    <row r="1029">
      <c r="A1029" s="2">
        <f>IFERROR(__xludf.DUMMYFUNCTION("""COMPUTED_VALUE"""),42704.64583333333)</f>
        <v>42704.64583</v>
      </c>
      <c r="B1029" s="1">
        <f>IFERROR(__xludf.DUMMYFUNCTION("""COMPUTED_VALUE"""),7160.0)</f>
        <v>7160</v>
      </c>
      <c r="C1029" s="1">
        <f>IFERROR(__xludf.DUMMYFUNCTION("""COMPUTED_VALUE"""),7160.0)</f>
        <v>7160</v>
      </c>
      <c r="D1029" s="1">
        <f>IFERROR(__xludf.DUMMYFUNCTION("""COMPUTED_VALUE"""),7070.0)</f>
        <v>7070</v>
      </c>
      <c r="E1029" s="1">
        <f>IFERROR(__xludf.DUMMYFUNCTION("""COMPUTED_VALUE"""),7100.0)</f>
        <v>7100</v>
      </c>
      <c r="F1029" s="1">
        <f>IFERROR(__xludf.DUMMYFUNCTION("""COMPUTED_VALUE"""),57189.0)</f>
        <v>57189</v>
      </c>
    </row>
    <row r="1030">
      <c r="A1030" s="2">
        <f>IFERROR(__xludf.DUMMYFUNCTION("""COMPUTED_VALUE"""),42705.64583333333)</f>
        <v>42705.64583</v>
      </c>
      <c r="B1030" s="1">
        <f>IFERROR(__xludf.DUMMYFUNCTION("""COMPUTED_VALUE"""),7090.0)</f>
        <v>7090</v>
      </c>
      <c r="C1030" s="1">
        <f>IFERROR(__xludf.DUMMYFUNCTION("""COMPUTED_VALUE"""),7190.0)</f>
        <v>7190</v>
      </c>
      <c r="D1030" s="1">
        <f>IFERROR(__xludf.DUMMYFUNCTION("""COMPUTED_VALUE"""),6780.0)</f>
        <v>6780</v>
      </c>
      <c r="E1030" s="1">
        <f>IFERROR(__xludf.DUMMYFUNCTION("""COMPUTED_VALUE"""),6800.0)</f>
        <v>6800</v>
      </c>
      <c r="F1030" s="1">
        <f>IFERROR(__xludf.DUMMYFUNCTION("""COMPUTED_VALUE"""),56895.0)</f>
        <v>56895</v>
      </c>
    </row>
    <row r="1031">
      <c r="A1031" s="2">
        <f>IFERROR(__xludf.DUMMYFUNCTION("""COMPUTED_VALUE"""),42706.64583333333)</f>
        <v>42706.64583</v>
      </c>
      <c r="B1031" s="1">
        <f>IFERROR(__xludf.DUMMYFUNCTION("""COMPUTED_VALUE"""),6850.0)</f>
        <v>6850</v>
      </c>
      <c r="C1031" s="1">
        <f>IFERROR(__xludf.DUMMYFUNCTION("""COMPUTED_VALUE"""),6890.0)</f>
        <v>6890</v>
      </c>
      <c r="D1031" s="1">
        <f>IFERROR(__xludf.DUMMYFUNCTION("""COMPUTED_VALUE"""),6680.0)</f>
        <v>6680</v>
      </c>
      <c r="E1031" s="1">
        <f>IFERROR(__xludf.DUMMYFUNCTION("""COMPUTED_VALUE"""),6810.0)</f>
        <v>6810</v>
      </c>
      <c r="F1031" s="1">
        <f>IFERROR(__xludf.DUMMYFUNCTION("""COMPUTED_VALUE"""),26703.0)</f>
        <v>26703</v>
      </c>
    </row>
    <row r="1032">
      <c r="A1032" s="2">
        <f>IFERROR(__xludf.DUMMYFUNCTION("""COMPUTED_VALUE"""),42709.64583333333)</f>
        <v>42709.64583</v>
      </c>
      <c r="B1032" s="1">
        <f>IFERROR(__xludf.DUMMYFUNCTION("""COMPUTED_VALUE"""),6810.0)</f>
        <v>6810</v>
      </c>
      <c r="C1032" s="1">
        <f>IFERROR(__xludf.DUMMYFUNCTION("""COMPUTED_VALUE"""),7000.0)</f>
        <v>7000</v>
      </c>
      <c r="D1032" s="1">
        <f>IFERROR(__xludf.DUMMYFUNCTION("""COMPUTED_VALUE"""),6750.0)</f>
        <v>6750</v>
      </c>
      <c r="E1032" s="1">
        <f>IFERROR(__xludf.DUMMYFUNCTION("""COMPUTED_VALUE"""),6780.0)</f>
        <v>6780</v>
      </c>
      <c r="F1032" s="1">
        <f>IFERROR(__xludf.DUMMYFUNCTION("""COMPUTED_VALUE"""),14011.0)</f>
        <v>14011</v>
      </c>
    </row>
    <row r="1033">
      <c r="A1033" s="2">
        <f>IFERROR(__xludf.DUMMYFUNCTION("""COMPUTED_VALUE"""),42710.64583333333)</f>
        <v>42710.64583</v>
      </c>
      <c r="B1033" s="1">
        <f>IFERROR(__xludf.DUMMYFUNCTION("""COMPUTED_VALUE"""),6760.0)</f>
        <v>6760</v>
      </c>
      <c r="C1033" s="1">
        <f>IFERROR(__xludf.DUMMYFUNCTION("""COMPUTED_VALUE"""),6980.0)</f>
        <v>6980</v>
      </c>
      <c r="D1033" s="1">
        <f>IFERROR(__xludf.DUMMYFUNCTION("""COMPUTED_VALUE"""),6760.0)</f>
        <v>6760</v>
      </c>
      <c r="E1033" s="1">
        <f>IFERROR(__xludf.DUMMYFUNCTION("""COMPUTED_VALUE"""),6820.0)</f>
        <v>6820</v>
      </c>
      <c r="F1033" s="1">
        <f>IFERROR(__xludf.DUMMYFUNCTION("""COMPUTED_VALUE"""),13115.0)</f>
        <v>13115</v>
      </c>
    </row>
    <row r="1034">
      <c r="A1034" s="2">
        <f>IFERROR(__xludf.DUMMYFUNCTION("""COMPUTED_VALUE"""),42711.64583333333)</f>
        <v>42711.64583</v>
      </c>
      <c r="B1034" s="1">
        <f>IFERROR(__xludf.DUMMYFUNCTION("""COMPUTED_VALUE"""),6800.0)</f>
        <v>6800</v>
      </c>
      <c r="C1034" s="1">
        <f>IFERROR(__xludf.DUMMYFUNCTION("""COMPUTED_VALUE"""),6980.0)</f>
        <v>6980</v>
      </c>
      <c r="D1034" s="1">
        <f>IFERROR(__xludf.DUMMYFUNCTION("""COMPUTED_VALUE"""),6800.0)</f>
        <v>6800</v>
      </c>
      <c r="E1034" s="1">
        <f>IFERROR(__xludf.DUMMYFUNCTION("""COMPUTED_VALUE"""),6980.0)</f>
        <v>6980</v>
      </c>
      <c r="F1034" s="1">
        <f>IFERROR(__xludf.DUMMYFUNCTION("""COMPUTED_VALUE"""),8099.0)</f>
        <v>8099</v>
      </c>
    </row>
    <row r="1035">
      <c r="A1035" s="2">
        <f>IFERROR(__xludf.DUMMYFUNCTION("""COMPUTED_VALUE"""),42712.64583333333)</f>
        <v>42712.64583</v>
      </c>
      <c r="B1035" s="1">
        <f>IFERROR(__xludf.DUMMYFUNCTION("""COMPUTED_VALUE"""),7000.0)</f>
        <v>7000</v>
      </c>
      <c r="C1035" s="1">
        <f>IFERROR(__xludf.DUMMYFUNCTION("""COMPUTED_VALUE"""),7000.0)</f>
        <v>7000</v>
      </c>
      <c r="D1035" s="1">
        <f>IFERROR(__xludf.DUMMYFUNCTION("""COMPUTED_VALUE"""),6850.0)</f>
        <v>6850</v>
      </c>
      <c r="E1035" s="1">
        <f>IFERROR(__xludf.DUMMYFUNCTION("""COMPUTED_VALUE"""),6930.0)</f>
        <v>6930</v>
      </c>
      <c r="F1035" s="1">
        <f>IFERROR(__xludf.DUMMYFUNCTION("""COMPUTED_VALUE"""),37408.0)</f>
        <v>37408</v>
      </c>
    </row>
    <row r="1036">
      <c r="A1036" s="2">
        <f>IFERROR(__xludf.DUMMYFUNCTION("""COMPUTED_VALUE"""),42713.64583333333)</f>
        <v>42713.64583</v>
      </c>
      <c r="B1036" s="1">
        <f>IFERROR(__xludf.DUMMYFUNCTION("""COMPUTED_VALUE"""),6990.0)</f>
        <v>6990</v>
      </c>
      <c r="C1036" s="1">
        <f>IFERROR(__xludf.DUMMYFUNCTION("""COMPUTED_VALUE"""),7030.0)</f>
        <v>7030</v>
      </c>
      <c r="D1036" s="1">
        <f>IFERROR(__xludf.DUMMYFUNCTION("""COMPUTED_VALUE"""),6900.0)</f>
        <v>6900</v>
      </c>
      <c r="E1036" s="1">
        <f>IFERROR(__xludf.DUMMYFUNCTION("""COMPUTED_VALUE"""),7000.0)</f>
        <v>7000</v>
      </c>
      <c r="F1036" s="1">
        <f>IFERROR(__xludf.DUMMYFUNCTION("""COMPUTED_VALUE"""),27904.0)</f>
        <v>27904</v>
      </c>
    </row>
    <row r="1037">
      <c r="A1037" s="2">
        <f>IFERROR(__xludf.DUMMYFUNCTION("""COMPUTED_VALUE"""),42716.64583333333)</f>
        <v>42716.64583</v>
      </c>
      <c r="B1037" s="1">
        <f>IFERROR(__xludf.DUMMYFUNCTION("""COMPUTED_VALUE"""),7090.0)</f>
        <v>7090</v>
      </c>
      <c r="C1037" s="1">
        <f>IFERROR(__xludf.DUMMYFUNCTION("""COMPUTED_VALUE"""),7150.0)</f>
        <v>7150</v>
      </c>
      <c r="D1037" s="1">
        <f>IFERROR(__xludf.DUMMYFUNCTION("""COMPUTED_VALUE"""),6900.0)</f>
        <v>6900</v>
      </c>
      <c r="E1037" s="1">
        <f>IFERROR(__xludf.DUMMYFUNCTION("""COMPUTED_VALUE"""),6900.0)</f>
        <v>6900</v>
      </c>
      <c r="F1037" s="1">
        <f>IFERROR(__xludf.DUMMYFUNCTION("""COMPUTED_VALUE"""),464429.0)</f>
        <v>464429</v>
      </c>
    </row>
    <row r="1038">
      <c r="A1038" s="2">
        <f>IFERROR(__xludf.DUMMYFUNCTION("""COMPUTED_VALUE"""),42717.64583333333)</f>
        <v>42717.64583</v>
      </c>
      <c r="B1038" s="1">
        <f>IFERROR(__xludf.DUMMYFUNCTION("""COMPUTED_VALUE"""),7000.0)</f>
        <v>7000</v>
      </c>
      <c r="C1038" s="1">
        <f>IFERROR(__xludf.DUMMYFUNCTION("""COMPUTED_VALUE"""),7000.0)</f>
        <v>7000</v>
      </c>
      <c r="D1038" s="1">
        <f>IFERROR(__xludf.DUMMYFUNCTION("""COMPUTED_VALUE"""),6860.0)</f>
        <v>6860</v>
      </c>
      <c r="E1038" s="1">
        <f>IFERROR(__xludf.DUMMYFUNCTION("""COMPUTED_VALUE"""),6900.0)</f>
        <v>6900</v>
      </c>
      <c r="F1038" s="1">
        <f>IFERROR(__xludf.DUMMYFUNCTION("""COMPUTED_VALUE"""),6180.0)</f>
        <v>6180</v>
      </c>
    </row>
    <row r="1039">
      <c r="A1039" s="2">
        <f>IFERROR(__xludf.DUMMYFUNCTION("""COMPUTED_VALUE"""),42718.64583333333)</f>
        <v>42718.64583</v>
      </c>
      <c r="B1039" s="1">
        <f>IFERROR(__xludf.DUMMYFUNCTION("""COMPUTED_VALUE"""),6990.0)</f>
        <v>6990</v>
      </c>
      <c r="C1039" s="1">
        <f>IFERROR(__xludf.DUMMYFUNCTION("""COMPUTED_VALUE"""),6990.0)</f>
        <v>6990</v>
      </c>
      <c r="D1039" s="1">
        <f>IFERROR(__xludf.DUMMYFUNCTION("""COMPUTED_VALUE"""),6770.0)</f>
        <v>6770</v>
      </c>
      <c r="E1039" s="1">
        <f>IFERROR(__xludf.DUMMYFUNCTION("""COMPUTED_VALUE"""),6770.0)</f>
        <v>6770</v>
      </c>
      <c r="F1039" s="1">
        <f>IFERROR(__xludf.DUMMYFUNCTION("""COMPUTED_VALUE"""),38539.0)</f>
        <v>38539</v>
      </c>
    </row>
    <row r="1040">
      <c r="A1040" s="2">
        <f>IFERROR(__xludf.DUMMYFUNCTION("""COMPUTED_VALUE"""),42719.64583333333)</f>
        <v>42719.64583</v>
      </c>
      <c r="B1040" s="1">
        <f>IFERROR(__xludf.DUMMYFUNCTION("""COMPUTED_VALUE"""),6680.0)</f>
        <v>6680</v>
      </c>
      <c r="C1040" s="1">
        <f>IFERROR(__xludf.DUMMYFUNCTION("""COMPUTED_VALUE"""),6820.0)</f>
        <v>6820</v>
      </c>
      <c r="D1040" s="1">
        <f>IFERROR(__xludf.DUMMYFUNCTION("""COMPUTED_VALUE"""),6640.0)</f>
        <v>6640</v>
      </c>
      <c r="E1040" s="1">
        <f>IFERROR(__xludf.DUMMYFUNCTION("""COMPUTED_VALUE"""),6750.0)</f>
        <v>6750</v>
      </c>
      <c r="F1040" s="1">
        <f>IFERROR(__xludf.DUMMYFUNCTION("""COMPUTED_VALUE"""),29563.0)</f>
        <v>29563</v>
      </c>
    </row>
    <row r="1041">
      <c r="A1041" s="2">
        <f>IFERROR(__xludf.DUMMYFUNCTION("""COMPUTED_VALUE"""),42720.64583333333)</f>
        <v>42720.64583</v>
      </c>
      <c r="B1041" s="1">
        <f>IFERROR(__xludf.DUMMYFUNCTION("""COMPUTED_VALUE"""),6980.0)</f>
        <v>6980</v>
      </c>
      <c r="C1041" s="1">
        <f>IFERROR(__xludf.DUMMYFUNCTION("""COMPUTED_VALUE"""),6980.0)</f>
        <v>6980</v>
      </c>
      <c r="D1041" s="1">
        <f>IFERROR(__xludf.DUMMYFUNCTION("""COMPUTED_VALUE"""),6710.0)</f>
        <v>6710</v>
      </c>
      <c r="E1041" s="1">
        <f>IFERROR(__xludf.DUMMYFUNCTION("""COMPUTED_VALUE"""),6810.0)</f>
        <v>6810</v>
      </c>
      <c r="F1041" s="1">
        <f>IFERROR(__xludf.DUMMYFUNCTION("""COMPUTED_VALUE"""),13639.0)</f>
        <v>13639</v>
      </c>
    </row>
    <row r="1042">
      <c r="A1042" s="2">
        <f>IFERROR(__xludf.DUMMYFUNCTION("""COMPUTED_VALUE"""),42723.64583333333)</f>
        <v>42723.64583</v>
      </c>
      <c r="B1042" s="1">
        <f>IFERROR(__xludf.DUMMYFUNCTION("""COMPUTED_VALUE"""),6850.0)</f>
        <v>6850</v>
      </c>
      <c r="C1042" s="1">
        <f>IFERROR(__xludf.DUMMYFUNCTION("""COMPUTED_VALUE"""),6990.0)</f>
        <v>6990</v>
      </c>
      <c r="D1042" s="1">
        <f>IFERROR(__xludf.DUMMYFUNCTION("""COMPUTED_VALUE"""),6770.0)</f>
        <v>6770</v>
      </c>
      <c r="E1042" s="1">
        <f>IFERROR(__xludf.DUMMYFUNCTION("""COMPUTED_VALUE"""),6870.0)</f>
        <v>6870</v>
      </c>
      <c r="F1042" s="1">
        <f>IFERROR(__xludf.DUMMYFUNCTION("""COMPUTED_VALUE"""),39310.0)</f>
        <v>39310</v>
      </c>
    </row>
    <row r="1043">
      <c r="A1043" s="2">
        <f>IFERROR(__xludf.DUMMYFUNCTION("""COMPUTED_VALUE"""),42724.64583333333)</f>
        <v>42724.64583</v>
      </c>
      <c r="B1043" s="1">
        <f>IFERROR(__xludf.DUMMYFUNCTION("""COMPUTED_VALUE"""),6880.0)</f>
        <v>6880</v>
      </c>
      <c r="C1043" s="1">
        <f>IFERROR(__xludf.DUMMYFUNCTION("""COMPUTED_VALUE"""),6980.0)</f>
        <v>6980</v>
      </c>
      <c r="D1043" s="1">
        <f>IFERROR(__xludf.DUMMYFUNCTION("""COMPUTED_VALUE"""),6770.0)</f>
        <v>6770</v>
      </c>
      <c r="E1043" s="1">
        <f>IFERROR(__xludf.DUMMYFUNCTION("""COMPUTED_VALUE"""),6810.0)</f>
        <v>6810</v>
      </c>
      <c r="F1043" s="1">
        <f>IFERROR(__xludf.DUMMYFUNCTION("""COMPUTED_VALUE"""),45918.0)</f>
        <v>45918</v>
      </c>
    </row>
    <row r="1044">
      <c r="A1044" s="2">
        <f>IFERROR(__xludf.DUMMYFUNCTION("""COMPUTED_VALUE"""),42725.64583333333)</f>
        <v>42725.64583</v>
      </c>
      <c r="B1044" s="1">
        <f>IFERROR(__xludf.DUMMYFUNCTION("""COMPUTED_VALUE"""),6770.0)</f>
        <v>6770</v>
      </c>
      <c r="C1044" s="1">
        <f>IFERROR(__xludf.DUMMYFUNCTION("""COMPUTED_VALUE"""),6870.0)</f>
        <v>6870</v>
      </c>
      <c r="D1044" s="1">
        <f>IFERROR(__xludf.DUMMYFUNCTION("""COMPUTED_VALUE"""),6730.0)</f>
        <v>6730</v>
      </c>
      <c r="E1044" s="1">
        <f>IFERROR(__xludf.DUMMYFUNCTION("""COMPUTED_VALUE"""),6730.0)</f>
        <v>6730</v>
      </c>
      <c r="F1044" s="1">
        <f>IFERROR(__xludf.DUMMYFUNCTION("""COMPUTED_VALUE"""),77426.0)</f>
        <v>77426</v>
      </c>
    </row>
    <row r="1045">
      <c r="A1045" s="2">
        <f>IFERROR(__xludf.DUMMYFUNCTION("""COMPUTED_VALUE"""),42726.64583333333)</f>
        <v>42726.64583</v>
      </c>
      <c r="B1045" s="1">
        <f>IFERROR(__xludf.DUMMYFUNCTION("""COMPUTED_VALUE"""),6820.0)</f>
        <v>6820</v>
      </c>
      <c r="C1045" s="1">
        <f>IFERROR(__xludf.DUMMYFUNCTION("""COMPUTED_VALUE"""),6820.0)</f>
        <v>6820</v>
      </c>
      <c r="D1045" s="1">
        <f>IFERROR(__xludf.DUMMYFUNCTION("""COMPUTED_VALUE"""),6680.0)</f>
        <v>6680</v>
      </c>
      <c r="E1045" s="1">
        <f>IFERROR(__xludf.DUMMYFUNCTION("""COMPUTED_VALUE"""),6680.0)</f>
        <v>6680</v>
      </c>
      <c r="F1045" s="1">
        <f>IFERROR(__xludf.DUMMYFUNCTION("""COMPUTED_VALUE"""),25928.0)</f>
        <v>25928</v>
      </c>
    </row>
    <row r="1046">
      <c r="A1046" s="2">
        <f>IFERROR(__xludf.DUMMYFUNCTION("""COMPUTED_VALUE"""),42727.64583333333)</f>
        <v>42727.64583</v>
      </c>
      <c r="B1046" s="1">
        <f>IFERROR(__xludf.DUMMYFUNCTION("""COMPUTED_VALUE"""),6800.0)</f>
        <v>6800</v>
      </c>
      <c r="C1046" s="1">
        <f>IFERROR(__xludf.DUMMYFUNCTION("""COMPUTED_VALUE"""),6800.0)</f>
        <v>6800</v>
      </c>
      <c r="D1046" s="1">
        <f>IFERROR(__xludf.DUMMYFUNCTION("""COMPUTED_VALUE"""),6660.0)</f>
        <v>6660</v>
      </c>
      <c r="E1046" s="1">
        <f>IFERROR(__xludf.DUMMYFUNCTION("""COMPUTED_VALUE"""),6690.0)</f>
        <v>6690</v>
      </c>
      <c r="F1046" s="1">
        <f>IFERROR(__xludf.DUMMYFUNCTION("""COMPUTED_VALUE"""),16939.0)</f>
        <v>16939</v>
      </c>
    </row>
    <row r="1047">
      <c r="A1047" s="2">
        <f>IFERROR(__xludf.DUMMYFUNCTION("""COMPUTED_VALUE"""),42730.64583333333)</f>
        <v>42730.64583</v>
      </c>
      <c r="B1047" s="1">
        <f>IFERROR(__xludf.DUMMYFUNCTION("""COMPUTED_VALUE"""),6670.0)</f>
        <v>6670</v>
      </c>
      <c r="C1047" s="1">
        <f>IFERROR(__xludf.DUMMYFUNCTION("""COMPUTED_VALUE"""),6780.0)</f>
        <v>6780</v>
      </c>
      <c r="D1047" s="1">
        <f>IFERROR(__xludf.DUMMYFUNCTION("""COMPUTED_VALUE"""),6670.0)</f>
        <v>6670</v>
      </c>
      <c r="E1047" s="1">
        <f>IFERROR(__xludf.DUMMYFUNCTION("""COMPUTED_VALUE"""),6760.0)</f>
        <v>6760</v>
      </c>
      <c r="F1047" s="1">
        <f>IFERROR(__xludf.DUMMYFUNCTION("""COMPUTED_VALUE"""),59587.0)</f>
        <v>59587</v>
      </c>
    </row>
    <row r="1048">
      <c r="A1048" s="2">
        <f>IFERROR(__xludf.DUMMYFUNCTION("""COMPUTED_VALUE"""),42731.64583333333)</f>
        <v>42731.64583</v>
      </c>
      <c r="B1048" s="1">
        <f>IFERROR(__xludf.DUMMYFUNCTION("""COMPUTED_VALUE"""),6770.0)</f>
        <v>6770</v>
      </c>
      <c r="C1048" s="1">
        <f>IFERROR(__xludf.DUMMYFUNCTION("""COMPUTED_VALUE"""),6840.0)</f>
        <v>6840</v>
      </c>
      <c r="D1048" s="1">
        <f>IFERROR(__xludf.DUMMYFUNCTION("""COMPUTED_VALUE"""),6710.0)</f>
        <v>6710</v>
      </c>
      <c r="E1048" s="1">
        <f>IFERROR(__xludf.DUMMYFUNCTION("""COMPUTED_VALUE"""),6750.0)</f>
        <v>6750</v>
      </c>
      <c r="F1048" s="1">
        <f>IFERROR(__xludf.DUMMYFUNCTION("""COMPUTED_VALUE"""),14583.0)</f>
        <v>14583</v>
      </c>
    </row>
    <row r="1049">
      <c r="A1049" s="2">
        <f>IFERROR(__xludf.DUMMYFUNCTION("""COMPUTED_VALUE"""),42732.64583333333)</f>
        <v>42732.64583</v>
      </c>
      <c r="B1049" s="1">
        <f>IFERROR(__xludf.DUMMYFUNCTION("""COMPUTED_VALUE"""),6860.0)</f>
        <v>6860</v>
      </c>
      <c r="C1049" s="1">
        <f>IFERROR(__xludf.DUMMYFUNCTION("""COMPUTED_VALUE"""),6880.0)</f>
        <v>6880</v>
      </c>
      <c r="D1049" s="1">
        <f>IFERROR(__xludf.DUMMYFUNCTION("""COMPUTED_VALUE"""),6760.0)</f>
        <v>6760</v>
      </c>
      <c r="E1049" s="1">
        <f>IFERROR(__xludf.DUMMYFUNCTION("""COMPUTED_VALUE"""),6870.0)</f>
        <v>6870</v>
      </c>
      <c r="F1049" s="1">
        <f>IFERROR(__xludf.DUMMYFUNCTION("""COMPUTED_VALUE"""),10278.0)</f>
        <v>10278</v>
      </c>
    </row>
    <row r="1050">
      <c r="A1050" s="2">
        <f>IFERROR(__xludf.DUMMYFUNCTION("""COMPUTED_VALUE"""),42733.64583333333)</f>
        <v>42733.64583</v>
      </c>
      <c r="B1050" s="1">
        <f>IFERROR(__xludf.DUMMYFUNCTION("""COMPUTED_VALUE"""),6870.0)</f>
        <v>6870</v>
      </c>
      <c r="C1050" s="1">
        <f>IFERROR(__xludf.DUMMYFUNCTION("""COMPUTED_VALUE"""),6890.0)</f>
        <v>6890</v>
      </c>
      <c r="D1050" s="1">
        <f>IFERROR(__xludf.DUMMYFUNCTION("""COMPUTED_VALUE"""),6790.0)</f>
        <v>6790</v>
      </c>
      <c r="E1050" s="1">
        <f>IFERROR(__xludf.DUMMYFUNCTION("""COMPUTED_VALUE"""),6820.0)</f>
        <v>6820</v>
      </c>
      <c r="F1050" s="1">
        <f>IFERROR(__xludf.DUMMYFUNCTION("""COMPUTED_VALUE"""),24036.0)</f>
        <v>24036</v>
      </c>
    </row>
    <row r="1051">
      <c r="A1051" s="2">
        <f>IFERROR(__xludf.DUMMYFUNCTION("""COMPUTED_VALUE"""),42737.64583333333)</f>
        <v>42737.64583</v>
      </c>
      <c r="B1051" s="1">
        <f>IFERROR(__xludf.DUMMYFUNCTION("""COMPUTED_VALUE"""),6820.0)</f>
        <v>6820</v>
      </c>
      <c r="C1051" s="1">
        <f>IFERROR(__xludf.DUMMYFUNCTION("""COMPUTED_VALUE"""),6890.0)</f>
        <v>6890</v>
      </c>
      <c r="D1051" s="1">
        <f>IFERROR(__xludf.DUMMYFUNCTION("""COMPUTED_VALUE"""),6500.0)</f>
        <v>6500</v>
      </c>
      <c r="E1051" s="1">
        <f>IFERROR(__xludf.DUMMYFUNCTION("""COMPUTED_VALUE"""),6850.0)</f>
        <v>6850</v>
      </c>
      <c r="F1051" s="1">
        <f>IFERROR(__xludf.DUMMYFUNCTION("""COMPUTED_VALUE"""),27397.0)</f>
        <v>27397</v>
      </c>
    </row>
    <row r="1052">
      <c r="A1052" s="2">
        <f>IFERROR(__xludf.DUMMYFUNCTION("""COMPUTED_VALUE"""),42738.64583333333)</f>
        <v>42738.64583</v>
      </c>
      <c r="B1052" s="1">
        <f>IFERROR(__xludf.DUMMYFUNCTION("""COMPUTED_VALUE"""),6850.0)</f>
        <v>6850</v>
      </c>
      <c r="C1052" s="1">
        <f>IFERROR(__xludf.DUMMYFUNCTION("""COMPUTED_VALUE"""),6890.0)</f>
        <v>6890</v>
      </c>
      <c r="D1052" s="1">
        <f>IFERROR(__xludf.DUMMYFUNCTION("""COMPUTED_VALUE"""),6740.0)</f>
        <v>6740</v>
      </c>
      <c r="E1052" s="1">
        <f>IFERROR(__xludf.DUMMYFUNCTION("""COMPUTED_VALUE"""),6780.0)</f>
        <v>6780</v>
      </c>
      <c r="F1052" s="1">
        <f>IFERROR(__xludf.DUMMYFUNCTION("""COMPUTED_VALUE"""),20695.0)</f>
        <v>20695</v>
      </c>
    </row>
    <row r="1053">
      <c r="A1053" s="2">
        <f>IFERROR(__xludf.DUMMYFUNCTION("""COMPUTED_VALUE"""),42739.64583333333)</f>
        <v>42739.64583</v>
      </c>
      <c r="B1053" s="1">
        <f>IFERROR(__xludf.DUMMYFUNCTION("""COMPUTED_VALUE"""),6880.0)</f>
        <v>6880</v>
      </c>
      <c r="C1053" s="1">
        <f>IFERROR(__xludf.DUMMYFUNCTION("""COMPUTED_VALUE"""),6880.0)</f>
        <v>6880</v>
      </c>
      <c r="D1053" s="1">
        <f>IFERROR(__xludf.DUMMYFUNCTION("""COMPUTED_VALUE"""),6680.0)</f>
        <v>6680</v>
      </c>
      <c r="E1053" s="1">
        <f>IFERROR(__xludf.DUMMYFUNCTION("""COMPUTED_VALUE"""),6780.0)</f>
        <v>6780</v>
      </c>
      <c r="F1053" s="1">
        <f>IFERROR(__xludf.DUMMYFUNCTION("""COMPUTED_VALUE"""),38640.0)</f>
        <v>38640</v>
      </c>
    </row>
    <row r="1054">
      <c r="A1054" s="2">
        <f>IFERROR(__xludf.DUMMYFUNCTION("""COMPUTED_VALUE"""),42740.64583333333)</f>
        <v>42740.64583</v>
      </c>
      <c r="B1054" s="1">
        <f>IFERROR(__xludf.DUMMYFUNCTION("""COMPUTED_VALUE"""),6760.0)</f>
        <v>6760</v>
      </c>
      <c r="C1054" s="1">
        <f>IFERROR(__xludf.DUMMYFUNCTION("""COMPUTED_VALUE"""),6780.0)</f>
        <v>6780</v>
      </c>
      <c r="D1054" s="1">
        <f>IFERROR(__xludf.DUMMYFUNCTION("""COMPUTED_VALUE"""),6660.0)</f>
        <v>6660</v>
      </c>
      <c r="E1054" s="1">
        <f>IFERROR(__xludf.DUMMYFUNCTION("""COMPUTED_VALUE"""),6740.0)</f>
        <v>6740</v>
      </c>
      <c r="F1054" s="1">
        <f>IFERROR(__xludf.DUMMYFUNCTION("""COMPUTED_VALUE"""),41259.0)</f>
        <v>41259</v>
      </c>
    </row>
    <row r="1055">
      <c r="A1055" s="2">
        <f>IFERROR(__xludf.DUMMYFUNCTION("""COMPUTED_VALUE"""),42741.64583333333)</f>
        <v>42741.64583</v>
      </c>
      <c r="B1055" s="1">
        <f>IFERROR(__xludf.DUMMYFUNCTION("""COMPUTED_VALUE"""),6740.0)</f>
        <v>6740</v>
      </c>
      <c r="C1055" s="1">
        <f>IFERROR(__xludf.DUMMYFUNCTION("""COMPUTED_VALUE"""),6740.0)</f>
        <v>6740</v>
      </c>
      <c r="D1055" s="1">
        <f>IFERROR(__xludf.DUMMYFUNCTION("""COMPUTED_VALUE"""),6640.0)</f>
        <v>6640</v>
      </c>
      <c r="E1055" s="1">
        <f>IFERROR(__xludf.DUMMYFUNCTION("""COMPUTED_VALUE"""),6740.0)</f>
        <v>6740</v>
      </c>
      <c r="F1055" s="1">
        <f>IFERROR(__xludf.DUMMYFUNCTION("""COMPUTED_VALUE"""),57753.0)</f>
        <v>57753</v>
      </c>
    </row>
    <row r="1056">
      <c r="A1056" s="2">
        <f>IFERROR(__xludf.DUMMYFUNCTION("""COMPUTED_VALUE"""),42744.64583333333)</f>
        <v>42744.64583</v>
      </c>
      <c r="B1056" s="1">
        <f>IFERROR(__xludf.DUMMYFUNCTION("""COMPUTED_VALUE"""),6680.0)</f>
        <v>6680</v>
      </c>
      <c r="C1056" s="1">
        <f>IFERROR(__xludf.DUMMYFUNCTION("""COMPUTED_VALUE"""),6750.0)</f>
        <v>6750</v>
      </c>
      <c r="D1056" s="1">
        <f>IFERROR(__xludf.DUMMYFUNCTION("""COMPUTED_VALUE"""),6600.0)</f>
        <v>6600</v>
      </c>
      <c r="E1056" s="1">
        <f>IFERROR(__xludf.DUMMYFUNCTION("""COMPUTED_VALUE"""),6720.0)</f>
        <v>6720</v>
      </c>
      <c r="F1056" s="1">
        <f>IFERROR(__xludf.DUMMYFUNCTION("""COMPUTED_VALUE"""),38886.0)</f>
        <v>38886</v>
      </c>
    </row>
    <row r="1057">
      <c r="A1057" s="2">
        <f>IFERROR(__xludf.DUMMYFUNCTION("""COMPUTED_VALUE"""),42745.64583333333)</f>
        <v>42745.64583</v>
      </c>
      <c r="B1057" s="1">
        <f>IFERROR(__xludf.DUMMYFUNCTION("""COMPUTED_VALUE"""),6740.0)</f>
        <v>6740</v>
      </c>
      <c r="C1057" s="1">
        <f>IFERROR(__xludf.DUMMYFUNCTION("""COMPUTED_VALUE"""),6770.0)</f>
        <v>6770</v>
      </c>
      <c r="D1057" s="1">
        <f>IFERROR(__xludf.DUMMYFUNCTION("""COMPUTED_VALUE"""),6650.0)</f>
        <v>6650</v>
      </c>
      <c r="E1057" s="1">
        <f>IFERROR(__xludf.DUMMYFUNCTION("""COMPUTED_VALUE"""),6750.0)</f>
        <v>6750</v>
      </c>
      <c r="F1057" s="1">
        <f>IFERROR(__xludf.DUMMYFUNCTION("""COMPUTED_VALUE"""),45870.0)</f>
        <v>45870</v>
      </c>
    </row>
    <row r="1058">
      <c r="A1058" s="2">
        <f>IFERROR(__xludf.DUMMYFUNCTION("""COMPUTED_VALUE"""),42746.64583333333)</f>
        <v>42746.64583</v>
      </c>
      <c r="B1058" s="1">
        <f>IFERROR(__xludf.DUMMYFUNCTION("""COMPUTED_VALUE"""),6750.0)</f>
        <v>6750</v>
      </c>
      <c r="C1058" s="1">
        <f>IFERROR(__xludf.DUMMYFUNCTION("""COMPUTED_VALUE"""),6790.0)</f>
        <v>6790</v>
      </c>
      <c r="D1058" s="1">
        <f>IFERROR(__xludf.DUMMYFUNCTION("""COMPUTED_VALUE"""),6690.0)</f>
        <v>6690</v>
      </c>
      <c r="E1058" s="1">
        <f>IFERROR(__xludf.DUMMYFUNCTION("""COMPUTED_VALUE"""),6780.0)</f>
        <v>6780</v>
      </c>
      <c r="F1058" s="1">
        <f>IFERROR(__xludf.DUMMYFUNCTION("""COMPUTED_VALUE"""),37475.0)</f>
        <v>37475</v>
      </c>
    </row>
    <row r="1059">
      <c r="A1059" s="2">
        <f>IFERROR(__xludf.DUMMYFUNCTION("""COMPUTED_VALUE"""),42747.64583333333)</f>
        <v>42747.64583</v>
      </c>
      <c r="B1059" s="1">
        <f>IFERROR(__xludf.DUMMYFUNCTION("""COMPUTED_VALUE"""),6980.0)</f>
        <v>6980</v>
      </c>
      <c r="C1059" s="1">
        <f>IFERROR(__xludf.DUMMYFUNCTION("""COMPUTED_VALUE"""),6990.0)</f>
        <v>6990</v>
      </c>
      <c r="D1059" s="1">
        <f>IFERROR(__xludf.DUMMYFUNCTION("""COMPUTED_VALUE"""),6770.0)</f>
        <v>6770</v>
      </c>
      <c r="E1059" s="1">
        <f>IFERROR(__xludf.DUMMYFUNCTION("""COMPUTED_VALUE"""),6810.0)</f>
        <v>6810</v>
      </c>
      <c r="F1059" s="1">
        <f>IFERROR(__xludf.DUMMYFUNCTION("""COMPUTED_VALUE"""),38231.0)</f>
        <v>38231</v>
      </c>
    </row>
    <row r="1060">
      <c r="A1060" s="2">
        <f>IFERROR(__xludf.DUMMYFUNCTION("""COMPUTED_VALUE"""),42748.64583333333)</f>
        <v>42748.64583</v>
      </c>
      <c r="B1060" s="1">
        <f>IFERROR(__xludf.DUMMYFUNCTION("""COMPUTED_VALUE"""),6810.0)</f>
        <v>6810</v>
      </c>
      <c r="C1060" s="1">
        <f>IFERROR(__xludf.DUMMYFUNCTION("""COMPUTED_VALUE"""),6870.0)</f>
        <v>6870</v>
      </c>
      <c r="D1060" s="1">
        <f>IFERROR(__xludf.DUMMYFUNCTION("""COMPUTED_VALUE"""),6760.0)</f>
        <v>6760</v>
      </c>
      <c r="E1060" s="1">
        <f>IFERROR(__xludf.DUMMYFUNCTION("""COMPUTED_VALUE"""),6850.0)</f>
        <v>6850</v>
      </c>
      <c r="F1060" s="1">
        <f>IFERROR(__xludf.DUMMYFUNCTION("""COMPUTED_VALUE"""),32811.0)</f>
        <v>32811</v>
      </c>
    </row>
    <row r="1061">
      <c r="A1061" s="2">
        <f>IFERROR(__xludf.DUMMYFUNCTION("""COMPUTED_VALUE"""),42751.64583333333)</f>
        <v>42751.64583</v>
      </c>
      <c r="B1061" s="1">
        <f>IFERROR(__xludf.DUMMYFUNCTION("""COMPUTED_VALUE"""),6840.0)</f>
        <v>6840</v>
      </c>
      <c r="C1061" s="1">
        <f>IFERROR(__xludf.DUMMYFUNCTION("""COMPUTED_VALUE"""),6860.0)</f>
        <v>6860</v>
      </c>
      <c r="D1061" s="1">
        <f>IFERROR(__xludf.DUMMYFUNCTION("""COMPUTED_VALUE"""),6730.0)</f>
        <v>6730</v>
      </c>
      <c r="E1061" s="1">
        <f>IFERROR(__xludf.DUMMYFUNCTION("""COMPUTED_VALUE"""),6790.0)</f>
        <v>6790</v>
      </c>
      <c r="F1061" s="1">
        <f>IFERROR(__xludf.DUMMYFUNCTION("""COMPUTED_VALUE"""),18719.0)</f>
        <v>18719</v>
      </c>
    </row>
    <row r="1062">
      <c r="A1062" s="2">
        <f>IFERROR(__xludf.DUMMYFUNCTION("""COMPUTED_VALUE"""),42752.64583333333)</f>
        <v>42752.64583</v>
      </c>
      <c r="B1062" s="1">
        <f>IFERROR(__xludf.DUMMYFUNCTION("""COMPUTED_VALUE"""),6800.0)</f>
        <v>6800</v>
      </c>
      <c r="C1062" s="1">
        <f>IFERROR(__xludf.DUMMYFUNCTION("""COMPUTED_VALUE"""),6860.0)</f>
        <v>6860</v>
      </c>
      <c r="D1062" s="1">
        <f>IFERROR(__xludf.DUMMYFUNCTION("""COMPUTED_VALUE"""),6700.0)</f>
        <v>6700</v>
      </c>
      <c r="E1062" s="1">
        <f>IFERROR(__xludf.DUMMYFUNCTION("""COMPUTED_VALUE"""),6740.0)</f>
        <v>6740</v>
      </c>
      <c r="F1062" s="1">
        <f>IFERROR(__xludf.DUMMYFUNCTION("""COMPUTED_VALUE"""),33632.0)</f>
        <v>33632</v>
      </c>
    </row>
    <row r="1063">
      <c r="A1063" s="2">
        <f>IFERROR(__xludf.DUMMYFUNCTION("""COMPUTED_VALUE"""),42753.64583333333)</f>
        <v>42753.64583</v>
      </c>
      <c r="B1063" s="1">
        <f>IFERROR(__xludf.DUMMYFUNCTION("""COMPUTED_VALUE"""),6660.0)</f>
        <v>6660</v>
      </c>
      <c r="C1063" s="1">
        <f>IFERROR(__xludf.DUMMYFUNCTION("""COMPUTED_VALUE"""),6750.0)</f>
        <v>6750</v>
      </c>
      <c r="D1063" s="1">
        <f>IFERROR(__xludf.DUMMYFUNCTION("""COMPUTED_VALUE"""),6660.0)</f>
        <v>6660</v>
      </c>
      <c r="E1063" s="1">
        <f>IFERROR(__xludf.DUMMYFUNCTION("""COMPUTED_VALUE"""),6710.0)</f>
        <v>6710</v>
      </c>
      <c r="F1063" s="1">
        <f>IFERROR(__xludf.DUMMYFUNCTION("""COMPUTED_VALUE"""),14526.0)</f>
        <v>14526</v>
      </c>
    </row>
    <row r="1064">
      <c r="A1064" s="2">
        <f>IFERROR(__xludf.DUMMYFUNCTION("""COMPUTED_VALUE"""),42754.64583333333)</f>
        <v>42754.64583</v>
      </c>
      <c r="B1064" s="1">
        <f>IFERROR(__xludf.DUMMYFUNCTION("""COMPUTED_VALUE"""),6720.0)</f>
        <v>6720</v>
      </c>
      <c r="C1064" s="1">
        <f>IFERROR(__xludf.DUMMYFUNCTION("""COMPUTED_VALUE"""),6740.0)</f>
        <v>6740</v>
      </c>
      <c r="D1064" s="1">
        <f>IFERROR(__xludf.DUMMYFUNCTION("""COMPUTED_VALUE"""),6670.0)</f>
        <v>6670</v>
      </c>
      <c r="E1064" s="1">
        <f>IFERROR(__xludf.DUMMYFUNCTION("""COMPUTED_VALUE"""),6690.0)</f>
        <v>6690</v>
      </c>
      <c r="F1064" s="1">
        <f>IFERROR(__xludf.DUMMYFUNCTION("""COMPUTED_VALUE"""),13853.0)</f>
        <v>13853</v>
      </c>
    </row>
    <row r="1065">
      <c r="A1065" s="2">
        <f>IFERROR(__xludf.DUMMYFUNCTION("""COMPUTED_VALUE"""),42755.64583333333)</f>
        <v>42755.64583</v>
      </c>
      <c r="B1065" s="1">
        <f>IFERROR(__xludf.DUMMYFUNCTION("""COMPUTED_VALUE"""),6780.0)</f>
        <v>6780</v>
      </c>
      <c r="C1065" s="1">
        <f>IFERROR(__xludf.DUMMYFUNCTION("""COMPUTED_VALUE"""),6790.0)</f>
        <v>6790</v>
      </c>
      <c r="D1065" s="1">
        <f>IFERROR(__xludf.DUMMYFUNCTION("""COMPUTED_VALUE"""),6650.0)</f>
        <v>6650</v>
      </c>
      <c r="E1065" s="1">
        <f>IFERROR(__xludf.DUMMYFUNCTION("""COMPUTED_VALUE"""),6700.0)</f>
        <v>6700</v>
      </c>
      <c r="F1065" s="1">
        <f>IFERROR(__xludf.DUMMYFUNCTION("""COMPUTED_VALUE"""),18133.0)</f>
        <v>18133</v>
      </c>
    </row>
    <row r="1066">
      <c r="A1066" s="2">
        <f>IFERROR(__xludf.DUMMYFUNCTION("""COMPUTED_VALUE"""),42758.64583333333)</f>
        <v>42758.64583</v>
      </c>
      <c r="B1066" s="1">
        <f>IFERROR(__xludf.DUMMYFUNCTION("""COMPUTED_VALUE"""),6780.0)</f>
        <v>6780</v>
      </c>
      <c r="C1066" s="1">
        <f>IFERROR(__xludf.DUMMYFUNCTION("""COMPUTED_VALUE"""),6780.0)</f>
        <v>6780</v>
      </c>
      <c r="D1066" s="1">
        <f>IFERROR(__xludf.DUMMYFUNCTION("""COMPUTED_VALUE"""),6470.0)</f>
        <v>6470</v>
      </c>
      <c r="E1066" s="1">
        <f>IFERROR(__xludf.DUMMYFUNCTION("""COMPUTED_VALUE"""),6470.0)</f>
        <v>6470</v>
      </c>
      <c r="F1066" s="1">
        <f>IFERROR(__xludf.DUMMYFUNCTION("""COMPUTED_VALUE"""),37835.0)</f>
        <v>37835</v>
      </c>
    </row>
    <row r="1067">
      <c r="A1067" s="2">
        <f>IFERROR(__xludf.DUMMYFUNCTION("""COMPUTED_VALUE"""),42759.64583333333)</f>
        <v>42759.64583</v>
      </c>
      <c r="B1067" s="1">
        <f>IFERROR(__xludf.DUMMYFUNCTION("""COMPUTED_VALUE"""),6490.0)</f>
        <v>6490</v>
      </c>
      <c r="C1067" s="1">
        <f>IFERROR(__xludf.DUMMYFUNCTION("""COMPUTED_VALUE"""),6500.0)</f>
        <v>6500</v>
      </c>
      <c r="D1067" s="1">
        <f>IFERROR(__xludf.DUMMYFUNCTION("""COMPUTED_VALUE"""),6380.0)</f>
        <v>6380</v>
      </c>
      <c r="E1067" s="1">
        <f>IFERROR(__xludf.DUMMYFUNCTION("""COMPUTED_VALUE"""),6470.0)</f>
        <v>6470</v>
      </c>
      <c r="F1067" s="1">
        <f>IFERROR(__xludf.DUMMYFUNCTION("""COMPUTED_VALUE"""),18678.0)</f>
        <v>18678</v>
      </c>
    </row>
    <row r="1068">
      <c r="A1068" s="2">
        <f>IFERROR(__xludf.DUMMYFUNCTION("""COMPUTED_VALUE"""),42760.64583333333)</f>
        <v>42760.64583</v>
      </c>
      <c r="B1068" s="1">
        <f>IFERROR(__xludf.DUMMYFUNCTION("""COMPUTED_VALUE"""),6470.0)</f>
        <v>6470</v>
      </c>
      <c r="C1068" s="1">
        <f>IFERROR(__xludf.DUMMYFUNCTION("""COMPUTED_VALUE"""),6550.0)</f>
        <v>6550</v>
      </c>
      <c r="D1068" s="1">
        <f>IFERROR(__xludf.DUMMYFUNCTION("""COMPUTED_VALUE"""),6430.0)</f>
        <v>6430</v>
      </c>
      <c r="E1068" s="1">
        <f>IFERROR(__xludf.DUMMYFUNCTION("""COMPUTED_VALUE"""),6500.0)</f>
        <v>6500</v>
      </c>
      <c r="F1068" s="1">
        <f>IFERROR(__xludf.DUMMYFUNCTION("""COMPUTED_VALUE"""),20045.0)</f>
        <v>20045</v>
      </c>
    </row>
    <row r="1069">
      <c r="A1069" s="2">
        <f>IFERROR(__xludf.DUMMYFUNCTION("""COMPUTED_VALUE"""),42761.64583333333)</f>
        <v>42761.64583</v>
      </c>
      <c r="B1069" s="1">
        <f>IFERROR(__xludf.DUMMYFUNCTION("""COMPUTED_VALUE"""),6540.0)</f>
        <v>6540</v>
      </c>
      <c r="C1069" s="1">
        <f>IFERROR(__xludf.DUMMYFUNCTION("""COMPUTED_VALUE"""),6770.0)</f>
        <v>6770</v>
      </c>
      <c r="D1069" s="1">
        <f>IFERROR(__xludf.DUMMYFUNCTION("""COMPUTED_VALUE"""),6440.0)</f>
        <v>6440</v>
      </c>
      <c r="E1069" s="1">
        <f>IFERROR(__xludf.DUMMYFUNCTION("""COMPUTED_VALUE"""),6520.0)</f>
        <v>6520</v>
      </c>
      <c r="F1069" s="1">
        <f>IFERROR(__xludf.DUMMYFUNCTION("""COMPUTED_VALUE"""),37634.0)</f>
        <v>37634</v>
      </c>
    </row>
    <row r="1070">
      <c r="A1070" s="2">
        <f>IFERROR(__xludf.DUMMYFUNCTION("""COMPUTED_VALUE"""),42766.64583333333)</f>
        <v>42766.64583</v>
      </c>
      <c r="B1070" s="1">
        <f>IFERROR(__xludf.DUMMYFUNCTION("""COMPUTED_VALUE"""),6520.0)</f>
        <v>6520</v>
      </c>
      <c r="C1070" s="1">
        <f>IFERROR(__xludf.DUMMYFUNCTION("""COMPUTED_VALUE"""),6590.0)</f>
        <v>6590</v>
      </c>
      <c r="D1070" s="1">
        <f>IFERROR(__xludf.DUMMYFUNCTION("""COMPUTED_VALUE"""),6430.0)</f>
        <v>6430</v>
      </c>
      <c r="E1070" s="1">
        <f>IFERROR(__xludf.DUMMYFUNCTION("""COMPUTED_VALUE"""),6510.0)</f>
        <v>6510</v>
      </c>
      <c r="F1070" s="1">
        <f>IFERROR(__xludf.DUMMYFUNCTION("""COMPUTED_VALUE"""),48006.0)</f>
        <v>48006</v>
      </c>
    </row>
    <row r="1071">
      <c r="A1071" s="2">
        <f>IFERROR(__xludf.DUMMYFUNCTION("""COMPUTED_VALUE"""),42767.64583333333)</f>
        <v>42767.64583</v>
      </c>
      <c r="B1071" s="1">
        <f>IFERROR(__xludf.DUMMYFUNCTION("""COMPUTED_VALUE"""),6500.0)</f>
        <v>6500</v>
      </c>
      <c r="C1071" s="1">
        <f>IFERROR(__xludf.DUMMYFUNCTION("""COMPUTED_VALUE"""),6550.0)</f>
        <v>6550</v>
      </c>
      <c r="D1071" s="1">
        <f>IFERROR(__xludf.DUMMYFUNCTION("""COMPUTED_VALUE"""),6400.0)</f>
        <v>6400</v>
      </c>
      <c r="E1071" s="1">
        <f>IFERROR(__xludf.DUMMYFUNCTION("""COMPUTED_VALUE"""),6450.0)</f>
        <v>6450</v>
      </c>
      <c r="F1071" s="1">
        <f>IFERROR(__xludf.DUMMYFUNCTION("""COMPUTED_VALUE"""),39975.0)</f>
        <v>39975</v>
      </c>
    </row>
    <row r="1072">
      <c r="A1072" s="2">
        <f>IFERROR(__xludf.DUMMYFUNCTION("""COMPUTED_VALUE"""),42768.64583333333)</f>
        <v>42768.64583</v>
      </c>
      <c r="B1072" s="1">
        <f>IFERROR(__xludf.DUMMYFUNCTION("""COMPUTED_VALUE"""),6480.0)</f>
        <v>6480</v>
      </c>
      <c r="C1072" s="1">
        <f>IFERROR(__xludf.DUMMYFUNCTION("""COMPUTED_VALUE"""),6550.0)</f>
        <v>6550</v>
      </c>
      <c r="D1072" s="1">
        <f>IFERROR(__xludf.DUMMYFUNCTION("""COMPUTED_VALUE"""),6430.0)</f>
        <v>6430</v>
      </c>
      <c r="E1072" s="1">
        <f>IFERROR(__xludf.DUMMYFUNCTION("""COMPUTED_VALUE"""),6450.0)</f>
        <v>6450</v>
      </c>
      <c r="F1072" s="1">
        <f>IFERROR(__xludf.DUMMYFUNCTION("""COMPUTED_VALUE"""),23800.0)</f>
        <v>23800</v>
      </c>
    </row>
    <row r="1073">
      <c r="A1073" s="2">
        <f>IFERROR(__xludf.DUMMYFUNCTION("""COMPUTED_VALUE"""),42769.64583333333)</f>
        <v>42769.64583</v>
      </c>
      <c r="B1073" s="1">
        <f>IFERROR(__xludf.DUMMYFUNCTION("""COMPUTED_VALUE"""),6430.0)</f>
        <v>6430</v>
      </c>
      <c r="C1073" s="1">
        <f>IFERROR(__xludf.DUMMYFUNCTION("""COMPUTED_VALUE"""),6680.0)</f>
        <v>6680</v>
      </c>
      <c r="D1073" s="1">
        <f>IFERROR(__xludf.DUMMYFUNCTION("""COMPUTED_VALUE"""),6410.0)</f>
        <v>6410</v>
      </c>
      <c r="E1073" s="1">
        <f>IFERROR(__xludf.DUMMYFUNCTION("""COMPUTED_VALUE"""),6440.0)</f>
        <v>6440</v>
      </c>
      <c r="F1073" s="1">
        <f>IFERROR(__xludf.DUMMYFUNCTION("""COMPUTED_VALUE"""),17568.0)</f>
        <v>17568</v>
      </c>
    </row>
    <row r="1074">
      <c r="A1074" s="2">
        <f>IFERROR(__xludf.DUMMYFUNCTION("""COMPUTED_VALUE"""),42772.64583333333)</f>
        <v>42772.64583</v>
      </c>
      <c r="B1074" s="1">
        <f>IFERROR(__xludf.DUMMYFUNCTION("""COMPUTED_VALUE"""),6470.0)</f>
        <v>6470</v>
      </c>
      <c r="C1074" s="1">
        <f>IFERROR(__xludf.DUMMYFUNCTION("""COMPUTED_VALUE"""),6470.0)</f>
        <v>6470</v>
      </c>
      <c r="D1074" s="1">
        <f>IFERROR(__xludf.DUMMYFUNCTION("""COMPUTED_VALUE"""),6390.0)</f>
        <v>6390</v>
      </c>
      <c r="E1074" s="1">
        <f>IFERROR(__xludf.DUMMYFUNCTION("""COMPUTED_VALUE"""),6440.0)</f>
        <v>6440</v>
      </c>
      <c r="F1074" s="1">
        <f>IFERROR(__xludf.DUMMYFUNCTION("""COMPUTED_VALUE"""),12178.0)</f>
        <v>12178</v>
      </c>
    </row>
    <row r="1075">
      <c r="A1075" s="2">
        <f>IFERROR(__xludf.DUMMYFUNCTION("""COMPUTED_VALUE"""),42773.64583333333)</f>
        <v>42773.64583</v>
      </c>
      <c r="B1075" s="1">
        <f>IFERROR(__xludf.DUMMYFUNCTION("""COMPUTED_VALUE"""),6480.0)</f>
        <v>6480</v>
      </c>
      <c r="C1075" s="1">
        <f>IFERROR(__xludf.DUMMYFUNCTION("""COMPUTED_VALUE"""),6510.0)</f>
        <v>6510</v>
      </c>
      <c r="D1075" s="1">
        <f>IFERROR(__xludf.DUMMYFUNCTION("""COMPUTED_VALUE"""),6420.0)</f>
        <v>6420</v>
      </c>
      <c r="E1075" s="1">
        <f>IFERROR(__xludf.DUMMYFUNCTION("""COMPUTED_VALUE"""),6500.0)</f>
        <v>6500</v>
      </c>
      <c r="F1075" s="1">
        <f>IFERROR(__xludf.DUMMYFUNCTION("""COMPUTED_VALUE"""),18354.0)</f>
        <v>18354</v>
      </c>
    </row>
    <row r="1076">
      <c r="A1076" s="2">
        <f>IFERROR(__xludf.DUMMYFUNCTION("""COMPUTED_VALUE"""),42774.64583333333)</f>
        <v>42774.64583</v>
      </c>
      <c r="B1076" s="1">
        <f>IFERROR(__xludf.DUMMYFUNCTION("""COMPUTED_VALUE"""),6500.0)</f>
        <v>6500</v>
      </c>
      <c r="C1076" s="1">
        <f>IFERROR(__xludf.DUMMYFUNCTION("""COMPUTED_VALUE"""),6600.0)</f>
        <v>6600</v>
      </c>
      <c r="D1076" s="1">
        <f>IFERROR(__xludf.DUMMYFUNCTION("""COMPUTED_VALUE"""),6210.0)</f>
        <v>6210</v>
      </c>
      <c r="E1076" s="1">
        <f>IFERROR(__xludf.DUMMYFUNCTION("""COMPUTED_VALUE"""),6400.0)</f>
        <v>6400</v>
      </c>
      <c r="F1076" s="1">
        <f>IFERROR(__xludf.DUMMYFUNCTION("""COMPUTED_VALUE"""),35570.0)</f>
        <v>35570</v>
      </c>
    </row>
    <row r="1077">
      <c r="A1077" s="2">
        <f>IFERROR(__xludf.DUMMYFUNCTION("""COMPUTED_VALUE"""),42775.64583333333)</f>
        <v>42775.64583</v>
      </c>
      <c r="B1077" s="1">
        <f>IFERROR(__xludf.DUMMYFUNCTION("""COMPUTED_VALUE"""),6400.0)</f>
        <v>6400</v>
      </c>
      <c r="C1077" s="1">
        <f>IFERROR(__xludf.DUMMYFUNCTION("""COMPUTED_VALUE"""),6490.0)</f>
        <v>6490</v>
      </c>
      <c r="D1077" s="1">
        <f>IFERROR(__xludf.DUMMYFUNCTION("""COMPUTED_VALUE"""),6200.0)</f>
        <v>6200</v>
      </c>
      <c r="E1077" s="1">
        <f>IFERROR(__xludf.DUMMYFUNCTION("""COMPUTED_VALUE"""),6350.0)</f>
        <v>6350</v>
      </c>
      <c r="F1077" s="1">
        <f>IFERROR(__xludf.DUMMYFUNCTION("""COMPUTED_VALUE"""),25899.0)</f>
        <v>25899</v>
      </c>
    </row>
    <row r="1078">
      <c r="A1078" s="2">
        <f>IFERROR(__xludf.DUMMYFUNCTION("""COMPUTED_VALUE"""),42776.64583333333)</f>
        <v>42776.64583</v>
      </c>
      <c r="B1078" s="1">
        <f>IFERROR(__xludf.DUMMYFUNCTION("""COMPUTED_VALUE"""),6350.0)</f>
        <v>6350</v>
      </c>
      <c r="C1078" s="1">
        <f>IFERROR(__xludf.DUMMYFUNCTION("""COMPUTED_VALUE"""),6400.0)</f>
        <v>6400</v>
      </c>
      <c r="D1078" s="1">
        <f>IFERROR(__xludf.DUMMYFUNCTION("""COMPUTED_VALUE"""),6130.0)</f>
        <v>6130</v>
      </c>
      <c r="E1078" s="1">
        <f>IFERROR(__xludf.DUMMYFUNCTION("""COMPUTED_VALUE"""),6200.0)</f>
        <v>6200</v>
      </c>
      <c r="F1078" s="1">
        <f>IFERROR(__xludf.DUMMYFUNCTION("""COMPUTED_VALUE"""),47164.0)</f>
        <v>47164</v>
      </c>
    </row>
    <row r="1079">
      <c r="A1079" s="2">
        <f>IFERROR(__xludf.DUMMYFUNCTION("""COMPUTED_VALUE"""),42779.64583333333)</f>
        <v>42779.64583</v>
      </c>
      <c r="B1079" s="1">
        <f>IFERROR(__xludf.DUMMYFUNCTION("""COMPUTED_VALUE"""),6200.0)</f>
        <v>6200</v>
      </c>
      <c r="C1079" s="1">
        <f>IFERROR(__xludf.DUMMYFUNCTION("""COMPUTED_VALUE"""),6600.0)</f>
        <v>6600</v>
      </c>
      <c r="D1079" s="1">
        <f>IFERROR(__xludf.DUMMYFUNCTION("""COMPUTED_VALUE"""),6200.0)</f>
        <v>6200</v>
      </c>
      <c r="E1079" s="1">
        <f>IFERROR(__xludf.DUMMYFUNCTION("""COMPUTED_VALUE"""),6360.0)</f>
        <v>6360</v>
      </c>
      <c r="F1079" s="1">
        <f>IFERROR(__xludf.DUMMYFUNCTION("""COMPUTED_VALUE"""),62828.0)</f>
        <v>62828</v>
      </c>
    </row>
    <row r="1080">
      <c r="A1080" s="2">
        <f>IFERROR(__xludf.DUMMYFUNCTION("""COMPUTED_VALUE"""),42780.64583333333)</f>
        <v>42780.64583</v>
      </c>
      <c r="B1080" s="1">
        <f>IFERROR(__xludf.DUMMYFUNCTION("""COMPUTED_VALUE"""),6360.0)</f>
        <v>6360</v>
      </c>
      <c r="C1080" s="1">
        <f>IFERROR(__xludf.DUMMYFUNCTION("""COMPUTED_VALUE"""),6400.0)</f>
        <v>6400</v>
      </c>
      <c r="D1080" s="1">
        <f>IFERROR(__xludf.DUMMYFUNCTION("""COMPUTED_VALUE"""),6200.0)</f>
        <v>6200</v>
      </c>
      <c r="E1080" s="1">
        <f>IFERROR(__xludf.DUMMYFUNCTION("""COMPUTED_VALUE"""),6200.0)</f>
        <v>6200</v>
      </c>
      <c r="F1080" s="1">
        <f>IFERROR(__xludf.DUMMYFUNCTION("""COMPUTED_VALUE"""),23378.0)</f>
        <v>23378</v>
      </c>
    </row>
    <row r="1081">
      <c r="A1081" s="2">
        <f>IFERROR(__xludf.DUMMYFUNCTION("""COMPUTED_VALUE"""),42781.64583333333)</f>
        <v>42781.64583</v>
      </c>
      <c r="B1081" s="1">
        <f>IFERROR(__xludf.DUMMYFUNCTION("""COMPUTED_VALUE"""),6200.0)</f>
        <v>6200</v>
      </c>
      <c r="C1081" s="1">
        <f>IFERROR(__xludf.DUMMYFUNCTION("""COMPUTED_VALUE"""),6240.0)</f>
        <v>6240</v>
      </c>
      <c r="D1081" s="1">
        <f>IFERROR(__xludf.DUMMYFUNCTION("""COMPUTED_VALUE"""),6050.0)</f>
        <v>6050</v>
      </c>
      <c r="E1081" s="1">
        <f>IFERROR(__xludf.DUMMYFUNCTION("""COMPUTED_VALUE"""),6190.0)</f>
        <v>6190</v>
      </c>
      <c r="F1081" s="1">
        <f>IFERROR(__xludf.DUMMYFUNCTION("""COMPUTED_VALUE"""),45619.0)</f>
        <v>45619</v>
      </c>
    </row>
    <row r="1082">
      <c r="A1082" s="2">
        <f>IFERROR(__xludf.DUMMYFUNCTION("""COMPUTED_VALUE"""),42782.64583333333)</f>
        <v>42782.64583</v>
      </c>
      <c r="B1082" s="1">
        <f>IFERROR(__xludf.DUMMYFUNCTION("""COMPUTED_VALUE"""),6240.0)</f>
        <v>6240</v>
      </c>
      <c r="C1082" s="1">
        <f>IFERROR(__xludf.DUMMYFUNCTION("""COMPUTED_VALUE"""),6420.0)</f>
        <v>6420</v>
      </c>
      <c r="D1082" s="1">
        <f>IFERROR(__xludf.DUMMYFUNCTION("""COMPUTED_VALUE"""),6110.0)</f>
        <v>6110</v>
      </c>
      <c r="E1082" s="1">
        <f>IFERROR(__xludf.DUMMYFUNCTION("""COMPUTED_VALUE"""),6170.0)</f>
        <v>6170</v>
      </c>
      <c r="F1082" s="1">
        <f>IFERROR(__xludf.DUMMYFUNCTION("""COMPUTED_VALUE"""),23922.0)</f>
        <v>23922</v>
      </c>
    </row>
    <row r="1083">
      <c r="A1083" s="2">
        <f>IFERROR(__xludf.DUMMYFUNCTION("""COMPUTED_VALUE"""),42783.64583333333)</f>
        <v>42783.64583</v>
      </c>
      <c r="B1083" s="1">
        <f>IFERROR(__xludf.DUMMYFUNCTION("""COMPUTED_VALUE"""),6250.0)</f>
        <v>6250</v>
      </c>
      <c r="C1083" s="1">
        <f>IFERROR(__xludf.DUMMYFUNCTION("""COMPUTED_VALUE"""),6250.0)</f>
        <v>6250</v>
      </c>
      <c r="D1083" s="1">
        <f>IFERROR(__xludf.DUMMYFUNCTION("""COMPUTED_VALUE"""),6050.0)</f>
        <v>6050</v>
      </c>
      <c r="E1083" s="1">
        <f>IFERROR(__xludf.DUMMYFUNCTION("""COMPUTED_VALUE"""),6100.0)</f>
        <v>6100</v>
      </c>
      <c r="F1083" s="1">
        <f>IFERROR(__xludf.DUMMYFUNCTION("""COMPUTED_VALUE"""),24893.0)</f>
        <v>24893</v>
      </c>
    </row>
    <row r="1084">
      <c r="A1084" s="2">
        <f>IFERROR(__xludf.DUMMYFUNCTION("""COMPUTED_VALUE"""),42786.64583333333)</f>
        <v>42786.64583</v>
      </c>
      <c r="B1084" s="1">
        <f>IFERROR(__xludf.DUMMYFUNCTION("""COMPUTED_VALUE"""),6170.0)</f>
        <v>6170</v>
      </c>
      <c r="C1084" s="1">
        <f>IFERROR(__xludf.DUMMYFUNCTION("""COMPUTED_VALUE"""),6170.0)</f>
        <v>6170</v>
      </c>
      <c r="D1084" s="1">
        <f>IFERROR(__xludf.DUMMYFUNCTION("""COMPUTED_VALUE"""),5950.0)</f>
        <v>5950</v>
      </c>
      <c r="E1084" s="1">
        <f>IFERROR(__xludf.DUMMYFUNCTION("""COMPUTED_VALUE"""),6030.0)</f>
        <v>6030</v>
      </c>
      <c r="F1084" s="1">
        <f>IFERROR(__xludf.DUMMYFUNCTION("""COMPUTED_VALUE"""),41119.0)</f>
        <v>41119</v>
      </c>
    </row>
    <row r="1085">
      <c r="A1085" s="2">
        <f>IFERROR(__xludf.DUMMYFUNCTION("""COMPUTED_VALUE"""),42787.64583333333)</f>
        <v>42787.64583</v>
      </c>
      <c r="B1085" s="1">
        <f>IFERROR(__xludf.DUMMYFUNCTION("""COMPUTED_VALUE"""),6030.0)</f>
        <v>6030</v>
      </c>
      <c r="C1085" s="1">
        <f>IFERROR(__xludf.DUMMYFUNCTION("""COMPUTED_VALUE"""),6180.0)</f>
        <v>6180</v>
      </c>
      <c r="D1085" s="1">
        <f>IFERROR(__xludf.DUMMYFUNCTION("""COMPUTED_VALUE"""),5990.0)</f>
        <v>5990</v>
      </c>
      <c r="E1085" s="1">
        <f>IFERROR(__xludf.DUMMYFUNCTION("""COMPUTED_VALUE"""),6160.0)</f>
        <v>6160</v>
      </c>
      <c r="F1085" s="1">
        <f>IFERROR(__xludf.DUMMYFUNCTION("""COMPUTED_VALUE"""),33000.0)</f>
        <v>33000</v>
      </c>
    </row>
    <row r="1086">
      <c r="A1086" s="2">
        <f>IFERROR(__xludf.DUMMYFUNCTION("""COMPUTED_VALUE"""),42788.64583333333)</f>
        <v>42788.64583</v>
      </c>
      <c r="B1086" s="1">
        <f>IFERROR(__xludf.DUMMYFUNCTION("""COMPUTED_VALUE"""),6170.0)</f>
        <v>6170</v>
      </c>
      <c r="C1086" s="1">
        <f>IFERROR(__xludf.DUMMYFUNCTION("""COMPUTED_VALUE"""),6240.0)</f>
        <v>6240</v>
      </c>
      <c r="D1086" s="1">
        <f>IFERROR(__xludf.DUMMYFUNCTION("""COMPUTED_VALUE"""),6120.0)</f>
        <v>6120</v>
      </c>
      <c r="E1086" s="1">
        <f>IFERROR(__xludf.DUMMYFUNCTION("""COMPUTED_VALUE"""),6160.0)</f>
        <v>6160</v>
      </c>
      <c r="F1086" s="1">
        <f>IFERROR(__xludf.DUMMYFUNCTION("""COMPUTED_VALUE"""),41159.0)</f>
        <v>41159</v>
      </c>
    </row>
    <row r="1087">
      <c r="A1087" s="2">
        <f>IFERROR(__xludf.DUMMYFUNCTION("""COMPUTED_VALUE"""),42789.64583333333)</f>
        <v>42789.64583</v>
      </c>
      <c r="B1087" s="1">
        <f>IFERROR(__xludf.DUMMYFUNCTION("""COMPUTED_VALUE"""),6250.0)</f>
        <v>6250</v>
      </c>
      <c r="C1087" s="1">
        <f>IFERROR(__xludf.DUMMYFUNCTION("""COMPUTED_VALUE"""),6300.0)</f>
        <v>6300</v>
      </c>
      <c r="D1087" s="1">
        <f>IFERROR(__xludf.DUMMYFUNCTION("""COMPUTED_VALUE"""),6130.0)</f>
        <v>6130</v>
      </c>
      <c r="E1087" s="1">
        <f>IFERROR(__xludf.DUMMYFUNCTION("""COMPUTED_VALUE"""),6250.0)</f>
        <v>6250</v>
      </c>
      <c r="F1087" s="1">
        <f>IFERROR(__xludf.DUMMYFUNCTION("""COMPUTED_VALUE"""),25399.0)</f>
        <v>25399</v>
      </c>
    </row>
    <row r="1088">
      <c r="A1088" s="2">
        <f>IFERROR(__xludf.DUMMYFUNCTION("""COMPUTED_VALUE"""),42790.64583333333)</f>
        <v>42790.64583</v>
      </c>
      <c r="B1088" s="1">
        <f>IFERROR(__xludf.DUMMYFUNCTION("""COMPUTED_VALUE"""),6250.0)</f>
        <v>6250</v>
      </c>
      <c r="C1088" s="1">
        <f>IFERROR(__xludf.DUMMYFUNCTION("""COMPUTED_VALUE"""),7220.0)</f>
        <v>7220</v>
      </c>
      <c r="D1088" s="1">
        <f>IFERROR(__xludf.DUMMYFUNCTION("""COMPUTED_VALUE"""),6210.0)</f>
        <v>6210</v>
      </c>
      <c r="E1088" s="1">
        <f>IFERROR(__xludf.DUMMYFUNCTION("""COMPUTED_VALUE"""),6800.0)</f>
        <v>6800</v>
      </c>
      <c r="F1088" s="1">
        <f>IFERROR(__xludf.DUMMYFUNCTION("""COMPUTED_VALUE"""),122201.0)</f>
        <v>122201</v>
      </c>
    </row>
    <row r="1089">
      <c r="A1089" s="2">
        <f>IFERROR(__xludf.DUMMYFUNCTION("""COMPUTED_VALUE"""),42793.64583333333)</f>
        <v>42793.64583</v>
      </c>
      <c r="B1089" s="1">
        <f>IFERROR(__xludf.DUMMYFUNCTION("""COMPUTED_VALUE"""),6950.0)</f>
        <v>6950</v>
      </c>
      <c r="C1089" s="1">
        <f>IFERROR(__xludf.DUMMYFUNCTION("""COMPUTED_VALUE"""),7080.0)</f>
        <v>7080</v>
      </c>
      <c r="D1089" s="1">
        <f>IFERROR(__xludf.DUMMYFUNCTION("""COMPUTED_VALUE"""),6840.0)</f>
        <v>6840</v>
      </c>
      <c r="E1089" s="1">
        <f>IFERROR(__xludf.DUMMYFUNCTION("""COMPUTED_VALUE"""),6990.0)</f>
        <v>6990</v>
      </c>
      <c r="F1089" s="1">
        <f>IFERROR(__xludf.DUMMYFUNCTION("""COMPUTED_VALUE"""),115724.0)</f>
        <v>115724</v>
      </c>
    </row>
    <row r="1090">
      <c r="A1090" s="2">
        <f>IFERROR(__xludf.DUMMYFUNCTION("""COMPUTED_VALUE"""),42794.64583333333)</f>
        <v>42794.64583</v>
      </c>
      <c r="B1090" s="1">
        <f>IFERROR(__xludf.DUMMYFUNCTION("""COMPUTED_VALUE"""),7000.0)</f>
        <v>7000</v>
      </c>
      <c r="C1090" s="1">
        <f>IFERROR(__xludf.DUMMYFUNCTION("""COMPUTED_VALUE"""),7380.0)</f>
        <v>7380</v>
      </c>
      <c r="D1090" s="1">
        <f>IFERROR(__xludf.DUMMYFUNCTION("""COMPUTED_VALUE"""),6810.0)</f>
        <v>6810</v>
      </c>
      <c r="E1090" s="1">
        <f>IFERROR(__xludf.DUMMYFUNCTION("""COMPUTED_VALUE"""),6810.0)</f>
        <v>6810</v>
      </c>
      <c r="F1090" s="1">
        <f>IFERROR(__xludf.DUMMYFUNCTION("""COMPUTED_VALUE"""),188162.0)</f>
        <v>188162</v>
      </c>
    </row>
    <row r="1091">
      <c r="A1091" s="2">
        <f>IFERROR(__xludf.DUMMYFUNCTION("""COMPUTED_VALUE"""),42796.64583333333)</f>
        <v>42796.64583</v>
      </c>
      <c r="B1091" s="1">
        <f>IFERROR(__xludf.DUMMYFUNCTION("""COMPUTED_VALUE"""),6950.0)</f>
        <v>6950</v>
      </c>
      <c r="C1091" s="1">
        <f>IFERROR(__xludf.DUMMYFUNCTION("""COMPUTED_VALUE"""),7000.0)</f>
        <v>7000</v>
      </c>
      <c r="D1091" s="1">
        <f>IFERROR(__xludf.DUMMYFUNCTION("""COMPUTED_VALUE"""),6720.0)</f>
        <v>6720</v>
      </c>
      <c r="E1091" s="1">
        <f>IFERROR(__xludf.DUMMYFUNCTION("""COMPUTED_VALUE"""),6760.0)</f>
        <v>6760</v>
      </c>
      <c r="F1091" s="1">
        <f>IFERROR(__xludf.DUMMYFUNCTION("""COMPUTED_VALUE"""),37213.0)</f>
        <v>37213</v>
      </c>
    </row>
    <row r="1092">
      <c r="A1092" s="2">
        <f>IFERROR(__xludf.DUMMYFUNCTION("""COMPUTED_VALUE"""),42797.64583333333)</f>
        <v>42797.64583</v>
      </c>
      <c r="B1092" s="1">
        <f>IFERROR(__xludf.DUMMYFUNCTION("""COMPUTED_VALUE"""),6770.0)</f>
        <v>6770</v>
      </c>
      <c r="C1092" s="1">
        <f>IFERROR(__xludf.DUMMYFUNCTION("""COMPUTED_VALUE"""),6780.0)</f>
        <v>6780</v>
      </c>
      <c r="D1092" s="1">
        <f>IFERROR(__xludf.DUMMYFUNCTION("""COMPUTED_VALUE"""),6500.0)</f>
        <v>6500</v>
      </c>
      <c r="E1092" s="1">
        <f>IFERROR(__xludf.DUMMYFUNCTION("""COMPUTED_VALUE"""),6530.0)</f>
        <v>6530</v>
      </c>
      <c r="F1092" s="1">
        <f>IFERROR(__xludf.DUMMYFUNCTION("""COMPUTED_VALUE"""),46975.0)</f>
        <v>46975</v>
      </c>
    </row>
    <row r="1093">
      <c r="A1093" s="2">
        <f>IFERROR(__xludf.DUMMYFUNCTION("""COMPUTED_VALUE"""),42800.64583333333)</f>
        <v>42800.64583</v>
      </c>
      <c r="B1093" s="1">
        <f>IFERROR(__xludf.DUMMYFUNCTION("""COMPUTED_VALUE"""),6600.0)</f>
        <v>6600</v>
      </c>
      <c r="C1093" s="1">
        <f>IFERROR(__xludf.DUMMYFUNCTION("""COMPUTED_VALUE"""),6610.0)</f>
        <v>6610</v>
      </c>
      <c r="D1093" s="1">
        <f>IFERROR(__xludf.DUMMYFUNCTION("""COMPUTED_VALUE"""),6470.0)</f>
        <v>6470</v>
      </c>
      <c r="E1093" s="1">
        <f>IFERROR(__xludf.DUMMYFUNCTION("""COMPUTED_VALUE"""),6600.0)</f>
        <v>6600</v>
      </c>
      <c r="F1093" s="1">
        <f>IFERROR(__xludf.DUMMYFUNCTION("""COMPUTED_VALUE"""),14515.0)</f>
        <v>14515</v>
      </c>
    </row>
    <row r="1094">
      <c r="A1094" s="2">
        <f>IFERROR(__xludf.DUMMYFUNCTION("""COMPUTED_VALUE"""),42801.64583333333)</f>
        <v>42801.64583</v>
      </c>
      <c r="B1094" s="1">
        <f>IFERROR(__xludf.DUMMYFUNCTION("""COMPUTED_VALUE"""),6670.0)</f>
        <v>6670</v>
      </c>
      <c r="C1094" s="1">
        <f>IFERROR(__xludf.DUMMYFUNCTION("""COMPUTED_VALUE"""),6670.0)</f>
        <v>6670</v>
      </c>
      <c r="D1094" s="1">
        <f>IFERROR(__xludf.DUMMYFUNCTION("""COMPUTED_VALUE"""),6500.0)</f>
        <v>6500</v>
      </c>
      <c r="E1094" s="1">
        <f>IFERROR(__xludf.DUMMYFUNCTION("""COMPUTED_VALUE"""),6630.0)</f>
        <v>6630</v>
      </c>
      <c r="F1094" s="1">
        <f>IFERROR(__xludf.DUMMYFUNCTION("""COMPUTED_VALUE"""),19933.0)</f>
        <v>19933</v>
      </c>
    </row>
    <row r="1095">
      <c r="A1095" s="2">
        <f>IFERROR(__xludf.DUMMYFUNCTION("""COMPUTED_VALUE"""),42802.64583333333)</f>
        <v>42802.64583</v>
      </c>
      <c r="B1095" s="1">
        <f>IFERROR(__xludf.DUMMYFUNCTION("""COMPUTED_VALUE"""),6630.0)</f>
        <v>6630</v>
      </c>
      <c r="C1095" s="1">
        <f>IFERROR(__xludf.DUMMYFUNCTION("""COMPUTED_VALUE"""),6650.0)</f>
        <v>6650</v>
      </c>
      <c r="D1095" s="1">
        <f>IFERROR(__xludf.DUMMYFUNCTION("""COMPUTED_VALUE"""),6500.0)</f>
        <v>6500</v>
      </c>
      <c r="E1095" s="1">
        <f>IFERROR(__xludf.DUMMYFUNCTION("""COMPUTED_VALUE"""),6650.0)</f>
        <v>6650</v>
      </c>
      <c r="F1095" s="1">
        <f>IFERROR(__xludf.DUMMYFUNCTION("""COMPUTED_VALUE"""),30630.0)</f>
        <v>30630</v>
      </c>
    </row>
    <row r="1096">
      <c r="A1096" s="2">
        <f>IFERROR(__xludf.DUMMYFUNCTION("""COMPUTED_VALUE"""),42803.64583333333)</f>
        <v>42803.64583</v>
      </c>
      <c r="B1096" s="1">
        <f>IFERROR(__xludf.DUMMYFUNCTION("""COMPUTED_VALUE"""),6690.0)</f>
        <v>6690</v>
      </c>
      <c r="C1096" s="1">
        <f>IFERROR(__xludf.DUMMYFUNCTION("""COMPUTED_VALUE"""),6880.0)</f>
        <v>6880</v>
      </c>
      <c r="D1096" s="1">
        <f>IFERROR(__xludf.DUMMYFUNCTION("""COMPUTED_VALUE"""),6680.0)</f>
        <v>6680</v>
      </c>
      <c r="E1096" s="1">
        <f>IFERROR(__xludf.DUMMYFUNCTION("""COMPUTED_VALUE"""),6730.0)</f>
        <v>6730</v>
      </c>
      <c r="F1096" s="1">
        <f>IFERROR(__xludf.DUMMYFUNCTION("""COMPUTED_VALUE"""),48090.0)</f>
        <v>48090</v>
      </c>
    </row>
    <row r="1097">
      <c r="A1097" s="2">
        <f>IFERROR(__xludf.DUMMYFUNCTION("""COMPUTED_VALUE"""),42804.64583333333)</f>
        <v>42804.64583</v>
      </c>
      <c r="B1097" s="1">
        <f>IFERROR(__xludf.DUMMYFUNCTION("""COMPUTED_VALUE"""),6740.0)</f>
        <v>6740</v>
      </c>
      <c r="C1097" s="1">
        <f>IFERROR(__xludf.DUMMYFUNCTION("""COMPUTED_VALUE"""),6770.0)</f>
        <v>6770</v>
      </c>
      <c r="D1097" s="1">
        <f>IFERROR(__xludf.DUMMYFUNCTION("""COMPUTED_VALUE"""),6490.0)</f>
        <v>6490</v>
      </c>
      <c r="E1097" s="1">
        <f>IFERROR(__xludf.DUMMYFUNCTION("""COMPUTED_VALUE"""),6510.0)</f>
        <v>6510</v>
      </c>
      <c r="F1097" s="1">
        <f>IFERROR(__xludf.DUMMYFUNCTION("""COMPUTED_VALUE"""),46017.0)</f>
        <v>46017</v>
      </c>
    </row>
    <row r="1098">
      <c r="A1098" s="2">
        <f>IFERROR(__xludf.DUMMYFUNCTION("""COMPUTED_VALUE"""),42807.64583333333)</f>
        <v>42807.64583</v>
      </c>
      <c r="B1098" s="1">
        <f>IFERROR(__xludf.DUMMYFUNCTION("""COMPUTED_VALUE"""),6490.0)</f>
        <v>6490</v>
      </c>
      <c r="C1098" s="1">
        <f>IFERROR(__xludf.DUMMYFUNCTION("""COMPUTED_VALUE"""),6550.0)</f>
        <v>6550</v>
      </c>
      <c r="D1098" s="1">
        <f>IFERROR(__xludf.DUMMYFUNCTION("""COMPUTED_VALUE"""),6440.0)</f>
        <v>6440</v>
      </c>
      <c r="E1098" s="1">
        <f>IFERROR(__xludf.DUMMYFUNCTION("""COMPUTED_VALUE"""),6450.0)</f>
        <v>6450</v>
      </c>
      <c r="F1098" s="1">
        <f>IFERROR(__xludf.DUMMYFUNCTION("""COMPUTED_VALUE"""),30973.0)</f>
        <v>30973</v>
      </c>
    </row>
    <row r="1099">
      <c r="A1099" s="2">
        <f>IFERROR(__xludf.DUMMYFUNCTION("""COMPUTED_VALUE"""),42808.64583333333)</f>
        <v>42808.64583</v>
      </c>
      <c r="B1099" s="1">
        <f>IFERROR(__xludf.DUMMYFUNCTION("""COMPUTED_VALUE"""),6450.0)</f>
        <v>6450</v>
      </c>
      <c r="C1099" s="1">
        <f>IFERROR(__xludf.DUMMYFUNCTION("""COMPUTED_VALUE"""),6470.0)</f>
        <v>6470</v>
      </c>
      <c r="D1099" s="1">
        <f>IFERROR(__xludf.DUMMYFUNCTION("""COMPUTED_VALUE"""),6350.0)</f>
        <v>6350</v>
      </c>
      <c r="E1099" s="1">
        <f>IFERROR(__xludf.DUMMYFUNCTION("""COMPUTED_VALUE"""),6360.0)</f>
        <v>6360</v>
      </c>
      <c r="F1099" s="1">
        <f>IFERROR(__xludf.DUMMYFUNCTION("""COMPUTED_VALUE"""),39766.0)</f>
        <v>39766</v>
      </c>
    </row>
    <row r="1100">
      <c r="A1100" s="2">
        <f>IFERROR(__xludf.DUMMYFUNCTION("""COMPUTED_VALUE"""),42809.64583333333)</f>
        <v>42809.64583</v>
      </c>
      <c r="B1100" s="1">
        <f>IFERROR(__xludf.DUMMYFUNCTION("""COMPUTED_VALUE"""),6360.0)</f>
        <v>6360</v>
      </c>
      <c r="C1100" s="1">
        <f>IFERROR(__xludf.DUMMYFUNCTION("""COMPUTED_VALUE"""),6500.0)</f>
        <v>6500</v>
      </c>
      <c r="D1100" s="1">
        <f>IFERROR(__xludf.DUMMYFUNCTION("""COMPUTED_VALUE"""),6250.0)</f>
        <v>6250</v>
      </c>
      <c r="E1100" s="1">
        <f>IFERROR(__xludf.DUMMYFUNCTION("""COMPUTED_VALUE"""),6360.0)</f>
        <v>6360</v>
      </c>
      <c r="F1100" s="1">
        <f>IFERROR(__xludf.DUMMYFUNCTION("""COMPUTED_VALUE"""),23360.0)</f>
        <v>23360</v>
      </c>
    </row>
    <row r="1101">
      <c r="A1101" s="2">
        <f>IFERROR(__xludf.DUMMYFUNCTION("""COMPUTED_VALUE"""),42810.64583333333)</f>
        <v>42810.64583</v>
      </c>
      <c r="B1101" s="1">
        <f>IFERROR(__xludf.DUMMYFUNCTION("""COMPUTED_VALUE"""),6350.0)</f>
        <v>6350</v>
      </c>
      <c r="C1101" s="1">
        <f>IFERROR(__xludf.DUMMYFUNCTION("""COMPUTED_VALUE"""),6420.0)</f>
        <v>6420</v>
      </c>
      <c r="D1101" s="1">
        <f>IFERROR(__xludf.DUMMYFUNCTION("""COMPUTED_VALUE"""),6230.0)</f>
        <v>6230</v>
      </c>
      <c r="E1101" s="1">
        <f>IFERROR(__xludf.DUMMYFUNCTION("""COMPUTED_VALUE"""),6300.0)</f>
        <v>6300</v>
      </c>
      <c r="F1101" s="1">
        <f>IFERROR(__xludf.DUMMYFUNCTION("""COMPUTED_VALUE"""),29233.0)</f>
        <v>29233</v>
      </c>
    </row>
    <row r="1102">
      <c r="A1102" s="2">
        <f>IFERROR(__xludf.DUMMYFUNCTION("""COMPUTED_VALUE"""),42811.64583333333)</f>
        <v>42811.64583</v>
      </c>
      <c r="B1102" s="1">
        <f>IFERROR(__xludf.DUMMYFUNCTION("""COMPUTED_VALUE"""),6310.0)</f>
        <v>6310</v>
      </c>
      <c r="C1102" s="1">
        <f>IFERROR(__xludf.DUMMYFUNCTION("""COMPUTED_VALUE"""),6350.0)</f>
        <v>6350</v>
      </c>
      <c r="D1102" s="1">
        <f>IFERROR(__xludf.DUMMYFUNCTION("""COMPUTED_VALUE"""),6200.0)</f>
        <v>6200</v>
      </c>
      <c r="E1102" s="1">
        <f>IFERROR(__xludf.DUMMYFUNCTION("""COMPUTED_VALUE"""),6330.0)</f>
        <v>6330</v>
      </c>
      <c r="F1102" s="1">
        <f>IFERROR(__xludf.DUMMYFUNCTION("""COMPUTED_VALUE"""),24043.0)</f>
        <v>24043</v>
      </c>
    </row>
    <row r="1103">
      <c r="A1103" s="2">
        <f>IFERROR(__xludf.DUMMYFUNCTION("""COMPUTED_VALUE"""),42814.64583333333)</f>
        <v>42814.64583</v>
      </c>
      <c r="B1103" s="1">
        <f>IFERROR(__xludf.DUMMYFUNCTION("""COMPUTED_VALUE"""),6330.0)</f>
        <v>6330</v>
      </c>
      <c r="C1103" s="1">
        <f>IFERROR(__xludf.DUMMYFUNCTION("""COMPUTED_VALUE"""),6340.0)</f>
        <v>6340</v>
      </c>
      <c r="D1103" s="1">
        <f>IFERROR(__xludf.DUMMYFUNCTION("""COMPUTED_VALUE"""),6180.0)</f>
        <v>6180</v>
      </c>
      <c r="E1103" s="1">
        <f>IFERROR(__xludf.DUMMYFUNCTION("""COMPUTED_VALUE"""),6180.0)</f>
        <v>6180</v>
      </c>
      <c r="F1103" s="1">
        <f>IFERROR(__xludf.DUMMYFUNCTION("""COMPUTED_VALUE"""),20387.0)</f>
        <v>20387</v>
      </c>
    </row>
    <row r="1104">
      <c r="A1104" s="2">
        <f>IFERROR(__xludf.DUMMYFUNCTION("""COMPUTED_VALUE"""),42815.64583333333)</f>
        <v>42815.64583</v>
      </c>
      <c r="B1104" s="1">
        <f>IFERROR(__xludf.DUMMYFUNCTION("""COMPUTED_VALUE"""),6130.0)</f>
        <v>6130</v>
      </c>
      <c r="C1104" s="1">
        <f>IFERROR(__xludf.DUMMYFUNCTION("""COMPUTED_VALUE"""),6200.0)</f>
        <v>6200</v>
      </c>
      <c r="D1104" s="1">
        <f>IFERROR(__xludf.DUMMYFUNCTION("""COMPUTED_VALUE"""),6130.0)</f>
        <v>6130</v>
      </c>
      <c r="E1104" s="1">
        <f>IFERROR(__xludf.DUMMYFUNCTION("""COMPUTED_VALUE"""),6180.0)</f>
        <v>6180</v>
      </c>
      <c r="F1104" s="1">
        <f>IFERROR(__xludf.DUMMYFUNCTION("""COMPUTED_VALUE"""),27116.0)</f>
        <v>27116</v>
      </c>
    </row>
    <row r="1105">
      <c r="A1105" s="2">
        <f>IFERROR(__xludf.DUMMYFUNCTION("""COMPUTED_VALUE"""),42816.64583333333)</f>
        <v>42816.64583</v>
      </c>
      <c r="B1105" s="1">
        <f>IFERROR(__xludf.DUMMYFUNCTION("""COMPUTED_VALUE"""),6150.0)</f>
        <v>6150</v>
      </c>
      <c r="C1105" s="1">
        <f>IFERROR(__xludf.DUMMYFUNCTION("""COMPUTED_VALUE"""),6190.0)</f>
        <v>6190</v>
      </c>
      <c r="D1105" s="1">
        <f>IFERROR(__xludf.DUMMYFUNCTION("""COMPUTED_VALUE"""),6100.0)</f>
        <v>6100</v>
      </c>
      <c r="E1105" s="1">
        <f>IFERROR(__xludf.DUMMYFUNCTION("""COMPUTED_VALUE"""),6160.0)</f>
        <v>6160</v>
      </c>
      <c r="F1105" s="1">
        <f>IFERROR(__xludf.DUMMYFUNCTION("""COMPUTED_VALUE"""),19068.0)</f>
        <v>19068</v>
      </c>
    </row>
    <row r="1106">
      <c r="A1106" s="2">
        <f>IFERROR(__xludf.DUMMYFUNCTION("""COMPUTED_VALUE"""),42817.64583333333)</f>
        <v>42817.64583</v>
      </c>
      <c r="B1106" s="1">
        <f>IFERROR(__xludf.DUMMYFUNCTION("""COMPUTED_VALUE"""),6170.0)</f>
        <v>6170</v>
      </c>
      <c r="C1106" s="1">
        <f>IFERROR(__xludf.DUMMYFUNCTION("""COMPUTED_VALUE"""),6190.0)</f>
        <v>6190</v>
      </c>
      <c r="D1106" s="1">
        <f>IFERROR(__xludf.DUMMYFUNCTION("""COMPUTED_VALUE"""),5950.0)</f>
        <v>5950</v>
      </c>
      <c r="E1106" s="1">
        <f>IFERROR(__xludf.DUMMYFUNCTION("""COMPUTED_VALUE"""),6040.0)</f>
        <v>6040</v>
      </c>
      <c r="F1106" s="1">
        <f>IFERROR(__xludf.DUMMYFUNCTION("""COMPUTED_VALUE"""),70425.0)</f>
        <v>70425</v>
      </c>
    </row>
    <row r="1107">
      <c r="A1107" s="2">
        <f>IFERROR(__xludf.DUMMYFUNCTION("""COMPUTED_VALUE"""),42818.64583333333)</f>
        <v>42818.64583</v>
      </c>
      <c r="B1107" s="1">
        <f>IFERROR(__xludf.DUMMYFUNCTION("""COMPUTED_VALUE"""),6140.0)</f>
        <v>6140</v>
      </c>
      <c r="C1107" s="1">
        <f>IFERROR(__xludf.DUMMYFUNCTION("""COMPUTED_VALUE"""),6140.0)</f>
        <v>6140</v>
      </c>
      <c r="D1107" s="1">
        <f>IFERROR(__xludf.DUMMYFUNCTION("""COMPUTED_VALUE"""),5880.0)</f>
        <v>5880</v>
      </c>
      <c r="E1107" s="1">
        <f>IFERROR(__xludf.DUMMYFUNCTION("""COMPUTED_VALUE"""),5970.0)</f>
        <v>5970</v>
      </c>
      <c r="F1107" s="1">
        <f>IFERROR(__xludf.DUMMYFUNCTION("""COMPUTED_VALUE"""),32338.0)</f>
        <v>32338</v>
      </c>
    </row>
    <row r="1108">
      <c r="A1108" s="2">
        <f>IFERROR(__xludf.DUMMYFUNCTION("""COMPUTED_VALUE"""),42821.64583333333)</f>
        <v>42821.64583</v>
      </c>
      <c r="B1108" s="1">
        <f>IFERROR(__xludf.DUMMYFUNCTION("""COMPUTED_VALUE"""),6100.0)</f>
        <v>6100</v>
      </c>
      <c r="C1108" s="1">
        <f>IFERROR(__xludf.DUMMYFUNCTION("""COMPUTED_VALUE"""),6100.0)</f>
        <v>6100</v>
      </c>
      <c r="D1108" s="1">
        <f>IFERROR(__xludf.DUMMYFUNCTION("""COMPUTED_VALUE"""),5940.0)</f>
        <v>5940</v>
      </c>
      <c r="E1108" s="1">
        <f>IFERROR(__xludf.DUMMYFUNCTION("""COMPUTED_VALUE"""),6000.0)</f>
        <v>6000</v>
      </c>
      <c r="F1108" s="1">
        <f>IFERROR(__xludf.DUMMYFUNCTION("""COMPUTED_VALUE"""),29647.0)</f>
        <v>29647</v>
      </c>
    </row>
    <row r="1109">
      <c r="A1109" s="2">
        <f>IFERROR(__xludf.DUMMYFUNCTION("""COMPUTED_VALUE"""),42822.64583333333)</f>
        <v>42822.64583</v>
      </c>
      <c r="B1109" s="1">
        <f>IFERROR(__xludf.DUMMYFUNCTION("""COMPUTED_VALUE"""),6100.0)</f>
        <v>6100</v>
      </c>
      <c r="C1109" s="1">
        <f>IFERROR(__xludf.DUMMYFUNCTION("""COMPUTED_VALUE"""),6100.0)</f>
        <v>6100</v>
      </c>
      <c r="D1109" s="1">
        <f>IFERROR(__xludf.DUMMYFUNCTION("""COMPUTED_VALUE"""),5770.0)</f>
        <v>5770</v>
      </c>
      <c r="E1109" s="1">
        <f>IFERROR(__xludf.DUMMYFUNCTION("""COMPUTED_VALUE"""),5890.0)</f>
        <v>5890</v>
      </c>
      <c r="F1109" s="1">
        <f>IFERROR(__xludf.DUMMYFUNCTION("""COMPUTED_VALUE"""),55121.0)</f>
        <v>55121</v>
      </c>
    </row>
    <row r="1110">
      <c r="A1110" s="2">
        <f>IFERROR(__xludf.DUMMYFUNCTION("""COMPUTED_VALUE"""),42823.64583333333)</f>
        <v>42823.64583</v>
      </c>
      <c r="B1110" s="1">
        <f>IFERROR(__xludf.DUMMYFUNCTION("""COMPUTED_VALUE"""),5920.0)</f>
        <v>5920</v>
      </c>
      <c r="C1110" s="1">
        <f>IFERROR(__xludf.DUMMYFUNCTION("""COMPUTED_VALUE"""),5990.0)</f>
        <v>5990</v>
      </c>
      <c r="D1110" s="1">
        <f>IFERROR(__xludf.DUMMYFUNCTION("""COMPUTED_VALUE"""),5830.0)</f>
        <v>5830</v>
      </c>
      <c r="E1110" s="1">
        <f>IFERROR(__xludf.DUMMYFUNCTION("""COMPUTED_VALUE"""),5960.0)</f>
        <v>5960</v>
      </c>
      <c r="F1110" s="1">
        <f>IFERROR(__xludf.DUMMYFUNCTION("""COMPUTED_VALUE"""),24427.0)</f>
        <v>24427</v>
      </c>
    </row>
    <row r="1111">
      <c r="A1111" s="2">
        <f>IFERROR(__xludf.DUMMYFUNCTION("""COMPUTED_VALUE"""),42824.64583333333)</f>
        <v>42824.64583</v>
      </c>
      <c r="B1111" s="1">
        <f>IFERROR(__xludf.DUMMYFUNCTION("""COMPUTED_VALUE"""),5990.0)</f>
        <v>5990</v>
      </c>
      <c r="C1111" s="1">
        <f>IFERROR(__xludf.DUMMYFUNCTION("""COMPUTED_VALUE"""),6040.0)</f>
        <v>6040</v>
      </c>
      <c r="D1111" s="1">
        <f>IFERROR(__xludf.DUMMYFUNCTION("""COMPUTED_VALUE"""),5900.0)</f>
        <v>5900</v>
      </c>
      <c r="E1111" s="1">
        <f>IFERROR(__xludf.DUMMYFUNCTION("""COMPUTED_VALUE"""),5950.0)</f>
        <v>5950</v>
      </c>
      <c r="F1111" s="1">
        <f>IFERROR(__xludf.DUMMYFUNCTION("""COMPUTED_VALUE"""),12546.0)</f>
        <v>12546</v>
      </c>
    </row>
    <row r="1112">
      <c r="A1112" s="2">
        <f>IFERROR(__xludf.DUMMYFUNCTION("""COMPUTED_VALUE"""),42825.64583333333)</f>
        <v>42825.64583</v>
      </c>
      <c r="B1112" s="1">
        <f>IFERROR(__xludf.DUMMYFUNCTION("""COMPUTED_VALUE"""),5940.0)</f>
        <v>5940</v>
      </c>
      <c r="C1112" s="1">
        <f>IFERROR(__xludf.DUMMYFUNCTION("""COMPUTED_VALUE"""),6050.0)</f>
        <v>6050</v>
      </c>
      <c r="D1112" s="1">
        <f>IFERROR(__xludf.DUMMYFUNCTION("""COMPUTED_VALUE"""),5850.0)</f>
        <v>5850</v>
      </c>
      <c r="E1112" s="1">
        <f>IFERROR(__xludf.DUMMYFUNCTION("""COMPUTED_VALUE"""),5950.0)</f>
        <v>5950</v>
      </c>
      <c r="F1112" s="1">
        <f>IFERROR(__xludf.DUMMYFUNCTION("""COMPUTED_VALUE"""),18453.0)</f>
        <v>18453</v>
      </c>
    </row>
    <row r="1113">
      <c r="A1113" s="2">
        <f>IFERROR(__xludf.DUMMYFUNCTION("""COMPUTED_VALUE"""),42828.64583333333)</f>
        <v>42828.64583</v>
      </c>
      <c r="B1113" s="1">
        <f>IFERROR(__xludf.DUMMYFUNCTION("""COMPUTED_VALUE"""),6050.0)</f>
        <v>6050</v>
      </c>
      <c r="C1113" s="1">
        <f>IFERROR(__xludf.DUMMYFUNCTION("""COMPUTED_VALUE"""),6050.0)</f>
        <v>6050</v>
      </c>
      <c r="D1113" s="1">
        <f>IFERROR(__xludf.DUMMYFUNCTION("""COMPUTED_VALUE"""),5850.0)</f>
        <v>5850</v>
      </c>
      <c r="E1113" s="1">
        <f>IFERROR(__xludf.DUMMYFUNCTION("""COMPUTED_VALUE"""),5950.0)</f>
        <v>5950</v>
      </c>
      <c r="F1113" s="1">
        <f>IFERROR(__xludf.DUMMYFUNCTION("""COMPUTED_VALUE"""),43629.0)</f>
        <v>43629</v>
      </c>
    </row>
    <row r="1114">
      <c r="A1114" s="2">
        <f>IFERROR(__xludf.DUMMYFUNCTION("""COMPUTED_VALUE"""),42829.64583333333)</f>
        <v>42829.64583</v>
      </c>
      <c r="B1114" s="1">
        <f>IFERROR(__xludf.DUMMYFUNCTION("""COMPUTED_VALUE"""),5950.0)</f>
        <v>5950</v>
      </c>
      <c r="C1114" s="1">
        <f>IFERROR(__xludf.DUMMYFUNCTION("""COMPUTED_VALUE"""),6050.0)</f>
        <v>6050</v>
      </c>
      <c r="D1114" s="1">
        <f>IFERROR(__xludf.DUMMYFUNCTION("""COMPUTED_VALUE"""),5890.0)</f>
        <v>5890</v>
      </c>
      <c r="E1114" s="1">
        <f>IFERROR(__xludf.DUMMYFUNCTION("""COMPUTED_VALUE"""),5950.0)</f>
        <v>5950</v>
      </c>
      <c r="F1114" s="1">
        <f>IFERROR(__xludf.DUMMYFUNCTION("""COMPUTED_VALUE"""),28397.0)</f>
        <v>28397</v>
      </c>
    </row>
    <row r="1115">
      <c r="A1115" s="2">
        <f>IFERROR(__xludf.DUMMYFUNCTION("""COMPUTED_VALUE"""),42830.64583333333)</f>
        <v>42830.64583</v>
      </c>
      <c r="B1115" s="1">
        <f>IFERROR(__xludf.DUMMYFUNCTION("""COMPUTED_VALUE"""),5950.0)</f>
        <v>5950</v>
      </c>
      <c r="C1115" s="1">
        <f>IFERROR(__xludf.DUMMYFUNCTION("""COMPUTED_VALUE"""),6050.0)</f>
        <v>6050</v>
      </c>
      <c r="D1115" s="1">
        <f>IFERROR(__xludf.DUMMYFUNCTION("""COMPUTED_VALUE"""),5950.0)</f>
        <v>5950</v>
      </c>
      <c r="E1115" s="1">
        <f>IFERROR(__xludf.DUMMYFUNCTION("""COMPUTED_VALUE"""),6050.0)</f>
        <v>6050</v>
      </c>
      <c r="F1115" s="1">
        <f>IFERROR(__xludf.DUMMYFUNCTION("""COMPUTED_VALUE"""),16319.0)</f>
        <v>16319</v>
      </c>
    </row>
    <row r="1116">
      <c r="A1116" s="2">
        <f>IFERROR(__xludf.DUMMYFUNCTION("""COMPUTED_VALUE"""),42831.64583333333)</f>
        <v>42831.64583</v>
      </c>
      <c r="B1116" s="1">
        <f>IFERROR(__xludf.DUMMYFUNCTION("""COMPUTED_VALUE"""),6000.0)</f>
        <v>6000</v>
      </c>
      <c r="C1116" s="1">
        <f>IFERROR(__xludf.DUMMYFUNCTION("""COMPUTED_VALUE"""),6050.0)</f>
        <v>6050</v>
      </c>
      <c r="D1116" s="1">
        <f>IFERROR(__xludf.DUMMYFUNCTION("""COMPUTED_VALUE"""),5940.0)</f>
        <v>5940</v>
      </c>
      <c r="E1116" s="1">
        <f>IFERROR(__xludf.DUMMYFUNCTION("""COMPUTED_VALUE"""),6030.0)</f>
        <v>6030</v>
      </c>
      <c r="F1116" s="1">
        <f>IFERROR(__xludf.DUMMYFUNCTION("""COMPUTED_VALUE"""),24819.0)</f>
        <v>24819</v>
      </c>
    </row>
    <row r="1117">
      <c r="A1117" s="2">
        <f>IFERROR(__xludf.DUMMYFUNCTION("""COMPUTED_VALUE"""),42832.64583333333)</f>
        <v>42832.64583</v>
      </c>
      <c r="B1117" s="1">
        <f>IFERROR(__xludf.DUMMYFUNCTION("""COMPUTED_VALUE"""),6040.0)</f>
        <v>6040</v>
      </c>
      <c r="C1117" s="1">
        <f>IFERROR(__xludf.DUMMYFUNCTION("""COMPUTED_VALUE"""),6640.0)</f>
        <v>6640</v>
      </c>
      <c r="D1117" s="1">
        <f>IFERROR(__xludf.DUMMYFUNCTION("""COMPUTED_VALUE"""),6000.0)</f>
        <v>6000</v>
      </c>
      <c r="E1117" s="1">
        <f>IFERROR(__xludf.DUMMYFUNCTION("""COMPUTED_VALUE"""),6370.0)</f>
        <v>6370</v>
      </c>
      <c r="F1117" s="1">
        <f>IFERROR(__xludf.DUMMYFUNCTION("""COMPUTED_VALUE"""),102481.0)</f>
        <v>102481</v>
      </c>
    </row>
    <row r="1118">
      <c r="A1118" s="2">
        <f>IFERROR(__xludf.DUMMYFUNCTION("""COMPUTED_VALUE"""),42835.64583333333)</f>
        <v>42835.64583</v>
      </c>
      <c r="B1118" s="1">
        <f>IFERROR(__xludf.DUMMYFUNCTION("""COMPUTED_VALUE"""),6490.0)</f>
        <v>6490</v>
      </c>
      <c r="C1118" s="1">
        <f>IFERROR(__xludf.DUMMYFUNCTION("""COMPUTED_VALUE"""),6490.0)</f>
        <v>6490</v>
      </c>
      <c r="D1118" s="1">
        <f>IFERROR(__xludf.DUMMYFUNCTION("""COMPUTED_VALUE"""),6150.0)</f>
        <v>6150</v>
      </c>
      <c r="E1118" s="1">
        <f>IFERROR(__xludf.DUMMYFUNCTION("""COMPUTED_VALUE"""),6150.0)</f>
        <v>6150</v>
      </c>
      <c r="F1118" s="1">
        <f>IFERROR(__xludf.DUMMYFUNCTION("""COMPUTED_VALUE"""),54880.0)</f>
        <v>54880</v>
      </c>
    </row>
    <row r="1119">
      <c r="A1119" s="2">
        <f>IFERROR(__xludf.DUMMYFUNCTION("""COMPUTED_VALUE"""),42836.64583333333)</f>
        <v>42836.64583</v>
      </c>
      <c r="B1119" s="1">
        <f>IFERROR(__xludf.DUMMYFUNCTION("""COMPUTED_VALUE"""),6390.0)</f>
        <v>6390</v>
      </c>
      <c r="C1119" s="1">
        <f>IFERROR(__xludf.DUMMYFUNCTION("""COMPUTED_VALUE"""),6390.0)</f>
        <v>6390</v>
      </c>
      <c r="D1119" s="1">
        <f>IFERROR(__xludf.DUMMYFUNCTION("""COMPUTED_VALUE"""),6200.0)</f>
        <v>6200</v>
      </c>
      <c r="E1119" s="1">
        <f>IFERROR(__xludf.DUMMYFUNCTION("""COMPUTED_VALUE"""),6290.0)</f>
        <v>6290</v>
      </c>
      <c r="F1119" s="1">
        <f>IFERROR(__xludf.DUMMYFUNCTION("""COMPUTED_VALUE"""),15329.0)</f>
        <v>15329</v>
      </c>
    </row>
    <row r="1120">
      <c r="A1120" s="2">
        <f>IFERROR(__xludf.DUMMYFUNCTION("""COMPUTED_VALUE"""),42837.64583333333)</f>
        <v>42837.64583</v>
      </c>
      <c r="B1120" s="1">
        <f>IFERROR(__xludf.DUMMYFUNCTION("""COMPUTED_VALUE"""),6300.0)</f>
        <v>6300</v>
      </c>
      <c r="C1120" s="1">
        <f>IFERROR(__xludf.DUMMYFUNCTION("""COMPUTED_VALUE"""),6370.0)</f>
        <v>6370</v>
      </c>
      <c r="D1120" s="1">
        <f>IFERROR(__xludf.DUMMYFUNCTION("""COMPUTED_VALUE"""),6180.0)</f>
        <v>6180</v>
      </c>
      <c r="E1120" s="1">
        <f>IFERROR(__xludf.DUMMYFUNCTION("""COMPUTED_VALUE"""),6280.0)</f>
        <v>6280</v>
      </c>
      <c r="F1120" s="1">
        <f>IFERROR(__xludf.DUMMYFUNCTION("""COMPUTED_VALUE"""),7507.0)</f>
        <v>7507</v>
      </c>
    </row>
    <row r="1121">
      <c r="A1121" s="2">
        <f>IFERROR(__xludf.DUMMYFUNCTION("""COMPUTED_VALUE"""),42838.64583333333)</f>
        <v>42838.64583</v>
      </c>
      <c r="B1121" s="1">
        <f>IFERROR(__xludf.DUMMYFUNCTION("""COMPUTED_VALUE"""),6290.0)</f>
        <v>6290</v>
      </c>
      <c r="C1121" s="1">
        <f>IFERROR(__xludf.DUMMYFUNCTION("""COMPUTED_VALUE"""),6400.0)</f>
        <v>6400</v>
      </c>
      <c r="D1121" s="1">
        <f>IFERROR(__xludf.DUMMYFUNCTION("""COMPUTED_VALUE"""),6280.0)</f>
        <v>6280</v>
      </c>
      <c r="E1121" s="1">
        <f>IFERROR(__xludf.DUMMYFUNCTION("""COMPUTED_VALUE"""),6350.0)</f>
        <v>6350</v>
      </c>
      <c r="F1121" s="1">
        <f>IFERROR(__xludf.DUMMYFUNCTION("""COMPUTED_VALUE"""),5114.0)</f>
        <v>5114</v>
      </c>
    </row>
    <row r="1122">
      <c r="A1122" s="2">
        <f>IFERROR(__xludf.DUMMYFUNCTION("""COMPUTED_VALUE"""),42839.64583333333)</f>
        <v>42839.64583</v>
      </c>
      <c r="B1122" s="1">
        <f>IFERROR(__xludf.DUMMYFUNCTION("""COMPUTED_VALUE"""),6400.0)</f>
        <v>6400</v>
      </c>
      <c r="C1122" s="1">
        <f>IFERROR(__xludf.DUMMYFUNCTION("""COMPUTED_VALUE"""),6400.0)</f>
        <v>6400</v>
      </c>
      <c r="D1122" s="1">
        <f>IFERROR(__xludf.DUMMYFUNCTION("""COMPUTED_VALUE"""),6160.0)</f>
        <v>6160</v>
      </c>
      <c r="E1122" s="1">
        <f>IFERROR(__xludf.DUMMYFUNCTION("""COMPUTED_VALUE"""),6230.0)</f>
        <v>6230</v>
      </c>
      <c r="F1122" s="1">
        <f>IFERROR(__xludf.DUMMYFUNCTION("""COMPUTED_VALUE"""),9305.0)</f>
        <v>9305</v>
      </c>
    </row>
    <row r="1123">
      <c r="A1123" s="2">
        <f>IFERROR(__xludf.DUMMYFUNCTION("""COMPUTED_VALUE"""),42842.64583333333)</f>
        <v>42842.64583</v>
      </c>
      <c r="B1123" s="1">
        <f>IFERROR(__xludf.DUMMYFUNCTION("""COMPUTED_VALUE"""),6230.0)</f>
        <v>6230</v>
      </c>
      <c r="C1123" s="1">
        <f>IFERROR(__xludf.DUMMYFUNCTION("""COMPUTED_VALUE"""),6380.0)</f>
        <v>6380</v>
      </c>
      <c r="D1123" s="1">
        <f>IFERROR(__xludf.DUMMYFUNCTION("""COMPUTED_VALUE"""),6210.0)</f>
        <v>6210</v>
      </c>
      <c r="E1123" s="1">
        <f>IFERROR(__xludf.DUMMYFUNCTION("""COMPUTED_VALUE"""),6300.0)</f>
        <v>6300</v>
      </c>
      <c r="F1123" s="1">
        <f>IFERROR(__xludf.DUMMYFUNCTION("""COMPUTED_VALUE"""),6044.0)</f>
        <v>6044</v>
      </c>
    </row>
    <row r="1124">
      <c r="A1124" s="2">
        <f>IFERROR(__xludf.DUMMYFUNCTION("""COMPUTED_VALUE"""),42843.64583333333)</f>
        <v>42843.64583</v>
      </c>
      <c r="B1124" s="1">
        <f>IFERROR(__xludf.DUMMYFUNCTION("""COMPUTED_VALUE"""),6310.0)</f>
        <v>6310</v>
      </c>
      <c r="C1124" s="1">
        <f>IFERROR(__xludf.DUMMYFUNCTION("""COMPUTED_VALUE"""),6400.0)</f>
        <v>6400</v>
      </c>
      <c r="D1124" s="1">
        <f>IFERROR(__xludf.DUMMYFUNCTION("""COMPUTED_VALUE"""),6190.0)</f>
        <v>6190</v>
      </c>
      <c r="E1124" s="1">
        <f>IFERROR(__xludf.DUMMYFUNCTION("""COMPUTED_VALUE"""),6350.0)</f>
        <v>6350</v>
      </c>
      <c r="F1124" s="1">
        <f>IFERROR(__xludf.DUMMYFUNCTION("""COMPUTED_VALUE"""),12385.0)</f>
        <v>12385</v>
      </c>
    </row>
    <row r="1125">
      <c r="A1125" s="2">
        <f>IFERROR(__xludf.DUMMYFUNCTION("""COMPUTED_VALUE"""),42844.64583333333)</f>
        <v>42844.64583</v>
      </c>
      <c r="B1125" s="1">
        <f>IFERROR(__xludf.DUMMYFUNCTION("""COMPUTED_VALUE"""),6360.0)</f>
        <v>6360</v>
      </c>
      <c r="C1125" s="1">
        <f>IFERROR(__xludf.DUMMYFUNCTION("""COMPUTED_VALUE"""),6360.0)</f>
        <v>6360</v>
      </c>
      <c r="D1125" s="1">
        <f>IFERROR(__xludf.DUMMYFUNCTION("""COMPUTED_VALUE"""),6200.0)</f>
        <v>6200</v>
      </c>
      <c r="E1125" s="1">
        <f>IFERROR(__xludf.DUMMYFUNCTION("""COMPUTED_VALUE"""),6260.0)</f>
        <v>6260</v>
      </c>
      <c r="F1125" s="1">
        <f>IFERROR(__xludf.DUMMYFUNCTION("""COMPUTED_VALUE"""),8983.0)</f>
        <v>8983</v>
      </c>
    </row>
    <row r="1126">
      <c r="A1126" s="2">
        <f>IFERROR(__xludf.DUMMYFUNCTION("""COMPUTED_VALUE"""),42845.64583333333)</f>
        <v>42845.64583</v>
      </c>
      <c r="B1126" s="1">
        <f>IFERROR(__xludf.DUMMYFUNCTION("""COMPUTED_VALUE"""),6270.0)</f>
        <v>6270</v>
      </c>
      <c r="C1126" s="1">
        <f>IFERROR(__xludf.DUMMYFUNCTION("""COMPUTED_VALUE"""),6350.0)</f>
        <v>6350</v>
      </c>
      <c r="D1126" s="1">
        <f>IFERROR(__xludf.DUMMYFUNCTION("""COMPUTED_VALUE"""),6170.0)</f>
        <v>6170</v>
      </c>
      <c r="E1126" s="1">
        <f>IFERROR(__xludf.DUMMYFUNCTION("""COMPUTED_VALUE"""),6350.0)</f>
        <v>6350</v>
      </c>
      <c r="F1126" s="1">
        <f>IFERROR(__xludf.DUMMYFUNCTION("""COMPUTED_VALUE"""),14775.0)</f>
        <v>14775</v>
      </c>
    </row>
    <row r="1127">
      <c r="A1127" s="2">
        <f>IFERROR(__xludf.DUMMYFUNCTION("""COMPUTED_VALUE"""),42846.64583333333)</f>
        <v>42846.64583</v>
      </c>
      <c r="B1127" s="1">
        <f>IFERROR(__xludf.DUMMYFUNCTION("""COMPUTED_VALUE"""),6350.0)</f>
        <v>6350</v>
      </c>
      <c r="C1127" s="1">
        <f>IFERROR(__xludf.DUMMYFUNCTION("""COMPUTED_VALUE"""),6350.0)</f>
        <v>6350</v>
      </c>
      <c r="D1127" s="1">
        <f>IFERROR(__xludf.DUMMYFUNCTION("""COMPUTED_VALUE"""),6230.0)</f>
        <v>6230</v>
      </c>
      <c r="E1127" s="1">
        <f>IFERROR(__xludf.DUMMYFUNCTION("""COMPUTED_VALUE"""),6340.0)</f>
        <v>6340</v>
      </c>
      <c r="F1127" s="1">
        <f>IFERROR(__xludf.DUMMYFUNCTION("""COMPUTED_VALUE"""),10510.0)</f>
        <v>10510</v>
      </c>
    </row>
    <row r="1128">
      <c r="A1128" s="2">
        <f>IFERROR(__xludf.DUMMYFUNCTION("""COMPUTED_VALUE"""),42849.64583333333)</f>
        <v>42849.64583</v>
      </c>
      <c r="B1128" s="1">
        <f>IFERROR(__xludf.DUMMYFUNCTION("""COMPUTED_VALUE"""),6340.0)</f>
        <v>6340</v>
      </c>
      <c r="C1128" s="1">
        <f>IFERROR(__xludf.DUMMYFUNCTION("""COMPUTED_VALUE"""),6340.0)</f>
        <v>6340</v>
      </c>
      <c r="D1128" s="1">
        <f>IFERROR(__xludf.DUMMYFUNCTION("""COMPUTED_VALUE"""),6090.0)</f>
        <v>6090</v>
      </c>
      <c r="E1128" s="1">
        <f>IFERROR(__xludf.DUMMYFUNCTION("""COMPUTED_VALUE"""),6150.0)</f>
        <v>6150</v>
      </c>
      <c r="F1128" s="1">
        <f>IFERROR(__xludf.DUMMYFUNCTION("""COMPUTED_VALUE"""),56246.0)</f>
        <v>56246</v>
      </c>
    </row>
    <row r="1129">
      <c r="A1129" s="2">
        <f>IFERROR(__xludf.DUMMYFUNCTION("""COMPUTED_VALUE"""),42850.64583333333)</f>
        <v>42850.64583</v>
      </c>
      <c r="B1129" s="1">
        <f>IFERROR(__xludf.DUMMYFUNCTION("""COMPUTED_VALUE"""),6190.0)</f>
        <v>6190</v>
      </c>
      <c r="C1129" s="1">
        <f>IFERROR(__xludf.DUMMYFUNCTION("""COMPUTED_VALUE"""),6190.0)</f>
        <v>6190</v>
      </c>
      <c r="D1129" s="1">
        <f>IFERROR(__xludf.DUMMYFUNCTION("""COMPUTED_VALUE"""),5990.0)</f>
        <v>5990</v>
      </c>
      <c r="E1129" s="1">
        <f>IFERROR(__xludf.DUMMYFUNCTION("""COMPUTED_VALUE"""),6050.0)</f>
        <v>6050</v>
      </c>
      <c r="F1129" s="1">
        <f>IFERROR(__xludf.DUMMYFUNCTION("""COMPUTED_VALUE"""),26617.0)</f>
        <v>26617</v>
      </c>
    </row>
    <row r="1130">
      <c r="A1130" s="2">
        <f>IFERROR(__xludf.DUMMYFUNCTION("""COMPUTED_VALUE"""),42851.64583333333)</f>
        <v>42851.64583</v>
      </c>
      <c r="B1130" s="1">
        <f>IFERROR(__xludf.DUMMYFUNCTION("""COMPUTED_VALUE"""),6150.0)</f>
        <v>6150</v>
      </c>
      <c r="C1130" s="1">
        <f>IFERROR(__xludf.DUMMYFUNCTION("""COMPUTED_VALUE"""),6150.0)</f>
        <v>6150</v>
      </c>
      <c r="D1130" s="1">
        <f>IFERROR(__xludf.DUMMYFUNCTION("""COMPUTED_VALUE"""),6040.0)</f>
        <v>6040</v>
      </c>
      <c r="E1130" s="1">
        <f>IFERROR(__xludf.DUMMYFUNCTION("""COMPUTED_VALUE"""),6070.0)</f>
        <v>6070</v>
      </c>
      <c r="F1130" s="1">
        <f>IFERROR(__xludf.DUMMYFUNCTION("""COMPUTED_VALUE"""),14796.0)</f>
        <v>14796</v>
      </c>
    </row>
    <row r="1131">
      <c r="A1131" s="2">
        <f>IFERROR(__xludf.DUMMYFUNCTION("""COMPUTED_VALUE"""),42852.64583333333)</f>
        <v>42852.64583</v>
      </c>
      <c r="B1131" s="1">
        <f>IFERROR(__xludf.DUMMYFUNCTION("""COMPUTED_VALUE"""),6010.0)</f>
        <v>6010</v>
      </c>
      <c r="C1131" s="1">
        <f>IFERROR(__xludf.DUMMYFUNCTION("""COMPUTED_VALUE"""),6190.0)</f>
        <v>6190</v>
      </c>
      <c r="D1131" s="1">
        <f>IFERROR(__xludf.DUMMYFUNCTION("""COMPUTED_VALUE"""),6010.0)</f>
        <v>6010</v>
      </c>
      <c r="E1131" s="1">
        <f>IFERROR(__xludf.DUMMYFUNCTION("""COMPUTED_VALUE"""),6030.0)</f>
        <v>6030</v>
      </c>
      <c r="F1131" s="1">
        <f>IFERROR(__xludf.DUMMYFUNCTION("""COMPUTED_VALUE"""),7849.0)</f>
        <v>7849</v>
      </c>
    </row>
    <row r="1132">
      <c r="A1132" s="2">
        <f>IFERROR(__xludf.DUMMYFUNCTION("""COMPUTED_VALUE"""),42853.64583333333)</f>
        <v>42853.64583</v>
      </c>
      <c r="B1132" s="1">
        <f>IFERROR(__xludf.DUMMYFUNCTION("""COMPUTED_VALUE"""),6100.0)</f>
        <v>6100</v>
      </c>
      <c r="C1132" s="1">
        <f>IFERROR(__xludf.DUMMYFUNCTION("""COMPUTED_VALUE"""),6100.0)</f>
        <v>6100</v>
      </c>
      <c r="D1132" s="1">
        <f>IFERROR(__xludf.DUMMYFUNCTION("""COMPUTED_VALUE"""),6000.0)</f>
        <v>6000</v>
      </c>
      <c r="E1132" s="1">
        <f>IFERROR(__xludf.DUMMYFUNCTION("""COMPUTED_VALUE"""),6030.0)</f>
        <v>6030</v>
      </c>
      <c r="F1132" s="1">
        <f>IFERROR(__xludf.DUMMYFUNCTION("""COMPUTED_VALUE"""),23112.0)</f>
        <v>23112</v>
      </c>
    </row>
    <row r="1133">
      <c r="A1133" s="2">
        <f>IFERROR(__xludf.DUMMYFUNCTION("""COMPUTED_VALUE"""),42857.64583333333)</f>
        <v>42857.64583</v>
      </c>
      <c r="B1133" s="1">
        <f>IFERROR(__xludf.DUMMYFUNCTION("""COMPUTED_VALUE"""),6030.0)</f>
        <v>6030</v>
      </c>
      <c r="C1133" s="1">
        <f>IFERROR(__xludf.DUMMYFUNCTION("""COMPUTED_VALUE"""),6030.0)</f>
        <v>6030</v>
      </c>
      <c r="D1133" s="1">
        <f>IFERROR(__xludf.DUMMYFUNCTION("""COMPUTED_VALUE"""),5840.0)</f>
        <v>5840</v>
      </c>
      <c r="E1133" s="1">
        <f>IFERROR(__xludf.DUMMYFUNCTION("""COMPUTED_VALUE"""),6000.0)</f>
        <v>6000</v>
      </c>
      <c r="F1133" s="1">
        <f>IFERROR(__xludf.DUMMYFUNCTION("""COMPUTED_VALUE"""),42944.0)</f>
        <v>42944</v>
      </c>
    </row>
    <row r="1134">
      <c r="A1134" s="2">
        <f>IFERROR(__xludf.DUMMYFUNCTION("""COMPUTED_VALUE"""),42859.64583333333)</f>
        <v>42859.64583</v>
      </c>
      <c r="B1134" s="1">
        <f>IFERROR(__xludf.DUMMYFUNCTION("""COMPUTED_VALUE"""),6010.0)</f>
        <v>6010</v>
      </c>
      <c r="C1134" s="1">
        <f>IFERROR(__xludf.DUMMYFUNCTION("""COMPUTED_VALUE"""),6010.0)</f>
        <v>6010</v>
      </c>
      <c r="D1134" s="1">
        <f>IFERROR(__xludf.DUMMYFUNCTION("""COMPUTED_VALUE"""),5710.0)</f>
        <v>5710</v>
      </c>
      <c r="E1134" s="1">
        <f>IFERROR(__xludf.DUMMYFUNCTION("""COMPUTED_VALUE"""),5970.0)</f>
        <v>5970</v>
      </c>
      <c r="F1134" s="1">
        <f>IFERROR(__xludf.DUMMYFUNCTION("""COMPUTED_VALUE"""),31099.0)</f>
        <v>31099</v>
      </c>
    </row>
    <row r="1135">
      <c r="A1135" s="2">
        <f>IFERROR(__xludf.DUMMYFUNCTION("""COMPUTED_VALUE"""),42863.64583333333)</f>
        <v>42863.64583</v>
      </c>
      <c r="B1135" s="1">
        <f>IFERROR(__xludf.DUMMYFUNCTION("""COMPUTED_VALUE"""),6100.0)</f>
        <v>6100</v>
      </c>
      <c r="C1135" s="1">
        <f>IFERROR(__xludf.DUMMYFUNCTION("""COMPUTED_VALUE"""),6200.0)</f>
        <v>6200</v>
      </c>
      <c r="D1135" s="1">
        <f>IFERROR(__xludf.DUMMYFUNCTION("""COMPUTED_VALUE"""),5820.0)</f>
        <v>5820</v>
      </c>
      <c r="E1135" s="1">
        <f>IFERROR(__xludf.DUMMYFUNCTION("""COMPUTED_VALUE"""),6140.0)</f>
        <v>6140</v>
      </c>
      <c r="F1135" s="1">
        <f>IFERROR(__xludf.DUMMYFUNCTION("""COMPUTED_VALUE"""),54392.0)</f>
        <v>54392</v>
      </c>
    </row>
    <row r="1136">
      <c r="A1136" s="2">
        <f>IFERROR(__xludf.DUMMYFUNCTION("""COMPUTED_VALUE"""),42865.64583333333)</f>
        <v>42865.64583</v>
      </c>
      <c r="B1136" s="1">
        <f>IFERROR(__xludf.DUMMYFUNCTION("""COMPUTED_VALUE"""),6200.0)</f>
        <v>6200</v>
      </c>
      <c r="C1136" s="1">
        <f>IFERROR(__xludf.DUMMYFUNCTION("""COMPUTED_VALUE"""),6200.0)</f>
        <v>6200</v>
      </c>
      <c r="D1136" s="1">
        <f>IFERROR(__xludf.DUMMYFUNCTION("""COMPUTED_VALUE"""),6110.0)</f>
        <v>6110</v>
      </c>
      <c r="E1136" s="1">
        <f>IFERROR(__xludf.DUMMYFUNCTION("""COMPUTED_VALUE"""),6140.0)</f>
        <v>6140</v>
      </c>
      <c r="F1136" s="1">
        <f>IFERROR(__xludf.DUMMYFUNCTION("""COMPUTED_VALUE"""),9257.0)</f>
        <v>9257</v>
      </c>
    </row>
    <row r="1137">
      <c r="A1137" s="2">
        <f>IFERROR(__xludf.DUMMYFUNCTION("""COMPUTED_VALUE"""),42866.64583333333)</f>
        <v>42866.64583</v>
      </c>
      <c r="B1137" s="1">
        <f>IFERROR(__xludf.DUMMYFUNCTION("""COMPUTED_VALUE"""),6200.0)</f>
        <v>6200</v>
      </c>
      <c r="C1137" s="1">
        <f>IFERROR(__xludf.DUMMYFUNCTION("""COMPUTED_VALUE"""),6270.0)</f>
        <v>6270</v>
      </c>
      <c r="D1137" s="1">
        <f>IFERROR(__xludf.DUMMYFUNCTION("""COMPUTED_VALUE"""),6000.0)</f>
        <v>6000</v>
      </c>
      <c r="E1137" s="1">
        <f>IFERROR(__xludf.DUMMYFUNCTION("""COMPUTED_VALUE"""),6060.0)</f>
        <v>6060</v>
      </c>
      <c r="F1137" s="1">
        <f>IFERROR(__xludf.DUMMYFUNCTION("""COMPUTED_VALUE"""),7334.0)</f>
        <v>7334</v>
      </c>
    </row>
    <row r="1138">
      <c r="A1138" s="2">
        <f>IFERROR(__xludf.DUMMYFUNCTION("""COMPUTED_VALUE"""),42867.64583333333)</f>
        <v>42867.64583</v>
      </c>
      <c r="B1138" s="1">
        <f>IFERROR(__xludf.DUMMYFUNCTION("""COMPUTED_VALUE"""),6230.0)</f>
        <v>6230</v>
      </c>
      <c r="C1138" s="1">
        <f>IFERROR(__xludf.DUMMYFUNCTION("""COMPUTED_VALUE"""),6230.0)</f>
        <v>6230</v>
      </c>
      <c r="D1138" s="1">
        <f>IFERROR(__xludf.DUMMYFUNCTION("""COMPUTED_VALUE"""),5940.0)</f>
        <v>5940</v>
      </c>
      <c r="E1138" s="1">
        <f>IFERROR(__xludf.DUMMYFUNCTION("""COMPUTED_VALUE"""),6000.0)</f>
        <v>6000</v>
      </c>
      <c r="F1138" s="1">
        <f>IFERROR(__xludf.DUMMYFUNCTION("""COMPUTED_VALUE"""),29275.0)</f>
        <v>29275</v>
      </c>
    </row>
    <row r="1139">
      <c r="A1139" s="2">
        <f>IFERROR(__xludf.DUMMYFUNCTION("""COMPUTED_VALUE"""),42870.64583333333)</f>
        <v>42870.64583</v>
      </c>
      <c r="B1139" s="1">
        <f>IFERROR(__xludf.DUMMYFUNCTION("""COMPUTED_VALUE"""),6100.0)</f>
        <v>6100</v>
      </c>
      <c r="C1139" s="1">
        <f>IFERROR(__xludf.DUMMYFUNCTION("""COMPUTED_VALUE"""),6120.0)</f>
        <v>6120</v>
      </c>
      <c r="D1139" s="1">
        <f>IFERROR(__xludf.DUMMYFUNCTION("""COMPUTED_VALUE"""),5960.0)</f>
        <v>5960</v>
      </c>
      <c r="E1139" s="1">
        <f>IFERROR(__xludf.DUMMYFUNCTION("""COMPUTED_VALUE"""),5960.0)</f>
        <v>5960</v>
      </c>
      <c r="F1139" s="1">
        <f>IFERROR(__xludf.DUMMYFUNCTION("""COMPUTED_VALUE"""),20385.0)</f>
        <v>20385</v>
      </c>
    </row>
    <row r="1140">
      <c r="A1140" s="2">
        <f>IFERROR(__xludf.DUMMYFUNCTION("""COMPUTED_VALUE"""),42871.64583333333)</f>
        <v>42871.64583</v>
      </c>
      <c r="B1140" s="1">
        <f>IFERROR(__xludf.DUMMYFUNCTION("""COMPUTED_VALUE"""),6040.0)</f>
        <v>6040</v>
      </c>
      <c r="C1140" s="1">
        <f>IFERROR(__xludf.DUMMYFUNCTION("""COMPUTED_VALUE"""),6040.0)</f>
        <v>6040</v>
      </c>
      <c r="D1140" s="1">
        <f>IFERROR(__xludf.DUMMYFUNCTION("""COMPUTED_VALUE"""),5900.0)</f>
        <v>5900</v>
      </c>
      <c r="E1140" s="1">
        <f>IFERROR(__xludf.DUMMYFUNCTION("""COMPUTED_VALUE"""),5940.0)</f>
        <v>5940</v>
      </c>
      <c r="F1140" s="1">
        <f>IFERROR(__xludf.DUMMYFUNCTION("""COMPUTED_VALUE"""),12342.0)</f>
        <v>12342</v>
      </c>
    </row>
    <row r="1141">
      <c r="A1141" s="2">
        <f>IFERROR(__xludf.DUMMYFUNCTION("""COMPUTED_VALUE"""),42872.64583333333)</f>
        <v>42872.64583</v>
      </c>
      <c r="B1141" s="1">
        <f>IFERROR(__xludf.DUMMYFUNCTION("""COMPUTED_VALUE"""),6000.0)</f>
        <v>6000</v>
      </c>
      <c r="C1141" s="1">
        <f>IFERROR(__xludf.DUMMYFUNCTION("""COMPUTED_VALUE"""),6000.0)</f>
        <v>6000</v>
      </c>
      <c r="D1141" s="1">
        <f>IFERROR(__xludf.DUMMYFUNCTION("""COMPUTED_VALUE"""),5860.0)</f>
        <v>5860</v>
      </c>
      <c r="E1141" s="1">
        <f>IFERROR(__xludf.DUMMYFUNCTION("""COMPUTED_VALUE"""),5990.0)</f>
        <v>5990</v>
      </c>
      <c r="F1141" s="1">
        <f>IFERROR(__xludf.DUMMYFUNCTION("""COMPUTED_VALUE"""),27752.0)</f>
        <v>27752</v>
      </c>
    </row>
    <row r="1142">
      <c r="A1142" s="2">
        <f>IFERROR(__xludf.DUMMYFUNCTION("""COMPUTED_VALUE"""),42873.64583333333)</f>
        <v>42873.64583</v>
      </c>
      <c r="B1142" s="1">
        <f>IFERROR(__xludf.DUMMYFUNCTION("""COMPUTED_VALUE"""),6040.0)</f>
        <v>6040</v>
      </c>
      <c r="C1142" s="1">
        <f>IFERROR(__xludf.DUMMYFUNCTION("""COMPUTED_VALUE"""),6040.0)</f>
        <v>6040</v>
      </c>
      <c r="D1142" s="1">
        <f>IFERROR(__xludf.DUMMYFUNCTION("""COMPUTED_VALUE"""),5900.0)</f>
        <v>5900</v>
      </c>
      <c r="E1142" s="1">
        <f>IFERROR(__xludf.DUMMYFUNCTION("""COMPUTED_VALUE"""),5990.0)</f>
        <v>5990</v>
      </c>
      <c r="F1142" s="1">
        <f>IFERROR(__xludf.DUMMYFUNCTION("""COMPUTED_VALUE"""),15650.0)</f>
        <v>15650</v>
      </c>
    </row>
    <row r="1143">
      <c r="A1143" s="2">
        <f>IFERROR(__xludf.DUMMYFUNCTION("""COMPUTED_VALUE"""),42874.64583333333)</f>
        <v>42874.64583</v>
      </c>
      <c r="B1143" s="1">
        <f>IFERROR(__xludf.DUMMYFUNCTION("""COMPUTED_VALUE"""),6000.0)</f>
        <v>6000</v>
      </c>
      <c r="C1143" s="1">
        <f>IFERROR(__xludf.DUMMYFUNCTION("""COMPUTED_VALUE"""),6000.0)</f>
        <v>6000</v>
      </c>
      <c r="D1143" s="1">
        <f>IFERROR(__xludf.DUMMYFUNCTION("""COMPUTED_VALUE"""),5900.0)</f>
        <v>5900</v>
      </c>
      <c r="E1143" s="1">
        <f>IFERROR(__xludf.DUMMYFUNCTION("""COMPUTED_VALUE"""),5990.0)</f>
        <v>5990</v>
      </c>
      <c r="F1143" s="1">
        <f>IFERROR(__xludf.DUMMYFUNCTION("""COMPUTED_VALUE"""),12339.0)</f>
        <v>12339</v>
      </c>
    </row>
    <row r="1144">
      <c r="A1144" s="2">
        <f>IFERROR(__xludf.DUMMYFUNCTION("""COMPUTED_VALUE"""),42877.64583333333)</f>
        <v>42877.64583</v>
      </c>
      <c r="B1144" s="1">
        <f>IFERROR(__xludf.DUMMYFUNCTION("""COMPUTED_VALUE"""),6090.0)</f>
        <v>6090</v>
      </c>
      <c r="C1144" s="1">
        <f>IFERROR(__xludf.DUMMYFUNCTION("""COMPUTED_VALUE"""),6130.0)</f>
        <v>6130</v>
      </c>
      <c r="D1144" s="1">
        <f>IFERROR(__xludf.DUMMYFUNCTION("""COMPUTED_VALUE"""),5990.0)</f>
        <v>5990</v>
      </c>
      <c r="E1144" s="1">
        <f>IFERROR(__xludf.DUMMYFUNCTION("""COMPUTED_VALUE"""),6040.0)</f>
        <v>6040</v>
      </c>
      <c r="F1144" s="1">
        <f>IFERROR(__xludf.DUMMYFUNCTION("""COMPUTED_VALUE"""),25080.0)</f>
        <v>25080</v>
      </c>
    </row>
    <row r="1145">
      <c r="A1145" s="2">
        <f>IFERROR(__xludf.DUMMYFUNCTION("""COMPUTED_VALUE"""),42878.64583333333)</f>
        <v>42878.64583</v>
      </c>
      <c r="B1145" s="1">
        <f>IFERROR(__xludf.DUMMYFUNCTION("""COMPUTED_VALUE"""),6100.0)</f>
        <v>6100</v>
      </c>
      <c r="C1145" s="1">
        <f>IFERROR(__xludf.DUMMYFUNCTION("""COMPUTED_VALUE"""),6100.0)</f>
        <v>6100</v>
      </c>
      <c r="D1145" s="1">
        <f>IFERROR(__xludf.DUMMYFUNCTION("""COMPUTED_VALUE"""),5940.0)</f>
        <v>5940</v>
      </c>
      <c r="E1145" s="1">
        <f>IFERROR(__xludf.DUMMYFUNCTION("""COMPUTED_VALUE"""),6000.0)</f>
        <v>6000</v>
      </c>
      <c r="F1145" s="1">
        <f>IFERROR(__xludf.DUMMYFUNCTION("""COMPUTED_VALUE"""),21916.0)</f>
        <v>21916</v>
      </c>
    </row>
    <row r="1146">
      <c r="A1146" s="2">
        <f>IFERROR(__xludf.DUMMYFUNCTION("""COMPUTED_VALUE"""),42879.64583333333)</f>
        <v>42879.64583</v>
      </c>
      <c r="B1146" s="1">
        <f>IFERROR(__xludf.DUMMYFUNCTION("""COMPUTED_VALUE"""),6000.0)</f>
        <v>6000</v>
      </c>
      <c r="C1146" s="1">
        <f>IFERROR(__xludf.DUMMYFUNCTION("""COMPUTED_VALUE"""),6390.0)</f>
        <v>6390</v>
      </c>
      <c r="D1146" s="1">
        <f>IFERROR(__xludf.DUMMYFUNCTION("""COMPUTED_VALUE"""),5810.0)</f>
        <v>5810</v>
      </c>
      <c r="E1146" s="1">
        <f>IFERROR(__xludf.DUMMYFUNCTION("""COMPUTED_VALUE"""),5940.0)</f>
        <v>5940</v>
      </c>
      <c r="F1146" s="1">
        <f>IFERROR(__xludf.DUMMYFUNCTION("""COMPUTED_VALUE"""),53738.0)</f>
        <v>53738</v>
      </c>
    </row>
    <row r="1147">
      <c r="A1147" s="2">
        <f>IFERROR(__xludf.DUMMYFUNCTION("""COMPUTED_VALUE"""),42880.64583333333)</f>
        <v>42880.64583</v>
      </c>
      <c r="B1147" s="1">
        <f>IFERROR(__xludf.DUMMYFUNCTION("""COMPUTED_VALUE"""),5980.0)</f>
        <v>5980</v>
      </c>
      <c r="C1147" s="1">
        <f>IFERROR(__xludf.DUMMYFUNCTION("""COMPUTED_VALUE"""),6030.0)</f>
        <v>6030</v>
      </c>
      <c r="D1147" s="1">
        <f>IFERROR(__xludf.DUMMYFUNCTION("""COMPUTED_VALUE"""),5810.0)</f>
        <v>5810</v>
      </c>
      <c r="E1147" s="1">
        <f>IFERROR(__xludf.DUMMYFUNCTION("""COMPUTED_VALUE"""),5970.0)</f>
        <v>5970</v>
      </c>
      <c r="F1147" s="1">
        <f>IFERROR(__xludf.DUMMYFUNCTION("""COMPUTED_VALUE"""),35440.0)</f>
        <v>35440</v>
      </c>
    </row>
    <row r="1148">
      <c r="A1148" s="2">
        <f>IFERROR(__xludf.DUMMYFUNCTION("""COMPUTED_VALUE"""),42881.64583333333)</f>
        <v>42881.64583</v>
      </c>
      <c r="B1148" s="1">
        <f>IFERROR(__xludf.DUMMYFUNCTION("""COMPUTED_VALUE"""),6000.0)</f>
        <v>6000</v>
      </c>
      <c r="C1148" s="1">
        <f>IFERROR(__xludf.DUMMYFUNCTION("""COMPUTED_VALUE"""),6040.0)</f>
        <v>6040</v>
      </c>
      <c r="D1148" s="1">
        <f>IFERROR(__xludf.DUMMYFUNCTION("""COMPUTED_VALUE"""),5950.0)</f>
        <v>5950</v>
      </c>
      <c r="E1148" s="1">
        <f>IFERROR(__xludf.DUMMYFUNCTION("""COMPUTED_VALUE"""),6020.0)</f>
        <v>6020</v>
      </c>
      <c r="F1148" s="1">
        <f>IFERROR(__xludf.DUMMYFUNCTION("""COMPUTED_VALUE"""),23489.0)</f>
        <v>23489</v>
      </c>
    </row>
    <row r="1149">
      <c r="A1149" s="2">
        <f>IFERROR(__xludf.DUMMYFUNCTION("""COMPUTED_VALUE"""),42884.64583333333)</f>
        <v>42884.64583</v>
      </c>
      <c r="B1149" s="1">
        <f>IFERROR(__xludf.DUMMYFUNCTION("""COMPUTED_VALUE"""),6040.0)</f>
        <v>6040</v>
      </c>
      <c r="C1149" s="1">
        <f>IFERROR(__xludf.DUMMYFUNCTION("""COMPUTED_VALUE"""),6040.0)</f>
        <v>6040</v>
      </c>
      <c r="D1149" s="1">
        <f>IFERROR(__xludf.DUMMYFUNCTION("""COMPUTED_VALUE"""),5900.0)</f>
        <v>5900</v>
      </c>
      <c r="E1149" s="1">
        <f>IFERROR(__xludf.DUMMYFUNCTION("""COMPUTED_VALUE"""),5900.0)</f>
        <v>5900</v>
      </c>
      <c r="F1149" s="1">
        <f>IFERROR(__xludf.DUMMYFUNCTION("""COMPUTED_VALUE"""),39203.0)</f>
        <v>39203</v>
      </c>
    </row>
    <row r="1150">
      <c r="A1150" s="2">
        <f>IFERROR(__xludf.DUMMYFUNCTION("""COMPUTED_VALUE"""),42885.64583333333)</f>
        <v>42885.64583</v>
      </c>
      <c r="B1150" s="1">
        <f>IFERROR(__xludf.DUMMYFUNCTION("""COMPUTED_VALUE"""),5950.0)</f>
        <v>5950</v>
      </c>
      <c r="C1150" s="1">
        <f>IFERROR(__xludf.DUMMYFUNCTION("""COMPUTED_VALUE"""),6180.0)</f>
        <v>6180</v>
      </c>
      <c r="D1150" s="1">
        <f>IFERROR(__xludf.DUMMYFUNCTION("""COMPUTED_VALUE"""),5950.0)</f>
        <v>5950</v>
      </c>
      <c r="E1150" s="1">
        <f>IFERROR(__xludf.DUMMYFUNCTION("""COMPUTED_VALUE"""),6020.0)</f>
        <v>6020</v>
      </c>
      <c r="F1150" s="1">
        <f>IFERROR(__xludf.DUMMYFUNCTION("""COMPUTED_VALUE"""),19606.0)</f>
        <v>19606</v>
      </c>
    </row>
    <row r="1151">
      <c r="A1151" s="2">
        <f>IFERROR(__xludf.DUMMYFUNCTION("""COMPUTED_VALUE"""),42886.64583333333)</f>
        <v>42886.64583</v>
      </c>
      <c r="B1151" s="1">
        <f>IFERROR(__xludf.DUMMYFUNCTION("""COMPUTED_VALUE"""),6000.0)</f>
        <v>6000</v>
      </c>
      <c r="C1151" s="1">
        <f>IFERROR(__xludf.DUMMYFUNCTION("""COMPUTED_VALUE"""),6150.0)</f>
        <v>6150</v>
      </c>
      <c r="D1151" s="1">
        <f>IFERROR(__xludf.DUMMYFUNCTION("""COMPUTED_VALUE"""),6000.0)</f>
        <v>6000</v>
      </c>
      <c r="E1151" s="1">
        <f>IFERROR(__xludf.DUMMYFUNCTION("""COMPUTED_VALUE"""),6140.0)</f>
        <v>6140</v>
      </c>
      <c r="F1151" s="1">
        <f>IFERROR(__xludf.DUMMYFUNCTION("""COMPUTED_VALUE"""),19187.0)</f>
        <v>19187</v>
      </c>
    </row>
    <row r="1152">
      <c r="A1152" s="2">
        <f>IFERROR(__xludf.DUMMYFUNCTION("""COMPUTED_VALUE"""),42887.64583333333)</f>
        <v>42887.64583</v>
      </c>
      <c r="B1152" s="1">
        <f>IFERROR(__xludf.DUMMYFUNCTION("""COMPUTED_VALUE"""),6190.0)</f>
        <v>6190</v>
      </c>
      <c r="C1152" s="1">
        <f>IFERROR(__xludf.DUMMYFUNCTION("""COMPUTED_VALUE"""),6190.0)</f>
        <v>6190</v>
      </c>
      <c r="D1152" s="1">
        <f>IFERROR(__xludf.DUMMYFUNCTION("""COMPUTED_VALUE"""),6140.0)</f>
        <v>6140</v>
      </c>
      <c r="E1152" s="1">
        <f>IFERROR(__xludf.DUMMYFUNCTION("""COMPUTED_VALUE"""),6150.0)</f>
        <v>6150</v>
      </c>
      <c r="F1152" s="1">
        <f>IFERROR(__xludf.DUMMYFUNCTION("""COMPUTED_VALUE"""),11383.0)</f>
        <v>11383</v>
      </c>
    </row>
    <row r="1153">
      <c r="A1153" s="2">
        <f>IFERROR(__xludf.DUMMYFUNCTION("""COMPUTED_VALUE"""),42888.64583333333)</f>
        <v>42888.64583</v>
      </c>
      <c r="B1153" s="1">
        <f>IFERROR(__xludf.DUMMYFUNCTION("""COMPUTED_VALUE"""),6190.0)</f>
        <v>6190</v>
      </c>
      <c r="C1153" s="1">
        <f>IFERROR(__xludf.DUMMYFUNCTION("""COMPUTED_VALUE"""),6200.0)</f>
        <v>6200</v>
      </c>
      <c r="D1153" s="1">
        <f>IFERROR(__xludf.DUMMYFUNCTION("""COMPUTED_VALUE"""),6150.0)</f>
        <v>6150</v>
      </c>
      <c r="E1153" s="1">
        <f>IFERROR(__xludf.DUMMYFUNCTION("""COMPUTED_VALUE"""),6180.0)</f>
        <v>6180</v>
      </c>
      <c r="F1153" s="1">
        <f>IFERROR(__xludf.DUMMYFUNCTION("""COMPUTED_VALUE"""),7155.0)</f>
        <v>7155</v>
      </c>
    </row>
    <row r="1154">
      <c r="A1154" s="2">
        <f>IFERROR(__xludf.DUMMYFUNCTION("""COMPUTED_VALUE"""),42891.64583333333)</f>
        <v>42891.64583</v>
      </c>
      <c r="B1154" s="1">
        <f>IFERROR(__xludf.DUMMYFUNCTION("""COMPUTED_VALUE"""),6180.0)</f>
        <v>6180</v>
      </c>
      <c r="C1154" s="1">
        <f>IFERROR(__xludf.DUMMYFUNCTION("""COMPUTED_VALUE"""),6200.0)</f>
        <v>6200</v>
      </c>
      <c r="D1154" s="1">
        <f>IFERROR(__xludf.DUMMYFUNCTION("""COMPUTED_VALUE"""),6080.0)</f>
        <v>6080</v>
      </c>
      <c r="E1154" s="1">
        <f>IFERROR(__xludf.DUMMYFUNCTION("""COMPUTED_VALUE"""),6180.0)</f>
        <v>6180</v>
      </c>
      <c r="F1154" s="1">
        <f>IFERROR(__xludf.DUMMYFUNCTION("""COMPUTED_VALUE"""),6408.0)</f>
        <v>6408</v>
      </c>
    </row>
    <row r="1155">
      <c r="A1155" s="2">
        <f>IFERROR(__xludf.DUMMYFUNCTION("""COMPUTED_VALUE"""),42893.64583333333)</f>
        <v>42893.64583</v>
      </c>
      <c r="B1155" s="1">
        <f>IFERROR(__xludf.DUMMYFUNCTION("""COMPUTED_VALUE"""),6200.0)</f>
        <v>6200</v>
      </c>
      <c r="C1155" s="1">
        <f>IFERROR(__xludf.DUMMYFUNCTION("""COMPUTED_VALUE"""),6350.0)</f>
        <v>6350</v>
      </c>
      <c r="D1155" s="1">
        <f>IFERROR(__xludf.DUMMYFUNCTION("""COMPUTED_VALUE"""),6100.0)</f>
        <v>6100</v>
      </c>
      <c r="E1155" s="1">
        <f>IFERROR(__xludf.DUMMYFUNCTION("""COMPUTED_VALUE"""),6130.0)</f>
        <v>6130</v>
      </c>
      <c r="F1155" s="1">
        <f>IFERROR(__xludf.DUMMYFUNCTION("""COMPUTED_VALUE"""),60939.0)</f>
        <v>60939</v>
      </c>
    </row>
    <row r="1156">
      <c r="A1156" s="2">
        <f>IFERROR(__xludf.DUMMYFUNCTION("""COMPUTED_VALUE"""),42894.64583333333)</f>
        <v>42894.64583</v>
      </c>
      <c r="B1156" s="1">
        <f>IFERROR(__xludf.DUMMYFUNCTION("""COMPUTED_VALUE"""),6200.0)</f>
        <v>6200</v>
      </c>
      <c r="C1156" s="1">
        <f>IFERROR(__xludf.DUMMYFUNCTION("""COMPUTED_VALUE"""),6200.0)</f>
        <v>6200</v>
      </c>
      <c r="D1156" s="1">
        <f>IFERROR(__xludf.DUMMYFUNCTION("""COMPUTED_VALUE"""),6140.0)</f>
        <v>6140</v>
      </c>
      <c r="E1156" s="1">
        <f>IFERROR(__xludf.DUMMYFUNCTION("""COMPUTED_VALUE"""),6190.0)</f>
        <v>6190</v>
      </c>
      <c r="F1156" s="1">
        <f>IFERROR(__xludf.DUMMYFUNCTION("""COMPUTED_VALUE"""),8713.0)</f>
        <v>8713</v>
      </c>
    </row>
    <row r="1157">
      <c r="A1157" s="2">
        <f>IFERROR(__xludf.DUMMYFUNCTION("""COMPUTED_VALUE"""),42895.64583333333)</f>
        <v>42895.64583</v>
      </c>
      <c r="B1157" s="1">
        <f>IFERROR(__xludf.DUMMYFUNCTION("""COMPUTED_VALUE"""),6190.0)</f>
        <v>6190</v>
      </c>
      <c r="C1157" s="1">
        <f>IFERROR(__xludf.DUMMYFUNCTION("""COMPUTED_VALUE"""),6200.0)</f>
        <v>6200</v>
      </c>
      <c r="D1157" s="1">
        <f>IFERROR(__xludf.DUMMYFUNCTION("""COMPUTED_VALUE"""),6130.0)</f>
        <v>6130</v>
      </c>
      <c r="E1157" s="1">
        <f>IFERROR(__xludf.DUMMYFUNCTION("""COMPUTED_VALUE"""),6130.0)</f>
        <v>6130</v>
      </c>
      <c r="F1157" s="1">
        <f>IFERROR(__xludf.DUMMYFUNCTION("""COMPUTED_VALUE"""),17329.0)</f>
        <v>17329</v>
      </c>
    </row>
    <row r="1158">
      <c r="A1158" s="2">
        <f>IFERROR(__xludf.DUMMYFUNCTION("""COMPUTED_VALUE"""),42898.64583333333)</f>
        <v>42898.64583</v>
      </c>
      <c r="B1158" s="1">
        <f>IFERROR(__xludf.DUMMYFUNCTION("""COMPUTED_VALUE"""),6140.0)</f>
        <v>6140</v>
      </c>
      <c r="C1158" s="1">
        <f>IFERROR(__xludf.DUMMYFUNCTION("""COMPUTED_VALUE"""),6200.0)</f>
        <v>6200</v>
      </c>
      <c r="D1158" s="1">
        <f>IFERROR(__xludf.DUMMYFUNCTION("""COMPUTED_VALUE"""),6120.0)</f>
        <v>6120</v>
      </c>
      <c r="E1158" s="1">
        <f>IFERROR(__xludf.DUMMYFUNCTION("""COMPUTED_VALUE"""),6130.0)</f>
        <v>6130</v>
      </c>
      <c r="F1158" s="1">
        <f>IFERROR(__xludf.DUMMYFUNCTION("""COMPUTED_VALUE"""),16438.0)</f>
        <v>16438</v>
      </c>
    </row>
    <row r="1159">
      <c r="A1159" s="2">
        <f>IFERROR(__xludf.DUMMYFUNCTION("""COMPUTED_VALUE"""),42899.64583333333)</f>
        <v>42899.64583</v>
      </c>
      <c r="B1159" s="1">
        <f>IFERROR(__xludf.DUMMYFUNCTION("""COMPUTED_VALUE"""),6130.0)</f>
        <v>6130</v>
      </c>
      <c r="C1159" s="1">
        <f>IFERROR(__xludf.DUMMYFUNCTION("""COMPUTED_VALUE"""),6180.0)</f>
        <v>6180</v>
      </c>
      <c r="D1159" s="1">
        <f>IFERROR(__xludf.DUMMYFUNCTION("""COMPUTED_VALUE"""),6120.0)</f>
        <v>6120</v>
      </c>
      <c r="E1159" s="1">
        <f>IFERROR(__xludf.DUMMYFUNCTION("""COMPUTED_VALUE"""),6130.0)</f>
        <v>6130</v>
      </c>
      <c r="F1159" s="1">
        <f>IFERROR(__xludf.DUMMYFUNCTION("""COMPUTED_VALUE"""),17206.0)</f>
        <v>17206</v>
      </c>
    </row>
    <row r="1160">
      <c r="A1160" s="2">
        <f>IFERROR(__xludf.DUMMYFUNCTION("""COMPUTED_VALUE"""),42900.64583333333)</f>
        <v>42900.64583</v>
      </c>
      <c r="B1160" s="1">
        <f>IFERROR(__xludf.DUMMYFUNCTION("""COMPUTED_VALUE"""),6130.0)</f>
        <v>6130</v>
      </c>
      <c r="C1160" s="1">
        <f>IFERROR(__xludf.DUMMYFUNCTION("""COMPUTED_VALUE"""),6380.0)</f>
        <v>6380</v>
      </c>
      <c r="D1160" s="1">
        <f>IFERROR(__xludf.DUMMYFUNCTION("""COMPUTED_VALUE"""),6130.0)</f>
        <v>6130</v>
      </c>
      <c r="E1160" s="1">
        <f>IFERROR(__xludf.DUMMYFUNCTION("""COMPUTED_VALUE"""),6220.0)</f>
        <v>6220</v>
      </c>
      <c r="F1160" s="1">
        <f>IFERROR(__xludf.DUMMYFUNCTION("""COMPUTED_VALUE"""),54869.0)</f>
        <v>54869</v>
      </c>
    </row>
    <row r="1161">
      <c r="A1161" s="2">
        <f>IFERROR(__xludf.DUMMYFUNCTION("""COMPUTED_VALUE"""),42901.64583333333)</f>
        <v>42901.64583</v>
      </c>
      <c r="B1161" s="1">
        <f>IFERROR(__xludf.DUMMYFUNCTION("""COMPUTED_VALUE"""),6250.0)</f>
        <v>6250</v>
      </c>
      <c r="C1161" s="1">
        <f>IFERROR(__xludf.DUMMYFUNCTION("""COMPUTED_VALUE"""),6250.0)</f>
        <v>6250</v>
      </c>
      <c r="D1161" s="1">
        <f>IFERROR(__xludf.DUMMYFUNCTION("""COMPUTED_VALUE"""),6110.0)</f>
        <v>6110</v>
      </c>
      <c r="E1161" s="1">
        <f>IFERROR(__xludf.DUMMYFUNCTION("""COMPUTED_VALUE"""),6210.0)</f>
        <v>6210</v>
      </c>
      <c r="F1161" s="1">
        <f>IFERROR(__xludf.DUMMYFUNCTION("""COMPUTED_VALUE"""),11958.0)</f>
        <v>11958</v>
      </c>
    </row>
    <row r="1162">
      <c r="A1162" s="2">
        <f>IFERROR(__xludf.DUMMYFUNCTION("""COMPUTED_VALUE"""),42902.64583333333)</f>
        <v>42902.64583</v>
      </c>
      <c r="B1162" s="1">
        <f>IFERROR(__xludf.DUMMYFUNCTION("""COMPUTED_VALUE"""),6210.0)</f>
        <v>6210</v>
      </c>
      <c r="C1162" s="1">
        <f>IFERROR(__xludf.DUMMYFUNCTION("""COMPUTED_VALUE"""),6210.0)</f>
        <v>6210</v>
      </c>
      <c r="D1162" s="1">
        <f>IFERROR(__xludf.DUMMYFUNCTION("""COMPUTED_VALUE"""),6080.0)</f>
        <v>6080</v>
      </c>
      <c r="E1162" s="1">
        <f>IFERROR(__xludf.DUMMYFUNCTION("""COMPUTED_VALUE"""),6170.0)</f>
        <v>6170</v>
      </c>
      <c r="F1162" s="1">
        <f>IFERROR(__xludf.DUMMYFUNCTION("""COMPUTED_VALUE"""),22455.0)</f>
        <v>22455</v>
      </c>
    </row>
    <row r="1163">
      <c r="A1163" s="2">
        <f>IFERROR(__xludf.DUMMYFUNCTION("""COMPUTED_VALUE"""),42905.64583333333)</f>
        <v>42905.64583</v>
      </c>
      <c r="B1163" s="1">
        <f>IFERROR(__xludf.DUMMYFUNCTION("""COMPUTED_VALUE"""),6150.0)</f>
        <v>6150</v>
      </c>
      <c r="C1163" s="1">
        <f>IFERROR(__xludf.DUMMYFUNCTION("""COMPUTED_VALUE"""),6250.0)</f>
        <v>6250</v>
      </c>
      <c r="D1163" s="1">
        <f>IFERROR(__xludf.DUMMYFUNCTION("""COMPUTED_VALUE"""),6150.0)</f>
        <v>6150</v>
      </c>
      <c r="E1163" s="1">
        <f>IFERROR(__xludf.DUMMYFUNCTION("""COMPUTED_VALUE"""),6150.0)</f>
        <v>6150</v>
      </c>
      <c r="F1163" s="1">
        <f>IFERROR(__xludf.DUMMYFUNCTION("""COMPUTED_VALUE"""),15391.0)</f>
        <v>15391</v>
      </c>
    </row>
    <row r="1164">
      <c r="A1164" s="2">
        <f>IFERROR(__xludf.DUMMYFUNCTION("""COMPUTED_VALUE"""),42906.64583333333)</f>
        <v>42906.64583</v>
      </c>
      <c r="B1164" s="1">
        <f>IFERROR(__xludf.DUMMYFUNCTION("""COMPUTED_VALUE"""),6190.0)</f>
        <v>6190</v>
      </c>
      <c r="C1164" s="1">
        <f>IFERROR(__xludf.DUMMYFUNCTION("""COMPUTED_VALUE"""),6220.0)</f>
        <v>6220</v>
      </c>
      <c r="D1164" s="1">
        <f>IFERROR(__xludf.DUMMYFUNCTION("""COMPUTED_VALUE"""),5960.0)</f>
        <v>5960</v>
      </c>
      <c r="E1164" s="1">
        <f>IFERROR(__xludf.DUMMYFUNCTION("""COMPUTED_VALUE"""),6080.0)</f>
        <v>6080</v>
      </c>
      <c r="F1164" s="1">
        <f>IFERROR(__xludf.DUMMYFUNCTION("""COMPUTED_VALUE"""),49774.0)</f>
        <v>49774</v>
      </c>
    </row>
    <row r="1165">
      <c r="A1165" s="2">
        <f>IFERROR(__xludf.DUMMYFUNCTION("""COMPUTED_VALUE"""),42907.64583333333)</f>
        <v>42907.64583</v>
      </c>
      <c r="B1165" s="1">
        <f>IFERROR(__xludf.DUMMYFUNCTION("""COMPUTED_VALUE"""),6190.0)</f>
        <v>6190</v>
      </c>
      <c r="C1165" s="1">
        <f>IFERROR(__xludf.DUMMYFUNCTION("""COMPUTED_VALUE"""),6190.0)</f>
        <v>6190</v>
      </c>
      <c r="D1165" s="1">
        <f>IFERROR(__xludf.DUMMYFUNCTION("""COMPUTED_VALUE"""),6050.0)</f>
        <v>6050</v>
      </c>
      <c r="E1165" s="1">
        <f>IFERROR(__xludf.DUMMYFUNCTION("""COMPUTED_VALUE"""),6080.0)</f>
        <v>6080</v>
      </c>
      <c r="F1165" s="1">
        <f>IFERROR(__xludf.DUMMYFUNCTION("""COMPUTED_VALUE"""),30228.0)</f>
        <v>30228</v>
      </c>
    </row>
    <row r="1166">
      <c r="A1166" s="2">
        <f>IFERROR(__xludf.DUMMYFUNCTION("""COMPUTED_VALUE"""),42908.64583333333)</f>
        <v>42908.64583</v>
      </c>
      <c r="B1166" s="1">
        <f>IFERROR(__xludf.DUMMYFUNCTION("""COMPUTED_VALUE"""),6100.0)</f>
        <v>6100</v>
      </c>
      <c r="C1166" s="1">
        <f>IFERROR(__xludf.DUMMYFUNCTION("""COMPUTED_VALUE"""),6140.0)</f>
        <v>6140</v>
      </c>
      <c r="D1166" s="1">
        <f>IFERROR(__xludf.DUMMYFUNCTION("""COMPUTED_VALUE"""),6000.0)</f>
        <v>6000</v>
      </c>
      <c r="E1166" s="1">
        <f>IFERROR(__xludf.DUMMYFUNCTION("""COMPUTED_VALUE"""),6080.0)</f>
        <v>6080</v>
      </c>
      <c r="F1166" s="1">
        <f>IFERROR(__xludf.DUMMYFUNCTION("""COMPUTED_VALUE"""),21377.0)</f>
        <v>21377</v>
      </c>
    </row>
    <row r="1167">
      <c r="A1167" s="2">
        <f>IFERROR(__xludf.DUMMYFUNCTION("""COMPUTED_VALUE"""),42909.64583333333)</f>
        <v>42909.64583</v>
      </c>
      <c r="B1167" s="1">
        <f>IFERROR(__xludf.DUMMYFUNCTION("""COMPUTED_VALUE"""),6080.0)</f>
        <v>6080</v>
      </c>
      <c r="C1167" s="1">
        <f>IFERROR(__xludf.DUMMYFUNCTION("""COMPUTED_VALUE"""),6120.0)</f>
        <v>6120</v>
      </c>
      <c r="D1167" s="1">
        <f>IFERROR(__xludf.DUMMYFUNCTION("""COMPUTED_VALUE"""),6030.0)</f>
        <v>6030</v>
      </c>
      <c r="E1167" s="1">
        <f>IFERROR(__xludf.DUMMYFUNCTION("""COMPUTED_VALUE"""),6110.0)</f>
        <v>6110</v>
      </c>
      <c r="F1167" s="1">
        <f>IFERROR(__xludf.DUMMYFUNCTION("""COMPUTED_VALUE"""),15024.0)</f>
        <v>15024</v>
      </c>
    </row>
    <row r="1168">
      <c r="A1168" s="2">
        <f>IFERROR(__xludf.DUMMYFUNCTION("""COMPUTED_VALUE"""),42912.64583333333)</f>
        <v>42912.64583</v>
      </c>
      <c r="B1168" s="1">
        <f>IFERROR(__xludf.DUMMYFUNCTION("""COMPUTED_VALUE"""),6110.0)</f>
        <v>6110</v>
      </c>
      <c r="C1168" s="1">
        <f>IFERROR(__xludf.DUMMYFUNCTION("""COMPUTED_VALUE"""),6150.0)</f>
        <v>6150</v>
      </c>
      <c r="D1168" s="1">
        <f>IFERROR(__xludf.DUMMYFUNCTION("""COMPUTED_VALUE"""),6040.0)</f>
        <v>6040</v>
      </c>
      <c r="E1168" s="1">
        <f>IFERROR(__xludf.DUMMYFUNCTION("""COMPUTED_VALUE"""),6110.0)</f>
        <v>6110</v>
      </c>
      <c r="F1168" s="1">
        <f>IFERROR(__xludf.DUMMYFUNCTION("""COMPUTED_VALUE"""),11881.0)</f>
        <v>11881</v>
      </c>
    </row>
    <row r="1169">
      <c r="A1169" s="2">
        <f>IFERROR(__xludf.DUMMYFUNCTION("""COMPUTED_VALUE"""),42913.64583333333)</f>
        <v>42913.64583</v>
      </c>
      <c r="B1169" s="1">
        <f>IFERROR(__xludf.DUMMYFUNCTION("""COMPUTED_VALUE"""),6110.0)</f>
        <v>6110</v>
      </c>
      <c r="C1169" s="1">
        <f>IFERROR(__xludf.DUMMYFUNCTION("""COMPUTED_VALUE"""),6170.0)</f>
        <v>6170</v>
      </c>
      <c r="D1169" s="1">
        <f>IFERROR(__xludf.DUMMYFUNCTION("""COMPUTED_VALUE"""),6050.0)</f>
        <v>6050</v>
      </c>
      <c r="E1169" s="1">
        <f>IFERROR(__xludf.DUMMYFUNCTION("""COMPUTED_VALUE"""),6090.0)</f>
        <v>6090</v>
      </c>
      <c r="F1169" s="1">
        <f>IFERROR(__xludf.DUMMYFUNCTION("""COMPUTED_VALUE"""),27828.0)</f>
        <v>27828</v>
      </c>
    </row>
    <row r="1170">
      <c r="A1170" s="2">
        <f>IFERROR(__xludf.DUMMYFUNCTION("""COMPUTED_VALUE"""),42914.64583333333)</f>
        <v>42914.64583</v>
      </c>
      <c r="B1170" s="1">
        <f>IFERROR(__xludf.DUMMYFUNCTION("""COMPUTED_VALUE"""),6000.0)</f>
        <v>6000</v>
      </c>
      <c r="C1170" s="1">
        <f>IFERROR(__xludf.DUMMYFUNCTION("""COMPUTED_VALUE"""),6090.0)</f>
        <v>6090</v>
      </c>
      <c r="D1170" s="1">
        <f>IFERROR(__xludf.DUMMYFUNCTION("""COMPUTED_VALUE"""),5980.0)</f>
        <v>5980</v>
      </c>
      <c r="E1170" s="1">
        <f>IFERROR(__xludf.DUMMYFUNCTION("""COMPUTED_VALUE"""),6010.0)</f>
        <v>6010</v>
      </c>
      <c r="F1170" s="1">
        <f>IFERROR(__xludf.DUMMYFUNCTION("""COMPUTED_VALUE"""),20918.0)</f>
        <v>20918</v>
      </c>
    </row>
    <row r="1171">
      <c r="A1171" s="2">
        <f>IFERROR(__xludf.DUMMYFUNCTION("""COMPUTED_VALUE"""),42915.64583333333)</f>
        <v>42915.64583</v>
      </c>
      <c r="B1171" s="1">
        <f>IFERROR(__xludf.DUMMYFUNCTION("""COMPUTED_VALUE"""),6070.0)</f>
        <v>6070</v>
      </c>
      <c r="C1171" s="1">
        <f>IFERROR(__xludf.DUMMYFUNCTION("""COMPUTED_VALUE"""),6070.0)</f>
        <v>6070</v>
      </c>
      <c r="D1171" s="1">
        <f>IFERROR(__xludf.DUMMYFUNCTION("""COMPUTED_VALUE"""),5950.0)</f>
        <v>5950</v>
      </c>
      <c r="E1171" s="1">
        <f>IFERROR(__xludf.DUMMYFUNCTION("""COMPUTED_VALUE"""),6020.0)</f>
        <v>6020</v>
      </c>
      <c r="F1171" s="1">
        <f>IFERROR(__xludf.DUMMYFUNCTION("""COMPUTED_VALUE"""),11719.0)</f>
        <v>11719</v>
      </c>
    </row>
    <row r="1172">
      <c r="A1172" s="2">
        <f>IFERROR(__xludf.DUMMYFUNCTION("""COMPUTED_VALUE"""),42916.64583333333)</f>
        <v>42916.64583</v>
      </c>
      <c r="B1172" s="1">
        <f>IFERROR(__xludf.DUMMYFUNCTION("""COMPUTED_VALUE"""),6010.0)</f>
        <v>6010</v>
      </c>
      <c r="C1172" s="1">
        <f>IFERROR(__xludf.DUMMYFUNCTION("""COMPUTED_VALUE"""),6140.0)</f>
        <v>6140</v>
      </c>
      <c r="D1172" s="1">
        <f>IFERROR(__xludf.DUMMYFUNCTION("""COMPUTED_VALUE"""),6000.0)</f>
        <v>6000</v>
      </c>
      <c r="E1172" s="1">
        <f>IFERROR(__xludf.DUMMYFUNCTION("""COMPUTED_VALUE"""),6030.0)</f>
        <v>6030</v>
      </c>
      <c r="F1172" s="1">
        <f>IFERROR(__xludf.DUMMYFUNCTION("""COMPUTED_VALUE"""),6785.0)</f>
        <v>6785</v>
      </c>
    </row>
    <row r="1173">
      <c r="A1173" s="2">
        <f>IFERROR(__xludf.DUMMYFUNCTION("""COMPUTED_VALUE"""),42919.64583333333)</f>
        <v>42919.64583</v>
      </c>
      <c r="B1173" s="1">
        <f>IFERROR(__xludf.DUMMYFUNCTION("""COMPUTED_VALUE"""),6030.0)</f>
        <v>6030</v>
      </c>
      <c r="C1173" s="1">
        <f>IFERROR(__xludf.DUMMYFUNCTION("""COMPUTED_VALUE"""),6120.0)</f>
        <v>6120</v>
      </c>
      <c r="D1173" s="1">
        <f>IFERROR(__xludf.DUMMYFUNCTION("""COMPUTED_VALUE"""),5950.0)</f>
        <v>5950</v>
      </c>
      <c r="E1173" s="1">
        <f>IFERROR(__xludf.DUMMYFUNCTION("""COMPUTED_VALUE"""),5980.0)</f>
        <v>5980</v>
      </c>
      <c r="F1173" s="1">
        <f>IFERROR(__xludf.DUMMYFUNCTION("""COMPUTED_VALUE"""),13683.0)</f>
        <v>13683</v>
      </c>
    </row>
    <row r="1174">
      <c r="A1174" s="2">
        <f>IFERROR(__xludf.DUMMYFUNCTION("""COMPUTED_VALUE"""),42920.64583333333)</f>
        <v>42920.64583</v>
      </c>
      <c r="B1174" s="1">
        <f>IFERROR(__xludf.DUMMYFUNCTION("""COMPUTED_VALUE"""),6030.0)</f>
        <v>6030</v>
      </c>
      <c r="C1174" s="1">
        <f>IFERROR(__xludf.DUMMYFUNCTION("""COMPUTED_VALUE"""),6030.0)</f>
        <v>6030</v>
      </c>
      <c r="D1174" s="1">
        <f>IFERROR(__xludf.DUMMYFUNCTION("""COMPUTED_VALUE"""),5890.0)</f>
        <v>5890</v>
      </c>
      <c r="E1174" s="1">
        <f>IFERROR(__xludf.DUMMYFUNCTION("""COMPUTED_VALUE"""),5930.0)</f>
        <v>5930</v>
      </c>
      <c r="F1174" s="1">
        <f>IFERROR(__xludf.DUMMYFUNCTION("""COMPUTED_VALUE"""),11378.0)</f>
        <v>11378</v>
      </c>
    </row>
    <row r="1175">
      <c r="A1175" s="2">
        <f>IFERROR(__xludf.DUMMYFUNCTION("""COMPUTED_VALUE"""),42921.64583333333)</f>
        <v>42921.64583</v>
      </c>
      <c r="B1175" s="1">
        <f>IFERROR(__xludf.DUMMYFUNCTION("""COMPUTED_VALUE"""),5950.0)</f>
        <v>5950</v>
      </c>
      <c r="C1175" s="1">
        <f>IFERROR(__xludf.DUMMYFUNCTION("""COMPUTED_VALUE"""),5950.0)</f>
        <v>5950</v>
      </c>
      <c r="D1175" s="1">
        <f>IFERROR(__xludf.DUMMYFUNCTION("""COMPUTED_VALUE"""),5860.0)</f>
        <v>5860</v>
      </c>
      <c r="E1175" s="1">
        <f>IFERROR(__xludf.DUMMYFUNCTION("""COMPUTED_VALUE"""),5930.0)</f>
        <v>5930</v>
      </c>
      <c r="F1175" s="1">
        <f>IFERROR(__xludf.DUMMYFUNCTION("""COMPUTED_VALUE"""),11493.0)</f>
        <v>11493</v>
      </c>
    </row>
    <row r="1176">
      <c r="A1176" s="2">
        <f>IFERROR(__xludf.DUMMYFUNCTION("""COMPUTED_VALUE"""),42922.64583333333)</f>
        <v>42922.64583</v>
      </c>
      <c r="B1176" s="1">
        <f>IFERROR(__xludf.DUMMYFUNCTION("""COMPUTED_VALUE"""),5930.0)</f>
        <v>5930</v>
      </c>
      <c r="C1176" s="1">
        <f>IFERROR(__xludf.DUMMYFUNCTION("""COMPUTED_VALUE"""),5940.0)</f>
        <v>5940</v>
      </c>
      <c r="D1176" s="1">
        <f>IFERROR(__xludf.DUMMYFUNCTION("""COMPUTED_VALUE"""),5870.0)</f>
        <v>5870</v>
      </c>
      <c r="E1176" s="1">
        <f>IFERROR(__xludf.DUMMYFUNCTION("""COMPUTED_VALUE"""),5920.0)</f>
        <v>5920</v>
      </c>
      <c r="F1176" s="1">
        <f>IFERROR(__xludf.DUMMYFUNCTION("""COMPUTED_VALUE"""),11008.0)</f>
        <v>11008</v>
      </c>
    </row>
    <row r="1177">
      <c r="A1177" s="2">
        <f>IFERROR(__xludf.DUMMYFUNCTION("""COMPUTED_VALUE"""),42923.64583333333)</f>
        <v>42923.64583</v>
      </c>
      <c r="B1177" s="1">
        <f>IFERROR(__xludf.DUMMYFUNCTION("""COMPUTED_VALUE"""),6000.0)</f>
        <v>6000</v>
      </c>
      <c r="C1177" s="1">
        <f>IFERROR(__xludf.DUMMYFUNCTION("""COMPUTED_VALUE"""),6000.0)</f>
        <v>6000</v>
      </c>
      <c r="D1177" s="1">
        <f>IFERROR(__xludf.DUMMYFUNCTION("""COMPUTED_VALUE"""),5850.0)</f>
        <v>5850</v>
      </c>
      <c r="E1177" s="1">
        <f>IFERROR(__xludf.DUMMYFUNCTION("""COMPUTED_VALUE"""),5900.0)</f>
        <v>5900</v>
      </c>
      <c r="F1177" s="1">
        <f>IFERROR(__xludf.DUMMYFUNCTION("""COMPUTED_VALUE"""),9812.0)</f>
        <v>9812</v>
      </c>
    </row>
    <row r="1178">
      <c r="A1178" s="2">
        <f>IFERROR(__xludf.DUMMYFUNCTION("""COMPUTED_VALUE"""),42926.64583333333)</f>
        <v>42926.64583</v>
      </c>
      <c r="B1178" s="1">
        <f>IFERROR(__xludf.DUMMYFUNCTION("""COMPUTED_VALUE"""),5950.0)</f>
        <v>5950</v>
      </c>
      <c r="C1178" s="1">
        <f>IFERROR(__xludf.DUMMYFUNCTION("""COMPUTED_VALUE"""),5950.0)</f>
        <v>5950</v>
      </c>
      <c r="D1178" s="1">
        <f>IFERROR(__xludf.DUMMYFUNCTION("""COMPUTED_VALUE"""),5780.0)</f>
        <v>5780</v>
      </c>
      <c r="E1178" s="1">
        <f>IFERROR(__xludf.DUMMYFUNCTION("""COMPUTED_VALUE"""),5900.0)</f>
        <v>5900</v>
      </c>
      <c r="F1178" s="1">
        <f>IFERROR(__xludf.DUMMYFUNCTION("""COMPUTED_VALUE"""),20133.0)</f>
        <v>20133</v>
      </c>
    </row>
    <row r="1179">
      <c r="A1179" s="2">
        <f>IFERROR(__xludf.DUMMYFUNCTION("""COMPUTED_VALUE"""),42927.64583333333)</f>
        <v>42927.64583</v>
      </c>
      <c r="B1179" s="1">
        <f>IFERROR(__xludf.DUMMYFUNCTION("""COMPUTED_VALUE"""),5900.0)</f>
        <v>5900</v>
      </c>
      <c r="C1179" s="1">
        <f>IFERROR(__xludf.DUMMYFUNCTION("""COMPUTED_VALUE"""),5900.0)</f>
        <v>5900</v>
      </c>
      <c r="D1179" s="1">
        <f>IFERROR(__xludf.DUMMYFUNCTION("""COMPUTED_VALUE"""),5650.0)</f>
        <v>5650</v>
      </c>
      <c r="E1179" s="1">
        <f>IFERROR(__xludf.DUMMYFUNCTION("""COMPUTED_VALUE"""),5880.0)</f>
        <v>5880</v>
      </c>
      <c r="F1179" s="1">
        <f>IFERROR(__xludf.DUMMYFUNCTION("""COMPUTED_VALUE"""),40848.0)</f>
        <v>40848</v>
      </c>
    </row>
    <row r="1180">
      <c r="A1180" s="2">
        <f>IFERROR(__xludf.DUMMYFUNCTION("""COMPUTED_VALUE"""),42928.64583333333)</f>
        <v>42928.64583</v>
      </c>
      <c r="B1180" s="1">
        <f>IFERROR(__xludf.DUMMYFUNCTION("""COMPUTED_VALUE"""),5880.0)</f>
        <v>5880</v>
      </c>
      <c r="C1180" s="1">
        <f>IFERROR(__xludf.DUMMYFUNCTION("""COMPUTED_VALUE"""),5880.0)</f>
        <v>5880</v>
      </c>
      <c r="D1180" s="1">
        <f>IFERROR(__xludf.DUMMYFUNCTION("""COMPUTED_VALUE"""),5700.0)</f>
        <v>5700</v>
      </c>
      <c r="E1180" s="1">
        <f>IFERROR(__xludf.DUMMYFUNCTION("""COMPUTED_VALUE"""),5820.0)</f>
        <v>5820</v>
      </c>
      <c r="F1180" s="1">
        <f>IFERROR(__xludf.DUMMYFUNCTION("""COMPUTED_VALUE"""),19992.0)</f>
        <v>19992</v>
      </c>
    </row>
    <row r="1181">
      <c r="A1181" s="2">
        <f>IFERROR(__xludf.DUMMYFUNCTION("""COMPUTED_VALUE"""),42929.64583333333)</f>
        <v>42929.64583</v>
      </c>
      <c r="B1181" s="1">
        <f>IFERROR(__xludf.DUMMYFUNCTION("""COMPUTED_VALUE"""),5880.0)</f>
        <v>5880</v>
      </c>
      <c r="C1181" s="1">
        <f>IFERROR(__xludf.DUMMYFUNCTION("""COMPUTED_VALUE"""),5880.0)</f>
        <v>5880</v>
      </c>
      <c r="D1181" s="1">
        <f>IFERROR(__xludf.DUMMYFUNCTION("""COMPUTED_VALUE"""),5540.0)</f>
        <v>5540</v>
      </c>
      <c r="E1181" s="1">
        <f>IFERROR(__xludf.DUMMYFUNCTION("""COMPUTED_VALUE"""),5540.0)</f>
        <v>5540</v>
      </c>
      <c r="F1181" s="1">
        <f>IFERROR(__xludf.DUMMYFUNCTION("""COMPUTED_VALUE"""),73260.0)</f>
        <v>73260</v>
      </c>
    </row>
    <row r="1182">
      <c r="A1182" s="2">
        <f>IFERROR(__xludf.DUMMYFUNCTION("""COMPUTED_VALUE"""),42930.64583333333)</f>
        <v>42930.64583</v>
      </c>
      <c r="B1182" s="1">
        <f>IFERROR(__xludf.DUMMYFUNCTION("""COMPUTED_VALUE"""),5530.0)</f>
        <v>5530</v>
      </c>
      <c r="C1182" s="1">
        <f>IFERROR(__xludf.DUMMYFUNCTION("""COMPUTED_VALUE"""),5540.0)</f>
        <v>5540</v>
      </c>
      <c r="D1182" s="1">
        <f>IFERROR(__xludf.DUMMYFUNCTION("""COMPUTED_VALUE"""),5200.0)</f>
        <v>5200</v>
      </c>
      <c r="E1182" s="1">
        <f>IFERROR(__xludf.DUMMYFUNCTION("""COMPUTED_VALUE"""),5540.0)</f>
        <v>5540</v>
      </c>
      <c r="F1182" s="1">
        <f>IFERROR(__xludf.DUMMYFUNCTION("""COMPUTED_VALUE"""),108497.0)</f>
        <v>108497</v>
      </c>
    </row>
    <row r="1183">
      <c r="A1183" s="2">
        <f>IFERROR(__xludf.DUMMYFUNCTION("""COMPUTED_VALUE"""),42933.64583333333)</f>
        <v>42933.64583</v>
      </c>
      <c r="B1183" s="1">
        <f>IFERROR(__xludf.DUMMYFUNCTION("""COMPUTED_VALUE"""),5450.0)</f>
        <v>5450</v>
      </c>
      <c r="C1183" s="1">
        <f>IFERROR(__xludf.DUMMYFUNCTION("""COMPUTED_VALUE"""),5650.0)</f>
        <v>5650</v>
      </c>
      <c r="D1183" s="1">
        <f>IFERROR(__xludf.DUMMYFUNCTION("""COMPUTED_VALUE"""),5360.0)</f>
        <v>5360</v>
      </c>
      <c r="E1183" s="1">
        <f>IFERROR(__xludf.DUMMYFUNCTION("""COMPUTED_VALUE"""),5510.0)</f>
        <v>5510</v>
      </c>
      <c r="F1183" s="1">
        <f>IFERROR(__xludf.DUMMYFUNCTION("""COMPUTED_VALUE"""),19515.0)</f>
        <v>19515</v>
      </c>
    </row>
    <row r="1184">
      <c r="A1184" s="2">
        <f>IFERROR(__xludf.DUMMYFUNCTION("""COMPUTED_VALUE"""),42934.64583333333)</f>
        <v>42934.64583</v>
      </c>
      <c r="B1184" s="1">
        <f>IFERROR(__xludf.DUMMYFUNCTION("""COMPUTED_VALUE"""),5510.0)</f>
        <v>5510</v>
      </c>
      <c r="C1184" s="1">
        <f>IFERROR(__xludf.DUMMYFUNCTION("""COMPUTED_VALUE"""),5510.0)</f>
        <v>5510</v>
      </c>
      <c r="D1184" s="1">
        <f>IFERROR(__xludf.DUMMYFUNCTION("""COMPUTED_VALUE"""),5330.0)</f>
        <v>5330</v>
      </c>
      <c r="E1184" s="1">
        <f>IFERROR(__xludf.DUMMYFUNCTION("""COMPUTED_VALUE"""),5350.0)</f>
        <v>5350</v>
      </c>
      <c r="F1184" s="1">
        <f>IFERROR(__xludf.DUMMYFUNCTION("""COMPUTED_VALUE"""),13789.0)</f>
        <v>13789</v>
      </c>
    </row>
    <row r="1185">
      <c r="A1185" s="2">
        <f>IFERROR(__xludf.DUMMYFUNCTION("""COMPUTED_VALUE"""),42935.64583333333)</f>
        <v>42935.64583</v>
      </c>
      <c r="B1185" s="1">
        <f>IFERROR(__xludf.DUMMYFUNCTION("""COMPUTED_VALUE"""),5350.0)</f>
        <v>5350</v>
      </c>
      <c r="C1185" s="1">
        <f>IFERROR(__xludf.DUMMYFUNCTION("""COMPUTED_VALUE"""),5450.0)</f>
        <v>5450</v>
      </c>
      <c r="D1185" s="1">
        <f>IFERROR(__xludf.DUMMYFUNCTION("""COMPUTED_VALUE"""),5190.0)</f>
        <v>5190</v>
      </c>
      <c r="E1185" s="1">
        <f>IFERROR(__xludf.DUMMYFUNCTION("""COMPUTED_VALUE"""),5250.0)</f>
        <v>5250</v>
      </c>
      <c r="F1185" s="1">
        <f>IFERROR(__xludf.DUMMYFUNCTION("""COMPUTED_VALUE"""),32808.0)</f>
        <v>32808</v>
      </c>
    </row>
    <row r="1186">
      <c r="A1186" s="2">
        <f>IFERROR(__xludf.DUMMYFUNCTION("""COMPUTED_VALUE"""),42936.64583333333)</f>
        <v>42936.64583</v>
      </c>
      <c r="B1186" s="1">
        <f>IFERROR(__xludf.DUMMYFUNCTION("""COMPUTED_VALUE"""),5260.0)</f>
        <v>5260</v>
      </c>
      <c r="C1186" s="1">
        <f>IFERROR(__xludf.DUMMYFUNCTION("""COMPUTED_VALUE"""),5400.0)</f>
        <v>5400</v>
      </c>
      <c r="D1186" s="1">
        <f>IFERROR(__xludf.DUMMYFUNCTION("""COMPUTED_VALUE"""),5200.0)</f>
        <v>5200</v>
      </c>
      <c r="E1186" s="1">
        <f>IFERROR(__xludf.DUMMYFUNCTION("""COMPUTED_VALUE"""),5280.0)</f>
        <v>5280</v>
      </c>
      <c r="F1186" s="1">
        <f>IFERROR(__xludf.DUMMYFUNCTION("""COMPUTED_VALUE"""),14959.0)</f>
        <v>14959</v>
      </c>
    </row>
    <row r="1187">
      <c r="A1187" s="2">
        <f>IFERROR(__xludf.DUMMYFUNCTION("""COMPUTED_VALUE"""),42937.64583333333)</f>
        <v>42937.64583</v>
      </c>
      <c r="B1187" s="1">
        <f>IFERROR(__xludf.DUMMYFUNCTION("""COMPUTED_VALUE"""),5430.0)</f>
        <v>5430</v>
      </c>
      <c r="C1187" s="1">
        <f>IFERROR(__xludf.DUMMYFUNCTION("""COMPUTED_VALUE"""),5430.0)</f>
        <v>5430</v>
      </c>
      <c r="D1187" s="1">
        <f>IFERROR(__xludf.DUMMYFUNCTION("""COMPUTED_VALUE"""),5250.0)</f>
        <v>5250</v>
      </c>
      <c r="E1187" s="1">
        <f>IFERROR(__xludf.DUMMYFUNCTION("""COMPUTED_VALUE"""),5370.0)</f>
        <v>5370</v>
      </c>
      <c r="F1187" s="1">
        <f>IFERROR(__xludf.DUMMYFUNCTION("""COMPUTED_VALUE"""),23590.0)</f>
        <v>23590</v>
      </c>
    </row>
    <row r="1188">
      <c r="A1188" s="2">
        <f>IFERROR(__xludf.DUMMYFUNCTION("""COMPUTED_VALUE"""),42940.64583333333)</f>
        <v>42940.64583</v>
      </c>
      <c r="B1188" s="1">
        <f>IFERROR(__xludf.DUMMYFUNCTION("""COMPUTED_VALUE"""),5370.0)</f>
        <v>5370</v>
      </c>
      <c r="C1188" s="1">
        <f>IFERROR(__xludf.DUMMYFUNCTION("""COMPUTED_VALUE"""),5470.0)</f>
        <v>5470</v>
      </c>
      <c r="D1188" s="1">
        <f>IFERROR(__xludf.DUMMYFUNCTION("""COMPUTED_VALUE"""),5250.0)</f>
        <v>5250</v>
      </c>
      <c r="E1188" s="1">
        <f>IFERROR(__xludf.DUMMYFUNCTION("""COMPUTED_VALUE"""),5320.0)</f>
        <v>5320</v>
      </c>
      <c r="F1188" s="1">
        <f>IFERROR(__xludf.DUMMYFUNCTION("""COMPUTED_VALUE"""),9311.0)</f>
        <v>9311</v>
      </c>
    </row>
    <row r="1189">
      <c r="A1189" s="2">
        <f>IFERROR(__xludf.DUMMYFUNCTION("""COMPUTED_VALUE"""),42941.64583333333)</f>
        <v>42941.64583</v>
      </c>
      <c r="B1189" s="1">
        <f>IFERROR(__xludf.DUMMYFUNCTION("""COMPUTED_VALUE"""),5440.0)</f>
        <v>5440</v>
      </c>
      <c r="C1189" s="1">
        <f>IFERROR(__xludf.DUMMYFUNCTION("""COMPUTED_VALUE"""),5440.0)</f>
        <v>5440</v>
      </c>
      <c r="D1189" s="1">
        <f>IFERROR(__xludf.DUMMYFUNCTION("""COMPUTED_VALUE"""),5130.0)</f>
        <v>5130</v>
      </c>
      <c r="E1189" s="1">
        <f>IFERROR(__xludf.DUMMYFUNCTION("""COMPUTED_VALUE"""),5130.0)</f>
        <v>5130</v>
      </c>
      <c r="F1189" s="1">
        <f>IFERROR(__xludf.DUMMYFUNCTION("""COMPUTED_VALUE"""),29152.0)</f>
        <v>29152</v>
      </c>
    </row>
    <row r="1190">
      <c r="A1190" s="2">
        <f>IFERROR(__xludf.DUMMYFUNCTION("""COMPUTED_VALUE"""),42942.64583333333)</f>
        <v>42942.64583</v>
      </c>
      <c r="B1190" s="1">
        <f>IFERROR(__xludf.DUMMYFUNCTION("""COMPUTED_VALUE"""),5180.0)</f>
        <v>5180</v>
      </c>
      <c r="C1190" s="1">
        <f>IFERROR(__xludf.DUMMYFUNCTION("""COMPUTED_VALUE"""),5400.0)</f>
        <v>5400</v>
      </c>
      <c r="D1190" s="1">
        <f>IFERROR(__xludf.DUMMYFUNCTION("""COMPUTED_VALUE"""),5060.0)</f>
        <v>5060</v>
      </c>
      <c r="E1190" s="1">
        <f>IFERROR(__xludf.DUMMYFUNCTION("""COMPUTED_VALUE"""),5140.0)</f>
        <v>5140</v>
      </c>
      <c r="F1190" s="1">
        <f>IFERROR(__xludf.DUMMYFUNCTION("""COMPUTED_VALUE"""),19137.0)</f>
        <v>19137</v>
      </c>
    </row>
    <row r="1191">
      <c r="A1191" s="2">
        <f>IFERROR(__xludf.DUMMYFUNCTION("""COMPUTED_VALUE"""),42943.64583333333)</f>
        <v>42943.64583</v>
      </c>
      <c r="B1191" s="1">
        <f>IFERROR(__xludf.DUMMYFUNCTION("""COMPUTED_VALUE"""),5320.0)</f>
        <v>5320</v>
      </c>
      <c r="C1191" s="1">
        <f>IFERROR(__xludf.DUMMYFUNCTION("""COMPUTED_VALUE"""),5320.0)</f>
        <v>5320</v>
      </c>
      <c r="D1191" s="1">
        <f>IFERROR(__xludf.DUMMYFUNCTION("""COMPUTED_VALUE"""),5130.0)</f>
        <v>5130</v>
      </c>
      <c r="E1191" s="1">
        <f>IFERROR(__xludf.DUMMYFUNCTION("""COMPUTED_VALUE"""),5180.0)</f>
        <v>5180</v>
      </c>
      <c r="F1191" s="1">
        <f>IFERROR(__xludf.DUMMYFUNCTION("""COMPUTED_VALUE"""),4249.0)</f>
        <v>4249</v>
      </c>
    </row>
    <row r="1192">
      <c r="A1192" s="2">
        <f>IFERROR(__xludf.DUMMYFUNCTION("""COMPUTED_VALUE"""),42944.64583333333)</f>
        <v>42944.64583</v>
      </c>
      <c r="B1192" s="1">
        <f>IFERROR(__xludf.DUMMYFUNCTION("""COMPUTED_VALUE"""),5210.0)</f>
        <v>5210</v>
      </c>
      <c r="C1192" s="1">
        <f>IFERROR(__xludf.DUMMYFUNCTION("""COMPUTED_VALUE"""),5210.0)</f>
        <v>5210</v>
      </c>
      <c r="D1192" s="1">
        <f>IFERROR(__xludf.DUMMYFUNCTION("""COMPUTED_VALUE"""),5140.0)</f>
        <v>5140</v>
      </c>
      <c r="E1192" s="1">
        <f>IFERROR(__xludf.DUMMYFUNCTION("""COMPUTED_VALUE"""),5180.0)</f>
        <v>5180</v>
      </c>
      <c r="F1192" s="1">
        <f>IFERROR(__xludf.DUMMYFUNCTION("""COMPUTED_VALUE"""),13206.0)</f>
        <v>13206</v>
      </c>
    </row>
    <row r="1193">
      <c r="A1193" s="2">
        <f>IFERROR(__xludf.DUMMYFUNCTION("""COMPUTED_VALUE"""),42947.64583333333)</f>
        <v>42947.64583</v>
      </c>
      <c r="B1193" s="1">
        <f>IFERROR(__xludf.DUMMYFUNCTION("""COMPUTED_VALUE"""),5300.0)</f>
        <v>5300</v>
      </c>
      <c r="C1193" s="1">
        <f>IFERROR(__xludf.DUMMYFUNCTION("""COMPUTED_VALUE"""),5360.0)</f>
        <v>5360</v>
      </c>
      <c r="D1193" s="1">
        <f>IFERROR(__xludf.DUMMYFUNCTION("""COMPUTED_VALUE"""),4990.0)</f>
        <v>4990</v>
      </c>
      <c r="E1193" s="1">
        <f>IFERROR(__xludf.DUMMYFUNCTION("""COMPUTED_VALUE"""),5180.0)</f>
        <v>5180</v>
      </c>
      <c r="F1193" s="1">
        <f>IFERROR(__xludf.DUMMYFUNCTION("""COMPUTED_VALUE"""),37398.0)</f>
        <v>37398</v>
      </c>
    </row>
    <row r="1194">
      <c r="A1194" s="2">
        <f>IFERROR(__xludf.DUMMYFUNCTION("""COMPUTED_VALUE"""),42948.64583333333)</f>
        <v>42948.64583</v>
      </c>
      <c r="B1194" s="1">
        <f>IFERROR(__xludf.DUMMYFUNCTION("""COMPUTED_VALUE"""),5190.0)</f>
        <v>5190</v>
      </c>
      <c r="C1194" s="1">
        <f>IFERROR(__xludf.DUMMYFUNCTION("""COMPUTED_VALUE"""),5290.0)</f>
        <v>5290</v>
      </c>
      <c r="D1194" s="1">
        <f>IFERROR(__xludf.DUMMYFUNCTION("""COMPUTED_VALUE"""),5150.0)</f>
        <v>5150</v>
      </c>
      <c r="E1194" s="1">
        <f>IFERROR(__xludf.DUMMYFUNCTION("""COMPUTED_VALUE"""),5220.0)</f>
        <v>5220</v>
      </c>
      <c r="F1194" s="1">
        <f>IFERROR(__xludf.DUMMYFUNCTION("""COMPUTED_VALUE"""),9956.0)</f>
        <v>9956</v>
      </c>
    </row>
    <row r="1195">
      <c r="A1195" s="2">
        <f>IFERROR(__xludf.DUMMYFUNCTION("""COMPUTED_VALUE"""),42949.64583333333)</f>
        <v>42949.64583</v>
      </c>
      <c r="B1195" s="1">
        <f>IFERROR(__xludf.DUMMYFUNCTION("""COMPUTED_VALUE"""),5210.0)</f>
        <v>5210</v>
      </c>
      <c r="C1195" s="1">
        <f>IFERROR(__xludf.DUMMYFUNCTION("""COMPUTED_VALUE"""),5240.0)</f>
        <v>5240</v>
      </c>
      <c r="D1195" s="1">
        <f>IFERROR(__xludf.DUMMYFUNCTION("""COMPUTED_VALUE"""),5110.0)</f>
        <v>5110</v>
      </c>
      <c r="E1195" s="1">
        <f>IFERROR(__xludf.DUMMYFUNCTION("""COMPUTED_VALUE"""),5200.0)</f>
        <v>5200</v>
      </c>
      <c r="F1195" s="1">
        <f>IFERROR(__xludf.DUMMYFUNCTION("""COMPUTED_VALUE"""),3738.0)</f>
        <v>3738</v>
      </c>
    </row>
    <row r="1196">
      <c r="A1196" s="2">
        <f>IFERROR(__xludf.DUMMYFUNCTION("""COMPUTED_VALUE"""),42950.64583333333)</f>
        <v>42950.64583</v>
      </c>
      <c r="B1196" s="1">
        <f>IFERROR(__xludf.DUMMYFUNCTION("""COMPUTED_VALUE"""),5200.0)</f>
        <v>5200</v>
      </c>
      <c r="C1196" s="1">
        <f>IFERROR(__xludf.DUMMYFUNCTION("""COMPUTED_VALUE"""),5200.0)</f>
        <v>5200</v>
      </c>
      <c r="D1196" s="1">
        <f>IFERROR(__xludf.DUMMYFUNCTION("""COMPUTED_VALUE"""),5080.0)</f>
        <v>5080</v>
      </c>
      <c r="E1196" s="1">
        <f>IFERROR(__xludf.DUMMYFUNCTION("""COMPUTED_VALUE"""),5180.0)</f>
        <v>5180</v>
      </c>
      <c r="F1196" s="1">
        <f>IFERROR(__xludf.DUMMYFUNCTION("""COMPUTED_VALUE"""),3521.0)</f>
        <v>3521</v>
      </c>
    </row>
    <row r="1197">
      <c r="A1197" s="2">
        <f>IFERROR(__xludf.DUMMYFUNCTION("""COMPUTED_VALUE"""),42951.64583333333)</f>
        <v>42951.64583</v>
      </c>
      <c r="B1197" s="1">
        <f>IFERROR(__xludf.DUMMYFUNCTION("""COMPUTED_VALUE"""),5180.0)</f>
        <v>5180</v>
      </c>
      <c r="C1197" s="1">
        <f>IFERROR(__xludf.DUMMYFUNCTION("""COMPUTED_VALUE"""),5180.0)</f>
        <v>5180</v>
      </c>
      <c r="D1197" s="1">
        <f>IFERROR(__xludf.DUMMYFUNCTION("""COMPUTED_VALUE"""),4900.0)</f>
        <v>4900</v>
      </c>
      <c r="E1197" s="1">
        <f>IFERROR(__xludf.DUMMYFUNCTION("""COMPUTED_VALUE"""),5170.0)</f>
        <v>5170</v>
      </c>
      <c r="F1197" s="1">
        <f>IFERROR(__xludf.DUMMYFUNCTION("""COMPUTED_VALUE"""),31970.0)</f>
        <v>31970</v>
      </c>
    </row>
    <row r="1198">
      <c r="A1198" s="2">
        <f>IFERROR(__xludf.DUMMYFUNCTION("""COMPUTED_VALUE"""),42954.64583333333)</f>
        <v>42954.64583</v>
      </c>
      <c r="B1198" s="1">
        <f>IFERROR(__xludf.DUMMYFUNCTION("""COMPUTED_VALUE"""),5120.0)</f>
        <v>5120</v>
      </c>
      <c r="C1198" s="1">
        <f>IFERROR(__xludf.DUMMYFUNCTION("""COMPUTED_VALUE"""),5150.0)</f>
        <v>5150</v>
      </c>
      <c r="D1198" s="1">
        <f>IFERROR(__xludf.DUMMYFUNCTION("""COMPUTED_VALUE"""),5060.0)</f>
        <v>5060</v>
      </c>
      <c r="E1198" s="1">
        <f>IFERROR(__xludf.DUMMYFUNCTION("""COMPUTED_VALUE"""),5150.0)</f>
        <v>5150</v>
      </c>
      <c r="F1198" s="1">
        <f>IFERROR(__xludf.DUMMYFUNCTION("""COMPUTED_VALUE"""),6135.0)</f>
        <v>6135</v>
      </c>
    </row>
    <row r="1199">
      <c r="A1199" s="2">
        <f>IFERROR(__xludf.DUMMYFUNCTION("""COMPUTED_VALUE"""),42955.64583333333)</f>
        <v>42955.64583</v>
      </c>
      <c r="B1199" s="1">
        <f>IFERROR(__xludf.DUMMYFUNCTION("""COMPUTED_VALUE"""),5080.0)</f>
        <v>5080</v>
      </c>
      <c r="C1199" s="1">
        <f>IFERROR(__xludf.DUMMYFUNCTION("""COMPUTED_VALUE"""),5140.0)</f>
        <v>5140</v>
      </c>
      <c r="D1199" s="1">
        <f>IFERROR(__xludf.DUMMYFUNCTION("""COMPUTED_VALUE"""),5020.0)</f>
        <v>5020</v>
      </c>
      <c r="E1199" s="1">
        <f>IFERROR(__xludf.DUMMYFUNCTION("""COMPUTED_VALUE"""),5040.0)</f>
        <v>5040</v>
      </c>
      <c r="F1199" s="1">
        <f>IFERROR(__xludf.DUMMYFUNCTION("""COMPUTED_VALUE"""),19291.0)</f>
        <v>19291</v>
      </c>
    </row>
    <row r="1200">
      <c r="A1200" s="2">
        <f>IFERROR(__xludf.DUMMYFUNCTION("""COMPUTED_VALUE"""),42956.64583333333)</f>
        <v>42956.64583</v>
      </c>
      <c r="B1200" s="1">
        <f>IFERROR(__xludf.DUMMYFUNCTION("""COMPUTED_VALUE"""),4950.0)</f>
        <v>4950</v>
      </c>
      <c r="C1200" s="1">
        <f>IFERROR(__xludf.DUMMYFUNCTION("""COMPUTED_VALUE"""),5080.0)</f>
        <v>5080</v>
      </c>
      <c r="D1200" s="1">
        <f>IFERROR(__xludf.DUMMYFUNCTION("""COMPUTED_VALUE"""),4900.0)</f>
        <v>4900</v>
      </c>
      <c r="E1200" s="1">
        <f>IFERROR(__xludf.DUMMYFUNCTION("""COMPUTED_VALUE"""),5070.0)</f>
        <v>5070</v>
      </c>
      <c r="F1200" s="1">
        <f>IFERROR(__xludf.DUMMYFUNCTION("""COMPUTED_VALUE"""),38541.0)</f>
        <v>38541</v>
      </c>
    </row>
    <row r="1201">
      <c r="A1201" s="2">
        <f>IFERROR(__xludf.DUMMYFUNCTION("""COMPUTED_VALUE"""),42957.64583333333)</f>
        <v>42957.64583</v>
      </c>
      <c r="B1201" s="1">
        <f>IFERROR(__xludf.DUMMYFUNCTION("""COMPUTED_VALUE"""),4935.0)</f>
        <v>4935</v>
      </c>
      <c r="C1201" s="1">
        <f>IFERROR(__xludf.DUMMYFUNCTION("""COMPUTED_VALUE"""),5100.0)</f>
        <v>5100</v>
      </c>
      <c r="D1201" s="1">
        <f>IFERROR(__xludf.DUMMYFUNCTION("""COMPUTED_VALUE"""),4800.0)</f>
        <v>4800</v>
      </c>
      <c r="E1201" s="1">
        <f>IFERROR(__xludf.DUMMYFUNCTION("""COMPUTED_VALUE"""),5100.0)</f>
        <v>5100</v>
      </c>
      <c r="F1201" s="1">
        <f>IFERROR(__xludf.DUMMYFUNCTION("""COMPUTED_VALUE"""),35357.0)</f>
        <v>35357</v>
      </c>
    </row>
    <row r="1202">
      <c r="A1202" s="2">
        <f>IFERROR(__xludf.DUMMYFUNCTION("""COMPUTED_VALUE"""),42958.64583333333)</f>
        <v>42958.64583</v>
      </c>
      <c r="B1202" s="1">
        <f>IFERROR(__xludf.DUMMYFUNCTION("""COMPUTED_VALUE"""),5050.0)</f>
        <v>5050</v>
      </c>
      <c r="C1202" s="1">
        <f>IFERROR(__xludf.DUMMYFUNCTION("""COMPUTED_VALUE"""),5090.0)</f>
        <v>5090</v>
      </c>
      <c r="D1202" s="1">
        <f>IFERROR(__xludf.DUMMYFUNCTION("""COMPUTED_VALUE"""),4890.0)</f>
        <v>4890</v>
      </c>
      <c r="E1202" s="1">
        <f>IFERROR(__xludf.DUMMYFUNCTION("""COMPUTED_VALUE"""),5060.0)</f>
        <v>5060</v>
      </c>
      <c r="F1202" s="1">
        <f>IFERROR(__xludf.DUMMYFUNCTION("""COMPUTED_VALUE"""),13388.0)</f>
        <v>13388</v>
      </c>
    </row>
    <row r="1203">
      <c r="A1203" s="2">
        <f>IFERROR(__xludf.DUMMYFUNCTION("""COMPUTED_VALUE"""),42961.64583333333)</f>
        <v>42961.64583</v>
      </c>
      <c r="B1203" s="1">
        <f>IFERROR(__xludf.DUMMYFUNCTION("""COMPUTED_VALUE"""),4935.0)</f>
        <v>4935</v>
      </c>
      <c r="C1203" s="1">
        <f>IFERROR(__xludf.DUMMYFUNCTION("""COMPUTED_VALUE"""),5190.0)</f>
        <v>5190</v>
      </c>
      <c r="D1203" s="1">
        <f>IFERROR(__xludf.DUMMYFUNCTION("""COMPUTED_VALUE"""),4935.0)</f>
        <v>4935</v>
      </c>
      <c r="E1203" s="1">
        <f>IFERROR(__xludf.DUMMYFUNCTION("""COMPUTED_VALUE"""),5110.0)</f>
        <v>5110</v>
      </c>
      <c r="F1203" s="1">
        <f>IFERROR(__xludf.DUMMYFUNCTION("""COMPUTED_VALUE"""),20977.0)</f>
        <v>20977</v>
      </c>
    </row>
    <row r="1204">
      <c r="A1204" s="2">
        <f>IFERROR(__xludf.DUMMYFUNCTION("""COMPUTED_VALUE"""),42963.64583333333)</f>
        <v>42963.64583</v>
      </c>
      <c r="B1204" s="1">
        <f>IFERROR(__xludf.DUMMYFUNCTION("""COMPUTED_VALUE"""),5350.0)</f>
        <v>5350</v>
      </c>
      <c r="C1204" s="1">
        <f>IFERROR(__xludf.DUMMYFUNCTION("""COMPUTED_VALUE"""),6500.0)</f>
        <v>6500</v>
      </c>
      <c r="D1204" s="1">
        <f>IFERROR(__xludf.DUMMYFUNCTION("""COMPUTED_VALUE"""),5300.0)</f>
        <v>5300</v>
      </c>
      <c r="E1204" s="1">
        <f>IFERROR(__xludf.DUMMYFUNCTION("""COMPUTED_VALUE"""),5710.0)</f>
        <v>5710</v>
      </c>
      <c r="F1204" s="1">
        <f>IFERROR(__xludf.DUMMYFUNCTION("""COMPUTED_VALUE"""),551561.0)</f>
        <v>551561</v>
      </c>
    </row>
    <row r="1205">
      <c r="A1205" s="2">
        <f>IFERROR(__xludf.DUMMYFUNCTION("""COMPUTED_VALUE"""),42964.64583333333)</f>
        <v>42964.64583</v>
      </c>
      <c r="B1205" s="1">
        <f>IFERROR(__xludf.DUMMYFUNCTION("""COMPUTED_VALUE"""),5710.0)</f>
        <v>5710</v>
      </c>
      <c r="C1205" s="1">
        <f>IFERROR(__xludf.DUMMYFUNCTION("""COMPUTED_VALUE"""),5750.0)</f>
        <v>5750</v>
      </c>
      <c r="D1205" s="1">
        <f>IFERROR(__xludf.DUMMYFUNCTION("""COMPUTED_VALUE"""),5420.0)</f>
        <v>5420</v>
      </c>
      <c r="E1205" s="1">
        <f>IFERROR(__xludf.DUMMYFUNCTION("""COMPUTED_VALUE"""),5630.0)</f>
        <v>5630</v>
      </c>
      <c r="F1205" s="1">
        <f>IFERROR(__xludf.DUMMYFUNCTION("""COMPUTED_VALUE"""),75806.0)</f>
        <v>75806</v>
      </c>
    </row>
    <row r="1206">
      <c r="A1206" s="2">
        <f>IFERROR(__xludf.DUMMYFUNCTION("""COMPUTED_VALUE"""),42965.64583333333)</f>
        <v>42965.64583</v>
      </c>
      <c r="B1206" s="1">
        <f>IFERROR(__xludf.DUMMYFUNCTION("""COMPUTED_VALUE"""),5600.0)</f>
        <v>5600</v>
      </c>
      <c r="C1206" s="1">
        <f>IFERROR(__xludf.DUMMYFUNCTION("""COMPUTED_VALUE"""),5750.0)</f>
        <v>5750</v>
      </c>
      <c r="D1206" s="1">
        <f>IFERROR(__xludf.DUMMYFUNCTION("""COMPUTED_VALUE"""),5460.0)</f>
        <v>5460</v>
      </c>
      <c r="E1206" s="1">
        <f>IFERROR(__xludf.DUMMYFUNCTION("""COMPUTED_VALUE"""),5710.0)</f>
        <v>5710</v>
      </c>
      <c r="F1206" s="1">
        <f>IFERROR(__xludf.DUMMYFUNCTION("""COMPUTED_VALUE"""),42811.0)</f>
        <v>42811</v>
      </c>
    </row>
    <row r="1207">
      <c r="A1207" s="2">
        <f>IFERROR(__xludf.DUMMYFUNCTION("""COMPUTED_VALUE"""),42968.64583333333)</f>
        <v>42968.64583</v>
      </c>
      <c r="B1207" s="1">
        <f>IFERROR(__xludf.DUMMYFUNCTION("""COMPUTED_VALUE"""),5710.0)</f>
        <v>5710</v>
      </c>
      <c r="C1207" s="1">
        <f>IFERROR(__xludf.DUMMYFUNCTION("""COMPUTED_VALUE"""),5760.0)</f>
        <v>5760</v>
      </c>
      <c r="D1207" s="1">
        <f>IFERROR(__xludf.DUMMYFUNCTION("""COMPUTED_VALUE"""),5530.0)</f>
        <v>5530</v>
      </c>
      <c r="E1207" s="1">
        <f>IFERROR(__xludf.DUMMYFUNCTION("""COMPUTED_VALUE"""),5530.0)</f>
        <v>5530</v>
      </c>
      <c r="F1207" s="1">
        <f>IFERROR(__xludf.DUMMYFUNCTION("""COMPUTED_VALUE"""),20904.0)</f>
        <v>20904</v>
      </c>
    </row>
    <row r="1208">
      <c r="A1208" s="2">
        <f>IFERROR(__xludf.DUMMYFUNCTION("""COMPUTED_VALUE"""),42969.64583333333)</f>
        <v>42969.64583</v>
      </c>
      <c r="B1208" s="1">
        <f>IFERROR(__xludf.DUMMYFUNCTION("""COMPUTED_VALUE"""),5420.0)</f>
        <v>5420</v>
      </c>
      <c r="C1208" s="1">
        <f>IFERROR(__xludf.DUMMYFUNCTION("""COMPUTED_VALUE"""),5670.0)</f>
        <v>5670</v>
      </c>
      <c r="D1208" s="1">
        <f>IFERROR(__xludf.DUMMYFUNCTION("""COMPUTED_VALUE"""),5360.0)</f>
        <v>5360</v>
      </c>
      <c r="E1208" s="1">
        <f>IFERROR(__xludf.DUMMYFUNCTION("""COMPUTED_VALUE"""),5630.0)</f>
        <v>5630</v>
      </c>
      <c r="F1208" s="1">
        <f>IFERROR(__xludf.DUMMYFUNCTION("""COMPUTED_VALUE"""),21071.0)</f>
        <v>21071</v>
      </c>
    </row>
    <row r="1209">
      <c r="A1209" s="2">
        <f>IFERROR(__xludf.DUMMYFUNCTION("""COMPUTED_VALUE"""),42970.64583333333)</f>
        <v>42970.64583</v>
      </c>
      <c r="B1209" s="1">
        <f>IFERROR(__xludf.DUMMYFUNCTION("""COMPUTED_VALUE"""),5830.0)</f>
        <v>5830</v>
      </c>
      <c r="C1209" s="1">
        <f>IFERROR(__xludf.DUMMYFUNCTION("""COMPUTED_VALUE"""),5830.0)</f>
        <v>5830</v>
      </c>
      <c r="D1209" s="1">
        <f>IFERROR(__xludf.DUMMYFUNCTION("""COMPUTED_VALUE"""),5450.0)</f>
        <v>5450</v>
      </c>
      <c r="E1209" s="1">
        <f>IFERROR(__xludf.DUMMYFUNCTION("""COMPUTED_VALUE"""),5540.0)</f>
        <v>5540</v>
      </c>
      <c r="F1209" s="1">
        <f>IFERROR(__xludf.DUMMYFUNCTION("""COMPUTED_VALUE"""),14382.0)</f>
        <v>14382</v>
      </c>
    </row>
    <row r="1210">
      <c r="A1210" s="2">
        <f>IFERROR(__xludf.DUMMYFUNCTION("""COMPUTED_VALUE"""),42971.64583333333)</f>
        <v>42971.64583</v>
      </c>
      <c r="B1210" s="1">
        <f>IFERROR(__xludf.DUMMYFUNCTION("""COMPUTED_VALUE"""),5570.0)</f>
        <v>5570</v>
      </c>
      <c r="C1210" s="1">
        <f>IFERROR(__xludf.DUMMYFUNCTION("""COMPUTED_VALUE"""),5600.0)</f>
        <v>5600</v>
      </c>
      <c r="D1210" s="1">
        <f>IFERROR(__xludf.DUMMYFUNCTION("""COMPUTED_VALUE"""),5410.0)</f>
        <v>5410</v>
      </c>
      <c r="E1210" s="1">
        <f>IFERROR(__xludf.DUMMYFUNCTION("""COMPUTED_VALUE"""),5490.0)</f>
        <v>5490</v>
      </c>
      <c r="F1210" s="1">
        <f>IFERROR(__xludf.DUMMYFUNCTION("""COMPUTED_VALUE"""),6914.0)</f>
        <v>6914</v>
      </c>
    </row>
    <row r="1211">
      <c r="A1211" s="2">
        <f>IFERROR(__xludf.DUMMYFUNCTION("""COMPUTED_VALUE"""),42972.64583333333)</f>
        <v>42972.64583</v>
      </c>
      <c r="B1211" s="1">
        <f>IFERROR(__xludf.DUMMYFUNCTION("""COMPUTED_VALUE"""),5400.0)</f>
        <v>5400</v>
      </c>
      <c r="C1211" s="1">
        <f>IFERROR(__xludf.DUMMYFUNCTION("""COMPUTED_VALUE"""),5510.0)</f>
        <v>5510</v>
      </c>
      <c r="D1211" s="1">
        <f>IFERROR(__xludf.DUMMYFUNCTION("""COMPUTED_VALUE"""),5290.0)</f>
        <v>5290</v>
      </c>
      <c r="E1211" s="1">
        <f>IFERROR(__xludf.DUMMYFUNCTION("""COMPUTED_VALUE"""),5400.0)</f>
        <v>5400</v>
      </c>
      <c r="F1211" s="1">
        <f>IFERROR(__xludf.DUMMYFUNCTION("""COMPUTED_VALUE"""),38092.0)</f>
        <v>38092</v>
      </c>
    </row>
    <row r="1212">
      <c r="A1212" s="2">
        <f>IFERROR(__xludf.DUMMYFUNCTION("""COMPUTED_VALUE"""),42975.64583333333)</f>
        <v>42975.64583</v>
      </c>
      <c r="B1212" s="1">
        <f>IFERROR(__xludf.DUMMYFUNCTION("""COMPUTED_VALUE"""),5500.0)</f>
        <v>5500</v>
      </c>
      <c r="C1212" s="1">
        <f>IFERROR(__xludf.DUMMYFUNCTION("""COMPUTED_VALUE"""),5550.0)</f>
        <v>5550</v>
      </c>
      <c r="D1212" s="1">
        <f>IFERROR(__xludf.DUMMYFUNCTION("""COMPUTED_VALUE"""),5370.0)</f>
        <v>5370</v>
      </c>
      <c r="E1212" s="1">
        <f>IFERROR(__xludf.DUMMYFUNCTION("""COMPUTED_VALUE"""),5530.0)</f>
        <v>5530</v>
      </c>
      <c r="F1212" s="1">
        <f>IFERROR(__xludf.DUMMYFUNCTION("""COMPUTED_VALUE"""),13839.0)</f>
        <v>13839</v>
      </c>
    </row>
    <row r="1213">
      <c r="A1213" s="2">
        <f>IFERROR(__xludf.DUMMYFUNCTION("""COMPUTED_VALUE"""),42976.64583333333)</f>
        <v>42976.64583</v>
      </c>
      <c r="B1213" s="1">
        <f>IFERROR(__xludf.DUMMYFUNCTION("""COMPUTED_VALUE"""),5530.0)</f>
        <v>5530</v>
      </c>
      <c r="C1213" s="1">
        <f>IFERROR(__xludf.DUMMYFUNCTION("""COMPUTED_VALUE"""),5540.0)</f>
        <v>5540</v>
      </c>
      <c r="D1213" s="1">
        <f>IFERROR(__xludf.DUMMYFUNCTION("""COMPUTED_VALUE"""),5300.0)</f>
        <v>5300</v>
      </c>
      <c r="E1213" s="1">
        <f>IFERROR(__xludf.DUMMYFUNCTION("""COMPUTED_VALUE"""),5360.0)</f>
        <v>5360</v>
      </c>
      <c r="F1213" s="1">
        <f>IFERROR(__xludf.DUMMYFUNCTION("""COMPUTED_VALUE"""),24796.0)</f>
        <v>24796</v>
      </c>
    </row>
    <row r="1214">
      <c r="A1214" s="2">
        <f>IFERROR(__xludf.DUMMYFUNCTION("""COMPUTED_VALUE"""),42977.64583333333)</f>
        <v>42977.64583</v>
      </c>
      <c r="B1214" s="1">
        <f>IFERROR(__xludf.DUMMYFUNCTION("""COMPUTED_VALUE"""),5380.0)</f>
        <v>5380</v>
      </c>
      <c r="C1214" s="1">
        <f>IFERROR(__xludf.DUMMYFUNCTION("""COMPUTED_VALUE"""),5500.0)</f>
        <v>5500</v>
      </c>
      <c r="D1214" s="1">
        <f>IFERROR(__xludf.DUMMYFUNCTION("""COMPUTED_VALUE"""),5300.0)</f>
        <v>5300</v>
      </c>
      <c r="E1214" s="1">
        <f>IFERROR(__xludf.DUMMYFUNCTION("""COMPUTED_VALUE"""),5370.0)</f>
        <v>5370</v>
      </c>
      <c r="F1214" s="1">
        <f>IFERROR(__xludf.DUMMYFUNCTION("""COMPUTED_VALUE"""),8474.0)</f>
        <v>8474</v>
      </c>
    </row>
    <row r="1215">
      <c r="A1215" s="2">
        <f>IFERROR(__xludf.DUMMYFUNCTION("""COMPUTED_VALUE"""),42978.64583333333)</f>
        <v>42978.64583</v>
      </c>
      <c r="B1215" s="1">
        <f>IFERROR(__xludf.DUMMYFUNCTION("""COMPUTED_VALUE"""),5370.0)</f>
        <v>5370</v>
      </c>
      <c r="C1215" s="1">
        <f>IFERROR(__xludf.DUMMYFUNCTION("""COMPUTED_VALUE"""),5480.0)</f>
        <v>5480</v>
      </c>
      <c r="D1215" s="1">
        <f>IFERROR(__xludf.DUMMYFUNCTION("""COMPUTED_VALUE"""),5370.0)</f>
        <v>5370</v>
      </c>
      <c r="E1215" s="1">
        <f>IFERROR(__xludf.DUMMYFUNCTION("""COMPUTED_VALUE"""),5420.0)</f>
        <v>5420</v>
      </c>
      <c r="F1215" s="1">
        <f>IFERROR(__xludf.DUMMYFUNCTION("""COMPUTED_VALUE"""),17915.0)</f>
        <v>17915</v>
      </c>
    </row>
    <row r="1216">
      <c r="A1216" s="2">
        <f>IFERROR(__xludf.DUMMYFUNCTION("""COMPUTED_VALUE"""),42979.64583333333)</f>
        <v>42979.64583</v>
      </c>
      <c r="B1216" s="1">
        <f>IFERROR(__xludf.DUMMYFUNCTION("""COMPUTED_VALUE"""),5430.0)</f>
        <v>5430</v>
      </c>
      <c r="C1216" s="1">
        <f>IFERROR(__xludf.DUMMYFUNCTION("""COMPUTED_VALUE"""),5480.0)</f>
        <v>5480</v>
      </c>
      <c r="D1216" s="1">
        <f>IFERROR(__xludf.DUMMYFUNCTION("""COMPUTED_VALUE"""),5350.0)</f>
        <v>5350</v>
      </c>
      <c r="E1216" s="1">
        <f>IFERROR(__xludf.DUMMYFUNCTION("""COMPUTED_VALUE"""),5440.0)</f>
        <v>5440</v>
      </c>
      <c r="F1216" s="1">
        <f>IFERROR(__xludf.DUMMYFUNCTION("""COMPUTED_VALUE"""),9897.0)</f>
        <v>9897</v>
      </c>
    </row>
    <row r="1217">
      <c r="A1217" s="2">
        <f>IFERROR(__xludf.DUMMYFUNCTION("""COMPUTED_VALUE"""),42982.64583333333)</f>
        <v>42982.64583</v>
      </c>
      <c r="B1217" s="1">
        <f>IFERROR(__xludf.DUMMYFUNCTION("""COMPUTED_VALUE"""),5180.0)</f>
        <v>5180</v>
      </c>
      <c r="C1217" s="1">
        <f>IFERROR(__xludf.DUMMYFUNCTION("""COMPUTED_VALUE"""),5400.0)</f>
        <v>5400</v>
      </c>
      <c r="D1217" s="1">
        <f>IFERROR(__xludf.DUMMYFUNCTION("""COMPUTED_VALUE"""),5180.0)</f>
        <v>5180</v>
      </c>
      <c r="E1217" s="1">
        <f>IFERROR(__xludf.DUMMYFUNCTION("""COMPUTED_VALUE"""),5310.0)</f>
        <v>5310</v>
      </c>
      <c r="F1217" s="1">
        <f>IFERROR(__xludf.DUMMYFUNCTION("""COMPUTED_VALUE"""),15954.0)</f>
        <v>15954</v>
      </c>
    </row>
    <row r="1218">
      <c r="A1218" s="2">
        <f>IFERROR(__xludf.DUMMYFUNCTION("""COMPUTED_VALUE"""),42983.64583333333)</f>
        <v>42983.64583</v>
      </c>
      <c r="B1218" s="1">
        <f>IFERROR(__xludf.DUMMYFUNCTION("""COMPUTED_VALUE"""),5320.0)</f>
        <v>5320</v>
      </c>
      <c r="C1218" s="1">
        <f>IFERROR(__xludf.DUMMYFUNCTION("""COMPUTED_VALUE"""),5450.0)</f>
        <v>5450</v>
      </c>
      <c r="D1218" s="1">
        <f>IFERROR(__xludf.DUMMYFUNCTION("""COMPUTED_VALUE"""),5200.0)</f>
        <v>5200</v>
      </c>
      <c r="E1218" s="1">
        <f>IFERROR(__xludf.DUMMYFUNCTION("""COMPUTED_VALUE"""),5260.0)</f>
        <v>5260</v>
      </c>
      <c r="F1218" s="1">
        <f>IFERROR(__xludf.DUMMYFUNCTION("""COMPUTED_VALUE"""),30173.0)</f>
        <v>30173</v>
      </c>
    </row>
    <row r="1219">
      <c r="A1219" s="2">
        <f>IFERROR(__xludf.DUMMYFUNCTION("""COMPUTED_VALUE"""),42984.64583333333)</f>
        <v>42984.64583</v>
      </c>
      <c r="B1219" s="1">
        <f>IFERROR(__xludf.DUMMYFUNCTION("""COMPUTED_VALUE"""),5380.0)</f>
        <v>5380</v>
      </c>
      <c r="C1219" s="1">
        <f>IFERROR(__xludf.DUMMYFUNCTION("""COMPUTED_VALUE"""),5380.0)</f>
        <v>5380</v>
      </c>
      <c r="D1219" s="1">
        <f>IFERROR(__xludf.DUMMYFUNCTION("""COMPUTED_VALUE"""),5210.0)</f>
        <v>5210</v>
      </c>
      <c r="E1219" s="1">
        <f>IFERROR(__xludf.DUMMYFUNCTION("""COMPUTED_VALUE"""),5220.0)</f>
        <v>5220</v>
      </c>
      <c r="F1219" s="1">
        <f>IFERROR(__xludf.DUMMYFUNCTION("""COMPUTED_VALUE"""),17777.0)</f>
        <v>17777</v>
      </c>
    </row>
    <row r="1220">
      <c r="A1220" s="2">
        <f>IFERROR(__xludf.DUMMYFUNCTION("""COMPUTED_VALUE"""),42985.64583333333)</f>
        <v>42985.64583</v>
      </c>
      <c r="B1220" s="1">
        <f>IFERROR(__xludf.DUMMYFUNCTION("""COMPUTED_VALUE"""),5270.0)</f>
        <v>5270</v>
      </c>
      <c r="C1220" s="1">
        <f>IFERROR(__xludf.DUMMYFUNCTION("""COMPUTED_VALUE"""),6290.0)</f>
        <v>6290</v>
      </c>
      <c r="D1220" s="1">
        <f>IFERROR(__xludf.DUMMYFUNCTION("""COMPUTED_VALUE"""),5270.0)</f>
        <v>5270</v>
      </c>
      <c r="E1220" s="1">
        <f>IFERROR(__xludf.DUMMYFUNCTION("""COMPUTED_VALUE"""),5520.0)</f>
        <v>5520</v>
      </c>
      <c r="F1220" s="1">
        <f>IFERROR(__xludf.DUMMYFUNCTION("""COMPUTED_VALUE"""),1135863.0)</f>
        <v>1135863</v>
      </c>
    </row>
    <row r="1221">
      <c r="A1221" s="2">
        <f>IFERROR(__xludf.DUMMYFUNCTION("""COMPUTED_VALUE"""),42986.64583333333)</f>
        <v>42986.64583</v>
      </c>
      <c r="B1221" s="1">
        <f>IFERROR(__xludf.DUMMYFUNCTION("""COMPUTED_VALUE"""),5560.0)</f>
        <v>5560</v>
      </c>
      <c r="C1221" s="1">
        <f>IFERROR(__xludf.DUMMYFUNCTION("""COMPUTED_VALUE"""),5570.0)</f>
        <v>5570</v>
      </c>
      <c r="D1221" s="1">
        <f>IFERROR(__xludf.DUMMYFUNCTION("""COMPUTED_VALUE"""),5320.0)</f>
        <v>5320</v>
      </c>
      <c r="E1221" s="1">
        <f>IFERROR(__xludf.DUMMYFUNCTION("""COMPUTED_VALUE"""),5390.0)</f>
        <v>5390</v>
      </c>
      <c r="F1221" s="1">
        <f>IFERROR(__xludf.DUMMYFUNCTION("""COMPUTED_VALUE"""),83831.0)</f>
        <v>83831</v>
      </c>
    </row>
    <row r="1222">
      <c r="A1222" s="2">
        <f>IFERROR(__xludf.DUMMYFUNCTION("""COMPUTED_VALUE"""),42989.64583333333)</f>
        <v>42989.64583</v>
      </c>
      <c r="B1222" s="1">
        <f>IFERROR(__xludf.DUMMYFUNCTION("""COMPUTED_VALUE"""),5370.0)</f>
        <v>5370</v>
      </c>
      <c r="C1222" s="1">
        <f>IFERROR(__xludf.DUMMYFUNCTION("""COMPUTED_VALUE"""),5480.0)</f>
        <v>5480</v>
      </c>
      <c r="D1222" s="1">
        <f>IFERROR(__xludf.DUMMYFUNCTION("""COMPUTED_VALUE"""),5260.0)</f>
        <v>5260</v>
      </c>
      <c r="E1222" s="1">
        <f>IFERROR(__xludf.DUMMYFUNCTION("""COMPUTED_VALUE"""),5270.0)</f>
        <v>5270</v>
      </c>
      <c r="F1222" s="1">
        <f>IFERROR(__xludf.DUMMYFUNCTION("""COMPUTED_VALUE"""),60296.0)</f>
        <v>60296</v>
      </c>
    </row>
    <row r="1223">
      <c r="A1223" s="2">
        <f>IFERROR(__xludf.DUMMYFUNCTION("""COMPUTED_VALUE"""),42990.64583333333)</f>
        <v>42990.64583</v>
      </c>
      <c r="B1223" s="1">
        <f>IFERROR(__xludf.DUMMYFUNCTION("""COMPUTED_VALUE"""),5270.0)</f>
        <v>5270</v>
      </c>
      <c r="C1223" s="1">
        <f>IFERROR(__xludf.DUMMYFUNCTION("""COMPUTED_VALUE"""),5360.0)</f>
        <v>5360</v>
      </c>
      <c r="D1223" s="1">
        <f>IFERROR(__xludf.DUMMYFUNCTION("""COMPUTED_VALUE"""),5210.0)</f>
        <v>5210</v>
      </c>
      <c r="E1223" s="1">
        <f>IFERROR(__xludf.DUMMYFUNCTION("""COMPUTED_VALUE"""),5350.0)</f>
        <v>5350</v>
      </c>
      <c r="F1223" s="1">
        <f>IFERROR(__xludf.DUMMYFUNCTION("""COMPUTED_VALUE"""),25420.0)</f>
        <v>25420</v>
      </c>
    </row>
    <row r="1224">
      <c r="A1224" s="2">
        <f>IFERROR(__xludf.DUMMYFUNCTION("""COMPUTED_VALUE"""),42991.64583333333)</f>
        <v>42991.64583</v>
      </c>
      <c r="B1224" s="1">
        <f>IFERROR(__xludf.DUMMYFUNCTION("""COMPUTED_VALUE"""),5360.0)</f>
        <v>5360</v>
      </c>
      <c r="C1224" s="1">
        <f>IFERROR(__xludf.DUMMYFUNCTION("""COMPUTED_VALUE"""),5430.0)</f>
        <v>5430</v>
      </c>
      <c r="D1224" s="1">
        <f>IFERROR(__xludf.DUMMYFUNCTION("""COMPUTED_VALUE"""),5250.0)</f>
        <v>5250</v>
      </c>
      <c r="E1224" s="1">
        <f>IFERROR(__xludf.DUMMYFUNCTION("""COMPUTED_VALUE"""),5390.0)</f>
        <v>5390</v>
      </c>
      <c r="F1224" s="1">
        <f>IFERROR(__xludf.DUMMYFUNCTION("""COMPUTED_VALUE"""),34215.0)</f>
        <v>34215</v>
      </c>
    </row>
    <row r="1225">
      <c r="A1225" s="2">
        <f>IFERROR(__xludf.DUMMYFUNCTION("""COMPUTED_VALUE"""),42992.64583333333)</f>
        <v>42992.64583</v>
      </c>
      <c r="B1225" s="1">
        <f>IFERROR(__xludf.DUMMYFUNCTION("""COMPUTED_VALUE"""),5400.0)</f>
        <v>5400</v>
      </c>
      <c r="C1225" s="1">
        <f>IFERROR(__xludf.DUMMYFUNCTION("""COMPUTED_VALUE"""),5800.0)</f>
        <v>5800</v>
      </c>
      <c r="D1225" s="1">
        <f>IFERROR(__xludf.DUMMYFUNCTION("""COMPUTED_VALUE"""),5400.0)</f>
        <v>5400</v>
      </c>
      <c r="E1225" s="1">
        <f>IFERROR(__xludf.DUMMYFUNCTION("""COMPUTED_VALUE"""),5800.0)</f>
        <v>5800</v>
      </c>
      <c r="F1225" s="1">
        <f>IFERROR(__xludf.DUMMYFUNCTION("""COMPUTED_VALUE"""),139261.0)</f>
        <v>139261</v>
      </c>
    </row>
    <row r="1226">
      <c r="A1226" s="2">
        <f>IFERROR(__xludf.DUMMYFUNCTION("""COMPUTED_VALUE"""),42993.64583333333)</f>
        <v>42993.64583</v>
      </c>
      <c r="B1226" s="1">
        <f>IFERROR(__xludf.DUMMYFUNCTION("""COMPUTED_VALUE"""),5940.0)</f>
        <v>5940</v>
      </c>
      <c r="C1226" s="1">
        <f>IFERROR(__xludf.DUMMYFUNCTION("""COMPUTED_VALUE"""),6150.0)</f>
        <v>6150</v>
      </c>
      <c r="D1226" s="1">
        <f>IFERROR(__xludf.DUMMYFUNCTION("""COMPUTED_VALUE"""),5800.0)</f>
        <v>5800</v>
      </c>
      <c r="E1226" s="1">
        <f>IFERROR(__xludf.DUMMYFUNCTION("""COMPUTED_VALUE"""),5980.0)</f>
        <v>5980</v>
      </c>
      <c r="F1226" s="1">
        <f>IFERROR(__xludf.DUMMYFUNCTION("""COMPUTED_VALUE"""),153585.0)</f>
        <v>153585</v>
      </c>
    </row>
    <row r="1227">
      <c r="A1227" s="2">
        <f>IFERROR(__xludf.DUMMYFUNCTION("""COMPUTED_VALUE"""),42996.64583333333)</f>
        <v>42996.64583</v>
      </c>
      <c r="B1227" s="1">
        <f>IFERROR(__xludf.DUMMYFUNCTION("""COMPUTED_VALUE"""),6000.0)</f>
        <v>6000</v>
      </c>
      <c r="C1227" s="1">
        <f>IFERROR(__xludf.DUMMYFUNCTION("""COMPUTED_VALUE"""),6080.0)</f>
        <v>6080</v>
      </c>
      <c r="D1227" s="1">
        <f>IFERROR(__xludf.DUMMYFUNCTION("""COMPUTED_VALUE"""),5870.0)</f>
        <v>5870</v>
      </c>
      <c r="E1227" s="1">
        <f>IFERROR(__xludf.DUMMYFUNCTION("""COMPUTED_VALUE"""),5950.0)</f>
        <v>5950</v>
      </c>
      <c r="F1227" s="1">
        <f>IFERROR(__xludf.DUMMYFUNCTION("""COMPUTED_VALUE"""),48164.0)</f>
        <v>48164</v>
      </c>
    </row>
    <row r="1228">
      <c r="A1228" s="2">
        <f>IFERROR(__xludf.DUMMYFUNCTION("""COMPUTED_VALUE"""),42997.64583333333)</f>
        <v>42997.64583</v>
      </c>
      <c r="B1228" s="1">
        <f>IFERROR(__xludf.DUMMYFUNCTION("""COMPUTED_VALUE"""),6100.0)</f>
        <v>6100</v>
      </c>
      <c r="C1228" s="1">
        <f>IFERROR(__xludf.DUMMYFUNCTION("""COMPUTED_VALUE"""),6100.0)</f>
        <v>6100</v>
      </c>
      <c r="D1228" s="1">
        <f>IFERROR(__xludf.DUMMYFUNCTION("""COMPUTED_VALUE"""),5820.0)</f>
        <v>5820</v>
      </c>
      <c r="E1228" s="1">
        <f>IFERROR(__xludf.DUMMYFUNCTION("""COMPUTED_VALUE"""),5890.0)</f>
        <v>5890</v>
      </c>
      <c r="F1228" s="1">
        <f>IFERROR(__xludf.DUMMYFUNCTION("""COMPUTED_VALUE"""),67363.0)</f>
        <v>67363</v>
      </c>
    </row>
    <row r="1229">
      <c r="A1229" s="2">
        <f>IFERROR(__xludf.DUMMYFUNCTION("""COMPUTED_VALUE"""),42998.64583333333)</f>
        <v>42998.64583</v>
      </c>
      <c r="B1229" s="1">
        <f>IFERROR(__xludf.DUMMYFUNCTION("""COMPUTED_VALUE"""),5980.0)</f>
        <v>5980</v>
      </c>
      <c r="C1229" s="1">
        <f>IFERROR(__xludf.DUMMYFUNCTION("""COMPUTED_VALUE"""),5980.0)</f>
        <v>5980</v>
      </c>
      <c r="D1229" s="1">
        <f>IFERROR(__xludf.DUMMYFUNCTION("""COMPUTED_VALUE"""),5650.0)</f>
        <v>5650</v>
      </c>
      <c r="E1229" s="1">
        <f>IFERROR(__xludf.DUMMYFUNCTION("""COMPUTED_VALUE"""),5850.0)</f>
        <v>5850</v>
      </c>
      <c r="F1229" s="1">
        <f>IFERROR(__xludf.DUMMYFUNCTION("""COMPUTED_VALUE"""),31199.0)</f>
        <v>31199</v>
      </c>
    </row>
    <row r="1230">
      <c r="A1230" s="2">
        <f>IFERROR(__xludf.DUMMYFUNCTION("""COMPUTED_VALUE"""),42999.64583333333)</f>
        <v>42999.64583</v>
      </c>
      <c r="B1230" s="1">
        <f>IFERROR(__xludf.DUMMYFUNCTION("""COMPUTED_VALUE"""),5890.0)</f>
        <v>5890</v>
      </c>
      <c r="C1230" s="1">
        <f>IFERROR(__xludf.DUMMYFUNCTION("""COMPUTED_VALUE"""),5940.0)</f>
        <v>5940</v>
      </c>
      <c r="D1230" s="1">
        <f>IFERROR(__xludf.DUMMYFUNCTION("""COMPUTED_VALUE"""),5700.0)</f>
        <v>5700</v>
      </c>
      <c r="E1230" s="1">
        <f>IFERROR(__xludf.DUMMYFUNCTION("""COMPUTED_VALUE"""),5850.0)</f>
        <v>5850</v>
      </c>
      <c r="F1230" s="1">
        <f>IFERROR(__xludf.DUMMYFUNCTION("""COMPUTED_VALUE"""),56755.0)</f>
        <v>56755</v>
      </c>
    </row>
    <row r="1231">
      <c r="A1231" s="2">
        <f>IFERROR(__xludf.DUMMYFUNCTION("""COMPUTED_VALUE"""),43000.64583333333)</f>
        <v>43000.64583</v>
      </c>
      <c r="B1231" s="1">
        <f>IFERROR(__xludf.DUMMYFUNCTION("""COMPUTED_VALUE"""),5970.0)</f>
        <v>5970</v>
      </c>
      <c r="C1231" s="1">
        <f>IFERROR(__xludf.DUMMYFUNCTION("""COMPUTED_VALUE"""),5980.0)</f>
        <v>5980</v>
      </c>
      <c r="D1231" s="1">
        <f>IFERROR(__xludf.DUMMYFUNCTION("""COMPUTED_VALUE"""),5680.0)</f>
        <v>5680</v>
      </c>
      <c r="E1231" s="1">
        <f>IFERROR(__xludf.DUMMYFUNCTION("""COMPUTED_VALUE"""),5700.0)</f>
        <v>5700</v>
      </c>
      <c r="F1231" s="1">
        <f>IFERROR(__xludf.DUMMYFUNCTION("""COMPUTED_VALUE"""),50111.0)</f>
        <v>50111</v>
      </c>
    </row>
    <row r="1232">
      <c r="A1232" s="2">
        <f>IFERROR(__xludf.DUMMYFUNCTION("""COMPUTED_VALUE"""),43003.64583333333)</f>
        <v>43003.64583</v>
      </c>
      <c r="B1232" s="1">
        <f>IFERROR(__xludf.DUMMYFUNCTION("""COMPUTED_VALUE"""),5750.0)</f>
        <v>5750</v>
      </c>
      <c r="C1232" s="1">
        <f>IFERROR(__xludf.DUMMYFUNCTION("""COMPUTED_VALUE"""),5890.0)</f>
        <v>5890</v>
      </c>
      <c r="D1232" s="1">
        <f>IFERROR(__xludf.DUMMYFUNCTION("""COMPUTED_VALUE"""),5640.0)</f>
        <v>5640</v>
      </c>
      <c r="E1232" s="1">
        <f>IFERROR(__xludf.DUMMYFUNCTION("""COMPUTED_VALUE"""),5640.0)</f>
        <v>5640</v>
      </c>
      <c r="F1232" s="1">
        <f>IFERROR(__xludf.DUMMYFUNCTION("""COMPUTED_VALUE"""),42525.0)</f>
        <v>42525</v>
      </c>
    </row>
    <row r="1233">
      <c r="A1233" s="2">
        <f>IFERROR(__xludf.DUMMYFUNCTION("""COMPUTED_VALUE"""),43004.64583333333)</f>
        <v>43004.64583</v>
      </c>
      <c r="B1233" s="1">
        <f>IFERROR(__xludf.DUMMYFUNCTION("""COMPUTED_VALUE"""),5610.0)</f>
        <v>5610</v>
      </c>
      <c r="C1233" s="1">
        <f>IFERROR(__xludf.DUMMYFUNCTION("""COMPUTED_VALUE"""),5760.0)</f>
        <v>5760</v>
      </c>
      <c r="D1233" s="1">
        <f>IFERROR(__xludf.DUMMYFUNCTION("""COMPUTED_VALUE"""),5530.0)</f>
        <v>5530</v>
      </c>
      <c r="E1233" s="1">
        <f>IFERROR(__xludf.DUMMYFUNCTION("""COMPUTED_VALUE"""),5720.0)</f>
        <v>5720</v>
      </c>
      <c r="F1233" s="1">
        <f>IFERROR(__xludf.DUMMYFUNCTION("""COMPUTED_VALUE"""),36620.0)</f>
        <v>36620</v>
      </c>
    </row>
    <row r="1234">
      <c r="A1234" s="2">
        <f>IFERROR(__xludf.DUMMYFUNCTION("""COMPUTED_VALUE"""),43005.64583333333)</f>
        <v>43005.64583</v>
      </c>
      <c r="B1234" s="1">
        <f>IFERROR(__xludf.DUMMYFUNCTION("""COMPUTED_VALUE"""),5860.0)</f>
        <v>5860</v>
      </c>
      <c r="C1234" s="1">
        <f>IFERROR(__xludf.DUMMYFUNCTION("""COMPUTED_VALUE"""),5860.0)</f>
        <v>5860</v>
      </c>
      <c r="D1234" s="1">
        <f>IFERROR(__xludf.DUMMYFUNCTION("""COMPUTED_VALUE"""),5630.0)</f>
        <v>5630</v>
      </c>
      <c r="E1234" s="1">
        <f>IFERROR(__xludf.DUMMYFUNCTION("""COMPUTED_VALUE"""),5740.0)</f>
        <v>5740</v>
      </c>
      <c r="F1234" s="1">
        <f>IFERROR(__xludf.DUMMYFUNCTION("""COMPUTED_VALUE"""),30684.0)</f>
        <v>30684</v>
      </c>
    </row>
    <row r="1235">
      <c r="A1235" s="2">
        <f>IFERROR(__xludf.DUMMYFUNCTION("""COMPUTED_VALUE"""),43006.64583333333)</f>
        <v>43006.64583</v>
      </c>
      <c r="B1235" s="1">
        <f>IFERROR(__xludf.DUMMYFUNCTION("""COMPUTED_VALUE"""),5850.0)</f>
        <v>5850</v>
      </c>
      <c r="C1235" s="1">
        <f>IFERROR(__xludf.DUMMYFUNCTION("""COMPUTED_VALUE"""),5850.0)</f>
        <v>5850</v>
      </c>
      <c r="D1235" s="1">
        <f>IFERROR(__xludf.DUMMYFUNCTION("""COMPUTED_VALUE"""),5650.0)</f>
        <v>5650</v>
      </c>
      <c r="E1235" s="1">
        <f>IFERROR(__xludf.DUMMYFUNCTION("""COMPUTED_VALUE"""),5760.0)</f>
        <v>5760</v>
      </c>
      <c r="F1235" s="1">
        <f>IFERROR(__xludf.DUMMYFUNCTION("""COMPUTED_VALUE"""),13003.0)</f>
        <v>13003</v>
      </c>
    </row>
    <row r="1236">
      <c r="A1236" s="2">
        <f>IFERROR(__xludf.DUMMYFUNCTION("""COMPUTED_VALUE"""),43007.64583333333)</f>
        <v>43007.64583</v>
      </c>
      <c r="B1236" s="1">
        <f>IFERROR(__xludf.DUMMYFUNCTION("""COMPUTED_VALUE"""),5770.0)</f>
        <v>5770</v>
      </c>
      <c r="C1236" s="1">
        <f>IFERROR(__xludf.DUMMYFUNCTION("""COMPUTED_VALUE"""),6220.0)</f>
        <v>6220</v>
      </c>
      <c r="D1236" s="1">
        <f>IFERROR(__xludf.DUMMYFUNCTION("""COMPUTED_VALUE"""),5750.0)</f>
        <v>5750</v>
      </c>
      <c r="E1236" s="1">
        <f>IFERROR(__xludf.DUMMYFUNCTION("""COMPUTED_VALUE"""),6200.0)</f>
        <v>6200</v>
      </c>
      <c r="F1236" s="1">
        <f>IFERROR(__xludf.DUMMYFUNCTION("""COMPUTED_VALUE"""),113523.0)</f>
        <v>113523</v>
      </c>
    </row>
    <row r="1237">
      <c r="A1237" s="2">
        <f>IFERROR(__xludf.DUMMYFUNCTION("""COMPUTED_VALUE"""),43018.64583333333)</f>
        <v>43018.64583</v>
      </c>
      <c r="B1237" s="1">
        <f>IFERROR(__xludf.DUMMYFUNCTION("""COMPUTED_VALUE"""),6320.0)</f>
        <v>6320</v>
      </c>
      <c r="C1237" s="1">
        <f>IFERROR(__xludf.DUMMYFUNCTION("""COMPUTED_VALUE"""),6380.0)</f>
        <v>6380</v>
      </c>
      <c r="D1237" s="1">
        <f>IFERROR(__xludf.DUMMYFUNCTION("""COMPUTED_VALUE"""),6200.0)</f>
        <v>6200</v>
      </c>
      <c r="E1237" s="1">
        <f>IFERROR(__xludf.DUMMYFUNCTION("""COMPUTED_VALUE"""),6270.0)</f>
        <v>6270</v>
      </c>
      <c r="F1237" s="1">
        <f>IFERROR(__xludf.DUMMYFUNCTION("""COMPUTED_VALUE"""),98164.0)</f>
        <v>98164</v>
      </c>
    </row>
    <row r="1238">
      <c r="A1238" s="2">
        <f>IFERROR(__xludf.DUMMYFUNCTION("""COMPUTED_VALUE"""),43019.64583333333)</f>
        <v>43019.64583</v>
      </c>
      <c r="B1238" s="1">
        <f>IFERROR(__xludf.DUMMYFUNCTION("""COMPUTED_VALUE"""),6260.0)</f>
        <v>6260</v>
      </c>
      <c r="C1238" s="1">
        <f>IFERROR(__xludf.DUMMYFUNCTION("""COMPUTED_VALUE"""),6300.0)</f>
        <v>6300</v>
      </c>
      <c r="D1238" s="1">
        <f>IFERROR(__xludf.DUMMYFUNCTION("""COMPUTED_VALUE"""),6120.0)</f>
        <v>6120</v>
      </c>
      <c r="E1238" s="1">
        <f>IFERROR(__xludf.DUMMYFUNCTION("""COMPUTED_VALUE"""),6180.0)</f>
        <v>6180</v>
      </c>
      <c r="F1238" s="1">
        <f>IFERROR(__xludf.DUMMYFUNCTION("""COMPUTED_VALUE"""),51809.0)</f>
        <v>51809</v>
      </c>
    </row>
    <row r="1239">
      <c r="A1239" s="2">
        <f>IFERROR(__xludf.DUMMYFUNCTION("""COMPUTED_VALUE"""),43020.64583333333)</f>
        <v>43020.64583</v>
      </c>
      <c r="B1239" s="1">
        <f>IFERROR(__xludf.DUMMYFUNCTION("""COMPUTED_VALUE"""),6180.0)</f>
        <v>6180</v>
      </c>
      <c r="C1239" s="1">
        <f>IFERROR(__xludf.DUMMYFUNCTION("""COMPUTED_VALUE"""),6180.0)</f>
        <v>6180</v>
      </c>
      <c r="D1239" s="1">
        <f>IFERROR(__xludf.DUMMYFUNCTION("""COMPUTED_VALUE"""),5960.0)</f>
        <v>5960</v>
      </c>
      <c r="E1239" s="1">
        <f>IFERROR(__xludf.DUMMYFUNCTION("""COMPUTED_VALUE"""),6040.0)</f>
        <v>6040</v>
      </c>
      <c r="F1239" s="1">
        <f>IFERROR(__xludf.DUMMYFUNCTION("""COMPUTED_VALUE"""),53246.0)</f>
        <v>53246</v>
      </c>
    </row>
    <row r="1240">
      <c r="A1240" s="2">
        <f>IFERROR(__xludf.DUMMYFUNCTION("""COMPUTED_VALUE"""),43021.64583333333)</f>
        <v>43021.64583</v>
      </c>
      <c r="B1240" s="1">
        <f>IFERROR(__xludf.DUMMYFUNCTION("""COMPUTED_VALUE"""),6040.0)</f>
        <v>6040</v>
      </c>
      <c r="C1240" s="1">
        <f>IFERROR(__xludf.DUMMYFUNCTION("""COMPUTED_VALUE"""),6100.0)</f>
        <v>6100</v>
      </c>
      <c r="D1240" s="1">
        <f>IFERROR(__xludf.DUMMYFUNCTION("""COMPUTED_VALUE"""),5880.0)</f>
        <v>5880</v>
      </c>
      <c r="E1240" s="1">
        <f>IFERROR(__xludf.DUMMYFUNCTION("""COMPUTED_VALUE"""),6050.0)</f>
        <v>6050</v>
      </c>
      <c r="F1240" s="1">
        <f>IFERROR(__xludf.DUMMYFUNCTION("""COMPUTED_VALUE"""),23109.0)</f>
        <v>23109</v>
      </c>
    </row>
    <row r="1241">
      <c r="A1241" s="2">
        <f>IFERROR(__xludf.DUMMYFUNCTION("""COMPUTED_VALUE"""),43024.64583333333)</f>
        <v>43024.64583</v>
      </c>
      <c r="B1241" s="1">
        <f>IFERROR(__xludf.DUMMYFUNCTION("""COMPUTED_VALUE"""),6050.0)</f>
        <v>6050</v>
      </c>
      <c r="C1241" s="1">
        <f>IFERROR(__xludf.DUMMYFUNCTION("""COMPUTED_VALUE"""),6050.0)</f>
        <v>6050</v>
      </c>
      <c r="D1241" s="1">
        <f>IFERROR(__xludf.DUMMYFUNCTION("""COMPUTED_VALUE"""),5860.0)</f>
        <v>5860</v>
      </c>
      <c r="E1241" s="1">
        <f>IFERROR(__xludf.DUMMYFUNCTION("""COMPUTED_VALUE"""),5920.0)</f>
        <v>5920</v>
      </c>
      <c r="F1241" s="1">
        <f>IFERROR(__xludf.DUMMYFUNCTION("""COMPUTED_VALUE"""),27425.0)</f>
        <v>27425</v>
      </c>
    </row>
    <row r="1242">
      <c r="A1242" s="2">
        <f>IFERROR(__xludf.DUMMYFUNCTION("""COMPUTED_VALUE"""),43025.64583333333)</f>
        <v>43025.64583</v>
      </c>
      <c r="B1242" s="1">
        <f>IFERROR(__xludf.DUMMYFUNCTION("""COMPUTED_VALUE"""),5920.0)</f>
        <v>5920</v>
      </c>
      <c r="C1242" s="1">
        <f>IFERROR(__xludf.DUMMYFUNCTION("""COMPUTED_VALUE"""),6300.0)</f>
        <v>6300</v>
      </c>
      <c r="D1242" s="1">
        <f>IFERROR(__xludf.DUMMYFUNCTION("""COMPUTED_VALUE"""),5880.0)</f>
        <v>5880</v>
      </c>
      <c r="E1242" s="1">
        <f>IFERROR(__xludf.DUMMYFUNCTION("""COMPUTED_VALUE"""),6140.0)</f>
        <v>6140</v>
      </c>
      <c r="F1242" s="1">
        <f>IFERROR(__xludf.DUMMYFUNCTION("""COMPUTED_VALUE"""),117829.0)</f>
        <v>117829</v>
      </c>
    </row>
    <row r="1243">
      <c r="A1243" s="2">
        <f>IFERROR(__xludf.DUMMYFUNCTION("""COMPUTED_VALUE"""),43026.64583333333)</f>
        <v>43026.64583</v>
      </c>
      <c r="B1243" s="1">
        <f>IFERROR(__xludf.DUMMYFUNCTION("""COMPUTED_VALUE"""),6260.0)</f>
        <v>6260</v>
      </c>
      <c r="C1243" s="1">
        <f>IFERROR(__xludf.DUMMYFUNCTION("""COMPUTED_VALUE"""),6290.0)</f>
        <v>6290</v>
      </c>
      <c r="D1243" s="1">
        <f>IFERROR(__xludf.DUMMYFUNCTION("""COMPUTED_VALUE"""),5750.0)</f>
        <v>5750</v>
      </c>
      <c r="E1243" s="1">
        <f>IFERROR(__xludf.DUMMYFUNCTION("""COMPUTED_VALUE"""),5780.0)</f>
        <v>5780</v>
      </c>
      <c r="F1243" s="1">
        <f>IFERROR(__xludf.DUMMYFUNCTION("""COMPUTED_VALUE"""),240973.0)</f>
        <v>240973</v>
      </c>
    </row>
    <row r="1244">
      <c r="A1244" s="2">
        <f>IFERROR(__xludf.DUMMYFUNCTION("""COMPUTED_VALUE"""),43027.64583333333)</f>
        <v>43027.64583</v>
      </c>
      <c r="B1244" s="1">
        <f>IFERROR(__xludf.DUMMYFUNCTION("""COMPUTED_VALUE"""),5780.0)</f>
        <v>5780</v>
      </c>
      <c r="C1244" s="1">
        <f>IFERROR(__xludf.DUMMYFUNCTION("""COMPUTED_VALUE"""),5780.0)</f>
        <v>5780</v>
      </c>
      <c r="D1244" s="1">
        <f>IFERROR(__xludf.DUMMYFUNCTION("""COMPUTED_VALUE"""),5550.0)</f>
        <v>5550</v>
      </c>
      <c r="E1244" s="1">
        <f>IFERROR(__xludf.DUMMYFUNCTION("""COMPUTED_VALUE"""),5630.0)</f>
        <v>5630</v>
      </c>
      <c r="F1244" s="1">
        <f>IFERROR(__xludf.DUMMYFUNCTION("""COMPUTED_VALUE"""),53490.0)</f>
        <v>53490</v>
      </c>
    </row>
    <row r="1245">
      <c r="A1245" s="2">
        <f>IFERROR(__xludf.DUMMYFUNCTION("""COMPUTED_VALUE"""),43028.64583333333)</f>
        <v>43028.64583</v>
      </c>
      <c r="B1245" s="1">
        <f>IFERROR(__xludf.DUMMYFUNCTION("""COMPUTED_VALUE"""),5650.0)</f>
        <v>5650</v>
      </c>
      <c r="C1245" s="1">
        <f>IFERROR(__xludf.DUMMYFUNCTION("""COMPUTED_VALUE"""),5670.0)</f>
        <v>5670</v>
      </c>
      <c r="D1245" s="1">
        <f>IFERROR(__xludf.DUMMYFUNCTION("""COMPUTED_VALUE"""),5530.0)</f>
        <v>5530</v>
      </c>
      <c r="E1245" s="1">
        <f>IFERROR(__xludf.DUMMYFUNCTION("""COMPUTED_VALUE"""),5600.0)</f>
        <v>5600</v>
      </c>
      <c r="F1245" s="1">
        <f>IFERROR(__xludf.DUMMYFUNCTION("""COMPUTED_VALUE"""),16494.0)</f>
        <v>16494</v>
      </c>
    </row>
    <row r="1246">
      <c r="A1246" s="2">
        <f>IFERROR(__xludf.DUMMYFUNCTION("""COMPUTED_VALUE"""),43031.64583333333)</f>
        <v>43031.64583</v>
      </c>
      <c r="B1246" s="1">
        <f>IFERROR(__xludf.DUMMYFUNCTION("""COMPUTED_VALUE"""),5670.0)</f>
        <v>5670</v>
      </c>
      <c r="C1246" s="1">
        <f>IFERROR(__xludf.DUMMYFUNCTION("""COMPUTED_VALUE"""),5670.0)</f>
        <v>5670</v>
      </c>
      <c r="D1246" s="1">
        <f>IFERROR(__xludf.DUMMYFUNCTION("""COMPUTED_VALUE"""),5510.0)</f>
        <v>5510</v>
      </c>
      <c r="E1246" s="1">
        <f>IFERROR(__xludf.DUMMYFUNCTION("""COMPUTED_VALUE"""),5600.0)</f>
        <v>5600</v>
      </c>
      <c r="F1246" s="1">
        <f>IFERROR(__xludf.DUMMYFUNCTION("""COMPUTED_VALUE"""),42704.0)</f>
        <v>42704</v>
      </c>
    </row>
    <row r="1247">
      <c r="A1247" s="2">
        <f>IFERROR(__xludf.DUMMYFUNCTION("""COMPUTED_VALUE"""),43032.64583333333)</f>
        <v>43032.64583</v>
      </c>
      <c r="B1247" s="1">
        <f>IFERROR(__xludf.DUMMYFUNCTION("""COMPUTED_VALUE"""),5610.0)</f>
        <v>5610</v>
      </c>
      <c r="C1247" s="1">
        <f>IFERROR(__xludf.DUMMYFUNCTION("""COMPUTED_VALUE"""),5700.0)</f>
        <v>5700</v>
      </c>
      <c r="D1247" s="1">
        <f>IFERROR(__xludf.DUMMYFUNCTION("""COMPUTED_VALUE"""),5490.0)</f>
        <v>5490</v>
      </c>
      <c r="E1247" s="1">
        <f>IFERROR(__xludf.DUMMYFUNCTION("""COMPUTED_VALUE"""),5560.0)</f>
        <v>5560</v>
      </c>
      <c r="F1247" s="1">
        <f>IFERROR(__xludf.DUMMYFUNCTION("""COMPUTED_VALUE"""),39026.0)</f>
        <v>39026</v>
      </c>
    </row>
    <row r="1248">
      <c r="A1248" s="2">
        <f>IFERROR(__xludf.DUMMYFUNCTION("""COMPUTED_VALUE"""),43033.64583333333)</f>
        <v>43033.64583</v>
      </c>
      <c r="B1248" s="1">
        <f>IFERROR(__xludf.DUMMYFUNCTION("""COMPUTED_VALUE"""),5540.0)</f>
        <v>5540</v>
      </c>
      <c r="C1248" s="1">
        <f>IFERROR(__xludf.DUMMYFUNCTION("""COMPUTED_VALUE"""),5590.0)</f>
        <v>5590</v>
      </c>
      <c r="D1248" s="1">
        <f>IFERROR(__xludf.DUMMYFUNCTION("""COMPUTED_VALUE"""),5420.0)</f>
        <v>5420</v>
      </c>
      <c r="E1248" s="1">
        <f>IFERROR(__xludf.DUMMYFUNCTION("""COMPUTED_VALUE"""),5560.0)</f>
        <v>5560</v>
      </c>
      <c r="F1248" s="1">
        <f>IFERROR(__xludf.DUMMYFUNCTION("""COMPUTED_VALUE"""),52735.0)</f>
        <v>52735</v>
      </c>
    </row>
    <row r="1249">
      <c r="A1249" s="2">
        <f>IFERROR(__xludf.DUMMYFUNCTION("""COMPUTED_VALUE"""),43034.64583333333)</f>
        <v>43034.64583</v>
      </c>
      <c r="B1249" s="1">
        <f>IFERROR(__xludf.DUMMYFUNCTION("""COMPUTED_VALUE"""),5620.0)</f>
        <v>5620</v>
      </c>
      <c r="C1249" s="1">
        <f>IFERROR(__xludf.DUMMYFUNCTION("""COMPUTED_VALUE"""),5690.0)</f>
        <v>5690</v>
      </c>
      <c r="D1249" s="1">
        <f>IFERROR(__xludf.DUMMYFUNCTION("""COMPUTED_VALUE"""),5470.0)</f>
        <v>5470</v>
      </c>
      <c r="E1249" s="1">
        <f>IFERROR(__xludf.DUMMYFUNCTION("""COMPUTED_VALUE"""),5630.0)</f>
        <v>5630</v>
      </c>
      <c r="F1249" s="1">
        <f>IFERROR(__xludf.DUMMYFUNCTION("""COMPUTED_VALUE"""),21546.0)</f>
        <v>21546</v>
      </c>
    </row>
    <row r="1250">
      <c r="A1250" s="2">
        <f>IFERROR(__xludf.DUMMYFUNCTION("""COMPUTED_VALUE"""),43035.64583333333)</f>
        <v>43035.64583</v>
      </c>
      <c r="B1250" s="1">
        <f>IFERROR(__xludf.DUMMYFUNCTION("""COMPUTED_VALUE"""),5690.0)</f>
        <v>5690</v>
      </c>
      <c r="C1250" s="1">
        <f>IFERROR(__xludf.DUMMYFUNCTION("""COMPUTED_VALUE"""),5690.0)</f>
        <v>5690</v>
      </c>
      <c r="D1250" s="1">
        <f>IFERROR(__xludf.DUMMYFUNCTION("""COMPUTED_VALUE"""),5490.0)</f>
        <v>5490</v>
      </c>
      <c r="E1250" s="1">
        <f>IFERROR(__xludf.DUMMYFUNCTION("""COMPUTED_VALUE"""),5600.0)</f>
        <v>5600</v>
      </c>
      <c r="F1250" s="1">
        <f>IFERROR(__xludf.DUMMYFUNCTION("""COMPUTED_VALUE"""),42724.0)</f>
        <v>42724</v>
      </c>
    </row>
    <row r="1251">
      <c r="A1251" s="2">
        <f>IFERROR(__xludf.DUMMYFUNCTION("""COMPUTED_VALUE"""),43038.64583333333)</f>
        <v>43038.64583</v>
      </c>
      <c r="B1251" s="1">
        <f>IFERROR(__xludf.DUMMYFUNCTION("""COMPUTED_VALUE"""),5500.0)</f>
        <v>5500</v>
      </c>
      <c r="C1251" s="1">
        <f>IFERROR(__xludf.DUMMYFUNCTION("""COMPUTED_VALUE"""),5590.0)</f>
        <v>5590</v>
      </c>
      <c r="D1251" s="1">
        <f>IFERROR(__xludf.DUMMYFUNCTION("""COMPUTED_VALUE"""),5420.0)</f>
        <v>5420</v>
      </c>
      <c r="E1251" s="1">
        <f>IFERROR(__xludf.DUMMYFUNCTION("""COMPUTED_VALUE"""),5420.0)</f>
        <v>5420</v>
      </c>
      <c r="F1251" s="1">
        <f>IFERROR(__xludf.DUMMYFUNCTION("""COMPUTED_VALUE"""),29820.0)</f>
        <v>29820</v>
      </c>
    </row>
    <row r="1252">
      <c r="A1252" s="2">
        <f>IFERROR(__xludf.DUMMYFUNCTION("""COMPUTED_VALUE"""),43039.64583333333)</f>
        <v>43039.64583</v>
      </c>
      <c r="B1252" s="1">
        <f>IFERROR(__xludf.DUMMYFUNCTION("""COMPUTED_VALUE"""),5450.0)</f>
        <v>5450</v>
      </c>
      <c r="C1252" s="1">
        <f>IFERROR(__xludf.DUMMYFUNCTION("""COMPUTED_VALUE"""),5490.0)</f>
        <v>5490</v>
      </c>
      <c r="D1252" s="1">
        <f>IFERROR(__xludf.DUMMYFUNCTION("""COMPUTED_VALUE"""),5330.0)</f>
        <v>5330</v>
      </c>
      <c r="E1252" s="1">
        <f>IFERROR(__xludf.DUMMYFUNCTION("""COMPUTED_VALUE"""),5430.0)</f>
        <v>5430</v>
      </c>
      <c r="F1252" s="1">
        <f>IFERROR(__xludf.DUMMYFUNCTION("""COMPUTED_VALUE"""),37460.0)</f>
        <v>37460</v>
      </c>
    </row>
    <row r="1253">
      <c r="A1253" s="2">
        <f>IFERROR(__xludf.DUMMYFUNCTION("""COMPUTED_VALUE"""),43040.64583333333)</f>
        <v>43040.64583</v>
      </c>
      <c r="B1253" s="1">
        <f>IFERROR(__xludf.DUMMYFUNCTION("""COMPUTED_VALUE"""),5550.0)</f>
        <v>5550</v>
      </c>
      <c r="C1253" s="1">
        <f>IFERROR(__xludf.DUMMYFUNCTION("""COMPUTED_VALUE"""),5670.0)</f>
        <v>5670</v>
      </c>
      <c r="D1253" s="1">
        <f>IFERROR(__xludf.DUMMYFUNCTION("""COMPUTED_VALUE"""),5430.0)</f>
        <v>5430</v>
      </c>
      <c r="E1253" s="1">
        <f>IFERROR(__xludf.DUMMYFUNCTION("""COMPUTED_VALUE"""),5430.0)</f>
        <v>5430</v>
      </c>
      <c r="F1253" s="1">
        <f>IFERROR(__xludf.DUMMYFUNCTION("""COMPUTED_VALUE"""),20802.0)</f>
        <v>20802</v>
      </c>
    </row>
    <row r="1254">
      <c r="A1254" s="2">
        <f>IFERROR(__xludf.DUMMYFUNCTION("""COMPUTED_VALUE"""),43041.64583333333)</f>
        <v>43041.64583</v>
      </c>
      <c r="B1254" s="1">
        <f>IFERROR(__xludf.DUMMYFUNCTION("""COMPUTED_VALUE"""),5490.0)</f>
        <v>5490</v>
      </c>
      <c r="C1254" s="1">
        <f>IFERROR(__xludf.DUMMYFUNCTION("""COMPUTED_VALUE"""),5620.0)</f>
        <v>5620</v>
      </c>
      <c r="D1254" s="1">
        <f>IFERROR(__xludf.DUMMYFUNCTION("""COMPUTED_VALUE"""),5480.0)</f>
        <v>5480</v>
      </c>
      <c r="E1254" s="1">
        <f>IFERROR(__xludf.DUMMYFUNCTION("""COMPUTED_VALUE"""),5550.0)</f>
        <v>5550</v>
      </c>
      <c r="F1254" s="1">
        <f>IFERROR(__xludf.DUMMYFUNCTION("""COMPUTED_VALUE"""),33873.0)</f>
        <v>33873</v>
      </c>
    </row>
    <row r="1255">
      <c r="A1255" s="2">
        <f>IFERROR(__xludf.DUMMYFUNCTION("""COMPUTED_VALUE"""),43042.64583333333)</f>
        <v>43042.64583</v>
      </c>
      <c r="B1255" s="1">
        <f>IFERROR(__xludf.DUMMYFUNCTION("""COMPUTED_VALUE"""),5640.0)</f>
        <v>5640</v>
      </c>
      <c r="C1255" s="1">
        <f>IFERROR(__xludf.DUMMYFUNCTION("""COMPUTED_VALUE"""),5900.0)</f>
        <v>5900</v>
      </c>
      <c r="D1255" s="1">
        <f>IFERROR(__xludf.DUMMYFUNCTION("""COMPUTED_VALUE"""),5500.0)</f>
        <v>5500</v>
      </c>
      <c r="E1255" s="1">
        <f>IFERROR(__xludf.DUMMYFUNCTION("""COMPUTED_VALUE"""),5850.0)</f>
        <v>5850</v>
      </c>
      <c r="F1255" s="1">
        <f>IFERROR(__xludf.DUMMYFUNCTION("""COMPUTED_VALUE"""),62495.0)</f>
        <v>62495</v>
      </c>
    </row>
    <row r="1256">
      <c r="A1256" s="2">
        <f>IFERROR(__xludf.DUMMYFUNCTION("""COMPUTED_VALUE"""),43045.64583333333)</f>
        <v>43045.64583</v>
      </c>
      <c r="B1256" s="1">
        <f>IFERROR(__xludf.DUMMYFUNCTION("""COMPUTED_VALUE"""),5890.0)</f>
        <v>5890</v>
      </c>
      <c r="C1256" s="1">
        <f>IFERROR(__xludf.DUMMYFUNCTION("""COMPUTED_VALUE"""),5890.0)</f>
        <v>5890</v>
      </c>
      <c r="D1256" s="1">
        <f>IFERROR(__xludf.DUMMYFUNCTION("""COMPUTED_VALUE"""),5720.0)</f>
        <v>5720</v>
      </c>
      <c r="E1256" s="1">
        <f>IFERROR(__xludf.DUMMYFUNCTION("""COMPUTED_VALUE"""),5860.0)</f>
        <v>5860</v>
      </c>
      <c r="F1256" s="1">
        <f>IFERROR(__xludf.DUMMYFUNCTION("""COMPUTED_VALUE"""),26360.0)</f>
        <v>26360</v>
      </c>
    </row>
    <row r="1257">
      <c r="A1257" s="2">
        <f>IFERROR(__xludf.DUMMYFUNCTION("""COMPUTED_VALUE"""),43046.64583333333)</f>
        <v>43046.64583</v>
      </c>
      <c r="B1257" s="1">
        <f>IFERROR(__xludf.DUMMYFUNCTION("""COMPUTED_VALUE"""),5780.0)</f>
        <v>5780</v>
      </c>
      <c r="C1257" s="1">
        <f>IFERROR(__xludf.DUMMYFUNCTION("""COMPUTED_VALUE"""),5880.0)</f>
        <v>5880</v>
      </c>
      <c r="D1257" s="1">
        <f>IFERROR(__xludf.DUMMYFUNCTION("""COMPUTED_VALUE"""),5710.0)</f>
        <v>5710</v>
      </c>
      <c r="E1257" s="1">
        <f>IFERROR(__xludf.DUMMYFUNCTION("""COMPUTED_VALUE"""),5800.0)</f>
        <v>5800</v>
      </c>
      <c r="F1257" s="1">
        <f>IFERROR(__xludf.DUMMYFUNCTION("""COMPUTED_VALUE"""),26851.0)</f>
        <v>26851</v>
      </c>
    </row>
    <row r="1258">
      <c r="A1258" s="2">
        <f>IFERROR(__xludf.DUMMYFUNCTION("""COMPUTED_VALUE"""),43047.64583333333)</f>
        <v>43047.64583</v>
      </c>
      <c r="B1258" s="1">
        <f>IFERROR(__xludf.DUMMYFUNCTION("""COMPUTED_VALUE"""),5800.0)</f>
        <v>5800</v>
      </c>
      <c r="C1258" s="1">
        <f>IFERROR(__xludf.DUMMYFUNCTION("""COMPUTED_VALUE"""),6370.0)</f>
        <v>6370</v>
      </c>
      <c r="D1258" s="1">
        <f>IFERROR(__xludf.DUMMYFUNCTION("""COMPUTED_VALUE"""),5790.0)</f>
        <v>5790</v>
      </c>
      <c r="E1258" s="1">
        <f>IFERROR(__xludf.DUMMYFUNCTION("""COMPUTED_VALUE"""),5930.0)</f>
        <v>5930</v>
      </c>
      <c r="F1258" s="1">
        <f>IFERROR(__xludf.DUMMYFUNCTION("""COMPUTED_VALUE"""),331130.0)</f>
        <v>331130</v>
      </c>
    </row>
    <row r="1259">
      <c r="A1259" s="2">
        <f>IFERROR(__xludf.DUMMYFUNCTION("""COMPUTED_VALUE"""),43048.64583333333)</f>
        <v>43048.64583</v>
      </c>
      <c r="B1259" s="1">
        <f>IFERROR(__xludf.DUMMYFUNCTION("""COMPUTED_VALUE"""),6060.0)</f>
        <v>6060</v>
      </c>
      <c r="C1259" s="1">
        <f>IFERROR(__xludf.DUMMYFUNCTION("""COMPUTED_VALUE"""),6190.0)</f>
        <v>6190</v>
      </c>
      <c r="D1259" s="1">
        <f>IFERROR(__xludf.DUMMYFUNCTION("""COMPUTED_VALUE"""),5860.0)</f>
        <v>5860</v>
      </c>
      <c r="E1259" s="1">
        <f>IFERROR(__xludf.DUMMYFUNCTION("""COMPUTED_VALUE"""),6130.0)</f>
        <v>6130</v>
      </c>
      <c r="F1259" s="1">
        <f>IFERROR(__xludf.DUMMYFUNCTION("""COMPUTED_VALUE"""),121888.0)</f>
        <v>121888</v>
      </c>
    </row>
    <row r="1260">
      <c r="A1260" s="2">
        <f>IFERROR(__xludf.DUMMYFUNCTION("""COMPUTED_VALUE"""),43049.64583333333)</f>
        <v>43049.64583</v>
      </c>
      <c r="B1260" s="1">
        <f>IFERROR(__xludf.DUMMYFUNCTION("""COMPUTED_VALUE"""),6070.0)</f>
        <v>6070</v>
      </c>
      <c r="C1260" s="1">
        <f>IFERROR(__xludf.DUMMYFUNCTION("""COMPUTED_VALUE"""),6130.0)</f>
        <v>6130</v>
      </c>
      <c r="D1260" s="1">
        <f>IFERROR(__xludf.DUMMYFUNCTION("""COMPUTED_VALUE"""),5830.0)</f>
        <v>5830</v>
      </c>
      <c r="E1260" s="1">
        <f>IFERROR(__xludf.DUMMYFUNCTION("""COMPUTED_VALUE"""),5850.0)</f>
        <v>5850</v>
      </c>
      <c r="F1260" s="1">
        <f>IFERROR(__xludf.DUMMYFUNCTION("""COMPUTED_VALUE"""),69004.0)</f>
        <v>69004</v>
      </c>
    </row>
    <row r="1261">
      <c r="A1261" s="2">
        <f>IFERROR(__xludf.DUMMYFUNCTION("""COMPUTED_VALUE"""),43052.64583333333)</f>
        <v>43052.64583</v>
      </c>
      <c r="B1261" s="1">
        <f>IFERROR(__xludf.DUMMYFUNCTION("""COMPUTED_VALUE"""),6030.0)</f>
        <v>6030</v>
      </c>
      <c r="C1261" s="1">
        <f>IFERROR(__xludf.DUMMYFUNCTION("""COMPUTED_VALUE"""),6030.0)</f>
        <v>6030</v>
      </c>
      <c r="D1261" s="1">
        <f>IFERROR(__xludf.DUMMYFUNCTION("""COMPUTED_VALUE"""),5750.0)</f>
        <v>5750</v>
      </c>
      <c r="E1261" s="1">
        <f>IFERROR(__xludf.DUMMYFUNCTION("""COMPUTED_VALUE"""),5750.0)</f>
        <v>5750</v>
      </c>
      <c r="F1261" s="1">
        <f>IFERROR(__xludf.DUMMYFUNCTION("""COMPUTED_VALUE"""),60287.0)</f>
        <v>60287</v>
      </c>
    </row>
    <row r="1262">
      <c r="A1262" s="2">
        <f>IFERROR(__xludf.DUMMYFUNCTION("""COMPUTED_VALUE"""),43053.64583333333)</f>
        <v>43053.64583</v>
      </c>
      <c r="B1262" s="1">
        <f>IFERROR(__xludf.DUMMYFUNCTION("""COMPUTED_VALUE"""),5750.0)</f>
        <v>5750</v>
      </c>
      <c r="C1262" s="1">
        <f>IFERROR(__xludf.DUMMYFUNCTION("""COMPUTED_VALUE"""),6040.0)</f>
        <v>6040</v>
      </c>
      <c r="D1262" s="1">
        <f>IFERROR(__xludf.DUMMYFUNCTION("""COMPUTED_VALUE"""),5750.0)</f>
        <v>5750</v>
      </c>
      <c r="E1262" s="1">
        <f>IFERROR(__xludf.DUMMYFUNCTION("""COMPUTED_VALUE"""),6020.0)</f>
        <v>6020</v>
      </c>
      <c r="F1262" s="1">
        <f>IFERROR(__xludf.DUMMYFUNCTION("""COMPUTED_VALUE"""),77735.0)</f>
        <v>77735</v>
      </c>
    </row>
    <row r="1263">
      <c r="A1263" s="2">
        <f>IFERROR(__xludf.DUMMYFUNCTION("""COMPUTED_VALUE"""),43054.64583333333)</f>
        <v>43054.64583</v>
      </c>
      <c r="B1263" s="1">
        <f>IFERROR(__xludf.DUMMYFUNCTION("""COMPUTED_VALUE"""),5940.0)</f>
        <v>5940</v>
      </c>
      <c r="C1263" s="1">
        <f>IFERROR(__xludf.DUMMYFUNCTION("""COMPUTED_VALUE"""),6400.0)</f>
        <v>6400</v>
      </c>
      <c r="D1263" s="1">
        <f>IFERROR(__xludf.DUMMYFUNCTION("""COMPUTED_VALUE"""),5940.0)</f>
        <v>5940</v>
      </c>
      <c r="E1263" s="1">
        <f>IFERROR(__xludf.DUMMYFUNCTION("""COMPUTED_VALUE"""),6080.0)</f>
        <v>6080</v>
      </c>
      <c r="F1263" s="1">
        <f>IFERROR(__xludf.DUMMYFUNCTION("""COMPUTED_VALUE"""),132536.0)</f>
        <v>132536</v>
      </c>
    </row>
    <row r="1264">
      <c r="A1264" s="2">
        <f>IFERROR(__xludf.DUMMYFUNCTION("""COMPUTED_VALUE"""),43055.64583333333)</f>
        <v>43055.64583</v>
      </c>
      <c r="B1264" s="1">
        <f>IFERROR(__xludf.DUMMYFUNCTION("""COMPUTED_VALUE"""),6150.0)</f>
        <v>6150</v>
      </c>
      <c r="C1264" s="1">
        <f>IFERROR(__xludf.DUMMYFUNCTION("""COMPUTED_VALUE"""),6250.0)</f>
        <v>6250</v>
      </c>
      <c r="D1264" s="1">
        <f>IFERROR(__xludf.DUMMYFUNCTION("""COMPUTED_VALUE"""),5860.0)</f>
        <v>5860</v>
      </c>
      <c r="E1264" s="1">
        <f>IFERROR(__xludf.DUMMYFUNCTION("""COMPUTED_VALUE"""),6200.0)</f>
        <v>6200</v>
      </c>
      <c r="F1264" s="1">
        <f>IFERROR(__xludf.DUMMYFUNCTION("""COMPUTED_VALUE"""),62977.0)</f>
        <v>62977</v>
      </c>
    </row>
    <row r="1265">
      <c r="A1265" s="2">
        <f>IFERROR(__xludf.DUMMYFUNCTION("""COMPUTED_VALUE"""),43056.64583333333)</f>
        <v>43056.64583</v>
      </c>
      <c r="B1265" s="1">
        <f>IFERROR(__xludf.DUMMYFUNCTION("""COMPUTED_VALUE"""),6200.0)</f>
        <v>6200</v>
      </c>
      <c r="C1265" s="1">
        <f>IFERROR(__xludf.DUMMYFUNCTION("""COMPUTED_VALUE"""),6200.0)</f>
        <v>6200</v>
      </c>
      <c r="D1265" s="1">
        <f>IFERROR(__xludf.DUMMYFUNCTION("""COMPUTED_VALUE"""),6000.0)</f>
        <v>6000</v>
      </c>
      <c r="E1265" s="1">
        <f>IFERROR(__xludf.DUMMYFUNCTION("""COMPUTED_VALUE"""),6110.0)</f>
        <v>6110</v>
      </c>
      <c r="F1265" s="1">
        <f>IFERROR(__xludf.DUMMYFUNCTION("""COMPUTED_VALUE"""),43134.0)</f>
        <v>43134</v>
      </c>
    </row>
    <row r="1266">
      <c r="A1266" s="2">
        <f>IFERROR(__xludf.DUMMYFUNCTION("""COMPUTED_VALUE"""),43059.64583333333)</f>
        <v>43059.64583</v>
      </c>
      <c r="B1266" s="1">
        <f>IFERROR(__xludf.DUMMYFUNCTION("""COMPUTED_VALUE"""),6220.0)</f>
        <v>6220</v>
      </c>
      <c r="C1266" s="1">
        <f>IFERROR(__xludf.DUMMYFUNCTION("""COMPUTED_VALUE"""),6270.0)</f>
        <v>6270</v>
      </c>
      <c r="D1266" s="1">
        <f>IFERROR(__xludf.DUMMYFUNCTION("""COMPUTED_VALUE"""),6010.0)</f>
        <v>6010</v>
      </c>
      <c r="E1266" s="1">
        <f>IFERROR(__xludf.DUMMYFUNCTION("""COMPUTED_VALUE"""),6010.0)</f>
        <v>6010</v>
      </c>
      <c r="F1266" s="1">
        <f>IFERROR(__xludf.DUMMYFUNCTION("""COMPUTED_VALUE"""),131879.0)</f>
        <v>131879</v>
      </c>
    </row>
    <row r="1267">
      <c r="A1267" s="2">
        <f>IFERROR(__xludf.DUMMYFUNCTION("""COMPUTED_VALUE"""),43060.64583333333)</f>
        <v>43060.64583</v>
      </c>
      <c r="B1267" s="1">
        <f>IFERROR(__xludf.DUMMYFUNCTION("""COMPUTED_VALUE"""),6010.0)</f>
        <v>6010</v>
      </c>
      <c r="C1267" s="1">
        <f>IFERROR(__xludf.DUMMYFUNCTION("""COMPUTED_VALUE"""),6020.0)</f>
        <v>6020</v>
      </c>
      <c r="D1267" s="1">
        <f>IFERROR(__xludf.DUMMYFUNCTION("""COMPUTED_VALUE"""),5810.0)</f>
        <v>5810</v>
      </c>
      <c r="E1267" s="1">
        <f>IFERROR(__xludf.DUMMYFUNCTION("""COMPUTED_VALUE"""),5980.0)</f>
        <v>5980</v>
      </c>
      <c r="F1267" s="1">
        <f>IFERROR(__xludf.DUMMYFUNCTION("""COMPUTED_VALUE"""),74778.0)</f>
        <v>74778</v>
      </c>
    </row>
    <row r="1268">
      <c r="A1268" s="2">
        <f>IFERROR(__xludf.DUMMYFUNCTION("""COMPUTED_VALUE"""),43061.64583333333)</f>
        <v>43061.64583</v>
      </c>
      <c r="B1268" s="1">
        <f>IFERROR(__xludf.DUMMYFUNCTION("""COMPUTED_VALUE"""),5980.0)</f>
        <v>5980</v>
      </c>
      <c r="C1268" s="1">
        <f>IFERROR(__xludf.DUMMYFUNCTION("""COMPUTED_VALUE"""),5980.0)</f>
        <v>5980</v>
      </c>
      <c r="D1268" s="1">
        <f>IFERROR(__xludf.DUMMYFUNCTION("""COMPUTED_VALUE"""),5750.0)</f>
        <v>5750</v>
      </c>
      <c r="E1268" s="1">
        <f>IFERROR(__xludf.DUMMYFUNCTION("""COMPUTED_VALUE"""),5940.0)</f>
        <v>5940</v>
      </c>
      <c r="F1268" s="1">
        <f>IFERROR(__xludf.DUMMYFUNCTION("""COMPUTED_VALUE"""),107120.0)</f>
        <v>107120</v>
      </c>
    </row>
    <row r="1269">
      <c r="A1269" s="2">
        <f>IFERROR(__xludf.DUMMYFUNCTION("""COMPUTED_VALUE"""),43062.69791666667)</f>
        <v>43062.69792</v>
      </c>
      <c r="B1269" s="1">
        <f>IFERROR(__xludf.DUMMYFUNCTION("""COMPUTED_VALUE"""),5940.0)</f>
        <v>5940</v>
      </c>
      <c r="C1269" s="1">
        <f>IFERROR(__xludf.DUMMYFUNCTION("""COMPUTED_VALUE"""),6030.0)</f>
        <v>6030</v>
      </c>
      <c r="D1269" s="1">
        <f>IFERROR(__xludf.DUMMYFUNCTION("""COMPUTED_VALUE"""),5900.0)</f>
        <v>5900</v>
      </c>
      <c r="E1269" s="1">
        <f>IFERROR(__xludf.DUMMYFUNCTION("""COMPUTED_VALUE"""),6000.0)</f>
        <v>6000</v>
      </c>
      <c r="F1269" s="1">
        <f>IFERROR(__xludf.DUMMYFUNCTION("""COMPUTED_VALUE"""),25948.0)</f>
        <v>25948</v>
      </c>
    </row>
    <row r="1270">
      <c r="A1270" s="2">
        <f>IFERROR(__xludf.DUMMYFUNCTION("""COMPUTED_VALUE"""),43063.64583333333)</f>
        <v>43063.64583</v>
      </c>
      <c r="B1270" s="1">
        <f>IFERROR(__xludf.DUMMYFUNCTION("""COMPUTED_VALUE"""),5990.0)</f>
        <v>5990</v>
      </c>
      <c r="C1270" s="1">
        <f>IFERROR(__xludf.DUMMYFUNCTION("""COMPUTED_VALUE"""),6070.0)</f>
        <v>6070</v>
      </c>
      <c r="D1270" s="1">
        <f>IFERROR(__xludf.DUMMYFUNCTION("""COMPUTED_VALUE"""),5900.0)</f>
        <v>5900</v>
      </c>
      <c r="E1270" s="1">
        <f>IFERROR(__xludf.DUMMYFUNCTION("""COMPUTED_VALUE"""),6050.0)</f>
        <v>6050</v>
      </c>
      <c r="F1270" s="1">
        <f>IFERROR(__xludf.DUMMYFUNCTION("""COMPUTED_VALUE"""),48790.0)</f>
        <v>48790</v>
      </c>
    </row>
    <row r="1271">
      <c r="A1271" s="2">
        <f>IFERROR(__xludf.DUMMYFUNCTION("""COMPUTED_VALUE"""),43067.64583333333)</f>
        <v>43067.64583</v>
      </c>
      <c r="B1271" s="1">
        <f>IFERROR(__xludf.DUMMYFUNCTION("""COMPUTED_VALUE"""),6000.0)</f>
        <v>6000</v>
      </c>
      <c r="C1271" s="1">
        <f>IFERROR(__xludf.DUMMYFUNCTION("""COMPUTED_VALUE"""),6060.0)</f>
        <v>6060</v>
      </c>
      <c r="D1271" s="1">
        <f>IFERROR(__xludf.DUMMYFUNCTION("""COMPUTED_VALUE"""),5950.0)</f>
        <v>5950</v>
      </c>
      <c r="E1271" s="1">
        <f>IFERROR(__xludf.DUMMYFUNCTION("""COMPUTED_VALUE"""),6010.0)</f>
        <v>6010</v>
      </c>
      <c r="F1271" s="1">
        <f>IFERROR(__xludf.DUMMYFUNCTION("""COMPUTED_VALUE"""),45462.0)</f>
        <v>45462</v>
      </c>
    </row>
    <row r="1272">
      <c r="A1272" s="2">
        <f>IFERROR(__xludf.DUMMYFUNCTION("""COMPUTED_VALUE"""),43068.64583333333)</f>
        <v>43068.64583</v>
      </c>
      <c r="B1272" s="1">
        <f>IFERROR(__xludf.DUMMYFUNCTION("""COMPUTED_VALUE"""),6130.0)</f>
        <v>6130</v>
      </c>
      <c r="C1272" s="1">
        <f>IFERROR(__xludf.DUMMYFUNCTION("""COMPUTED_VALUE"""),6270.0)</f>
        <v>6270</v>
      </c>
      <c r="D1272" s="1">
        <f>IFERROR(__xludf.DUMMYFUNCTION("""COMPUTED_VALUE"""),5980.0)</f>
        <v>5980</v>
      </c>
      <c r="E1272" s="1">
        <f>IFERROR(__xludf.DUMMYFUNCTION("""COMPUTED_VALUE"""),6250.0)</f>
        <v>6250</v>
      </c>
      <c r="F1272" s="1">
        <f>IFERROR(__xludf.DUMMYFUNCTION("""COMPUTED_VALUE"""),211073.0)</f>
        <v>211073</v>
      </c>
    </row>
    <row r="1273">
      <c r="A1273" s="2">
        <f>IFERROR(__xludf.DUMMYFUNCTION("""COMPUTED_VALUE"""),43069.64583333333)</f>
        <v>43069.64583</v>
      </c>
      <c r="B1273" s="1">
        <f>IFERROR(__xludf.DUMMYFUNCTION("""COMPUTED_VALUE"""),6560.0)</f>
        <v>6560</v>
      </c>
      <c r="C1273" s="1">
        <f>IFERROR(__xludf.DUMMYFUNCTION("""COMPUTED_VALUE"""),6850.0)</f>
        <v>6850</v>
      </c>
      <c r="D1273" s="1">
        <f>IFERROR(__xludf.DUMMYFUNCTION("""COMPUTED_VALUE"""),6280.0)</f>
        <v>6280</v>
      </c>
      <c r="E1273" s="1">
        <f>IFERROR(__xludf.DUMMYFUNCTION("""COMPUTED_VALUE"""),6600.0)</f>
        <v>6600</v>
      </c>
      <c r="F1273" s="1">
        <f>IFERROR(__xludf.DUMMYFUNCTION("""COMPUTED_VALUE"""),525417.0)</f>
        <v>525417</v>
      </c>
    </row>
    <row r="1274">
      <c r="A1274" s="2">
        <f>IFERROR(__xludf.DUMMYFUNCTION("""COMPUTED_VALUE"""),43070.64583333333)</f>
        <v>43070.64583</v>
      </c>
      <c r="B1274" s="1">
        <f>IFERROR(__xludf.DUMMYFUNCTION("""COMPUTED_VALUE"""),6700.0)</f>
        <v>6700</v>
      </c>
      <c r="C1274" s="1">
        <f>IFERROR(__xludf.DUMMYFUNCTION("""COMPUTED_VALUE"""),8510.0)</f>
        <v>8510</v>
      </c>
      <c r="D1274" s="1">
        <f>IFERROR(__xludf.DUMMYFUNCTION("""COMPUTED_VALUE"""),6690.0)</f>
        <v>6690</v>
      </c>
      <c r="E1274" s="1">
        <f>IFERROR(__xludf.DUMMYFUNCTION("""COMPUTED_VALUE"""),8160.0)</f>
        <v>8160</v>
      </c>
      <c r="F1274" s="1">
        <f>IFERROR(__xludf.DUMMYFUNCTION("""COMPUTED_VALUE"""),1942326.0)</f>
        <v>1942326</v>
      </c>
    </row>
    <row r="1275">
      <c r="A1275" s="2">
        <f>IFERROR(__xludf.DUMMYFUNCTION("""COMPUTED_VALUE"""),43073.64583333333)</f>
        <v>43073.64583</v>
      </c>
      <c r="B1275" s="1">
        <f>IFERROR(__xludf.DUMMYFUNCTION("""COMPUTED_VALUE"""),8180.0)</f>
        <v>8180</v>
      </c>
      <c r="C1275" s="1">
        <f>IFERROR(__xludf.DUMMYFUNCTION("""COMPUTED_VALUE"""),8490.0)</f>
        <v>8490</v>
      </c>
      <c r="D1275" s="1">
        <f>IFERROR(__xludf.DUMMYFUNCTION("""COMPUTED_VALUE"""),7770.0)</f>
        <v>7770</v>
      </c>
      <c r="E1275" s="1">
        <f>IFERROR(__xludf.DUMMYFUNCTION("""COMPUTED_VALUE"""),8090.0)</f>
        <v>8090</v>
      </c>
      <c r="F1275" s="1">
        <f>IFERROR(__xludf.DUMMYFUNCTION("""COMPUTED_VALUE"""),736639.0)</f>
        <v>736639</v>
      </c>
    </row>
    <row r="1276">
      <c r="A1276" s="2">
        <f>IFERROR(__xludf.DUMMYFUNCTION("""COMPUTED_VALUE"""),43074.64583333333)</f>
        <v>43074.64583</v>
      </c>
      <c r="B1276" s="1">
        <f>IFERROR(__xludf.DUMMYFUNCTION("""COMPUTED_VALUE"""),7960.0)</f>
        <v>7960</v>
      </c>
      <c r="C1276" s="1">
        <f>IFERROR(__xludf.DUMMYFUNCTION("""COMPUTED_VALUE"""),8730.0)</f>
        <v>8730</v>
      </c>
      <c r="D1276" s="1">
        <f>IFERROR(__xludf.DUMMYFUNCTION("""COMPUTED_VALUE"""),7900.0)</f>
        <v>7900</v>
      </c>
      <c r="E1276" s="1">
        <f>IFERROR(__xludf.DUMMYFUNCTION("""COMPUTED_VALUE"""),8150.0)</f>
        <v>8150</v>
      </c>
      <c r="F1276" s="1">
        <f>IFERROR(__xludf.DUMMYFUNCTION("""COMPUTED_VALUE"""),703570.0)</f>
        <v>703570</v>
      </c>
    </row>
    <row r="1277">
      <c r="A1277" s="2">
        <f>IFERROR(__xludf.DUMMYFUNCTION("""COMPUTED_VALUE"""),43075.64583333333)</f>
        <v>43075.64583</v>
      </c>
      <c r="B1277" s="1">
        <f>IFERROR(__xludf.DUMMYFUNCTION("""COMPUTED_VALUE"""),8280.0)</f>
        <v>8280</v>
      </c>
      <c r="C1277" s="1">
        <f>IFERROR(__xludf.DUMMYFUNCTION("""COMPUTED_VALUE"""),8900.0)</f>
        <v>8900</v>
      </c>
      <c r="D1277" s="1">
        <f>IFERROR(__xludf.DUMMYFUNCTION("""COMPUTED_VALUE"""),8200.0)</f>
        <v>8200</v>
      </c>
      <c r="E1277" s="1">
        <f>IFERROR(__xludf.DUMMYFUNCTION("""COMPUTED_VALUE"""),8900.0)</f>
        <v>8900</v>
      </c>
      <c r="F1277" s="1">
        <f>IFERROR(__xludf.DUMMYFUNCTION("""COMPUTED_VALUE"""),1000847.0)</f>
        <v>1000847</v>
      </c>
    </row>
    <row r="1278">
      <c r="A1278" s="2">
        <f>IFERROR(__xludf.DUMMYFUNCTION("""COMPUTED_VALUE"""),43076.64583333333)</f>
        <v>43076.64583</v>
      </c>
      <c r="B1278" s="1">
        <f>IFERROR(__xludf.DUMMYFUNCTION("""COMPUTED_VALUE"""),9400.0)</f>
        <v>9400</v>
      </c>
      <c r="C1278" s="1">
        <f>IFERROR(__xludf.DUMMYFUNCTION("""COMPUTED_VALUE"""),9480.0)</f>
        <v>9480</v>
      </c>
      <c r="D1278" s="1">
        <f>IFERROR(__xludf.DUMMYFUNCTION("""COMPUTED_VALUE"""),8560.0)</f>
        <v>8560</v>
      </c>
      <c r="E1278" s="1">
        <f>IFERROR(__xludf.DUMMYFUNCTION("""COMPUTED_VALUE"""),9150.0)</f>
        <v>9150</v>
      </c>
      <c r="F1278" s="1">
        <f>IFERROR(__xludf.DUMMYFUNCTION("""COMPUTED_VALUE"""),705089.0)</f>
        <v>705089</v>
      </c>
    </row>
    <row r="1279">
      <c r="A1279" s="2">
        <f>IFERROR(__xludf.DUMMYFUNCTION("""COMPUTED_VALUE"""),43077.64583333333)</f>
        <v>43077.64583</v>
      </c>
      <c r="B1279" s="1">
        <f>IFERROR(__xludf.DUMMYFUNCTION("""COMPUTED_VALUE"""),9200.0)</f>
        <v>9200</v>
      </c>
      <c r="C1279" s="1">
        <f>IFERROR(__xludf.DUMMYFUNCTION("""COMPUTED_VALUE"""),9200.0)</f>
        <v>9200</v>
      </c>
      <c r="D1279" s="1">
        <f>IFERROR(__xludf.DUMMYFUNCTION("""COMPUTED_VALUE"""),8310.0)</f>
        <v>8310</v>
      </c>
      <c r="E1279" s="1">
        <f>IFERROR(__xludf.DUMMYFUNCTION("""COMPUTED_VALUE"""),8430.0)</f>
        <v>8430</v>
      </c>
      <c r="F1279" s="1">
        <f>IFERROR(__xludf.DUMMYFUNCTION("""COMPUTED_VALUE"""),423923.0)</f>
        <v>423923</v>
      </c>
    </row>
    <row r="1280">
      <c r="A1280" s="2">
        <f>IFERROR(__xludf.DUMMYFUNCTION("""COMPUTED_VALUE"""),43080.64583333333)</f>
        <v>43080.64583</v>
      </c>
      <c r="B1280" s="1">
        <f>IFERROR(__xludf.DUMMYFUNCTION("""COMPUTED_VALUE"""),8500.0)</f>
        <v>8500</v>
      </c>
      <c r="C1280" s="1">
        <f>IFERROR(__xludf.DUMMYFUNCTION("""COMPUTED_VALUE"""),8670.0)</f>
        <v>8670</v>
      </c>
      <c r="D1280" s="1">
        <f>IFERROR(__xludf.DUMMYFUNCTION("""COMPUTED_VALUE"""),8080.0)</f>
        <v>8080</v>
      </c>
      <c r="E1280" s="1">
        <f>IFERROR(__xludf.DUMMYFUNCTION("""COMPUTED_VALUE"""),8440.0)</f>
        <v>8440</v>
      </c>
      <c r="F1280" s="1">
        <f>IFERROR(__xludf.DUMMYFUNCTION("""COMPUTED_VALUE"""),335087.0)</f>
        <v>335087</v>
      </c>
    </row>
    <row r="1281">
      <c r="A1281" s="2">
        <f>IFERROR(__xludf.DUMMYFUNCTION("""COMPUTED_VALUE"""),43081.64583333333)</f>
        <v>43081.64583</v>
      </c>
      <c r="B1281" s="1">
        <f>IFERROR(__xludf.DUMMYFUNCTION("""COMPUTED_VALUE"""),8490.0)</f>
        <v>8490</v>
      </c>
      <c r="C1281" s="1">
        <f>IFERROR(__xludf.DUMMYFUNCTION("""COMPUTED_VALUE"""),9000.0)</f>
        <v>9000</v>
      </c>
      <c r="D1281" s="1">
        <f>IFERROR(__xludf.DUMMYFUNCTION("""COMPUTED_VALUE"""),8320.0)</f>
        <v>8320</v>
      </c>
      <c r="E1281" s="1">
        <f>IFERROR(__xludf.DUMMYFUNCTION("""COMPUTED_VALUE"""),8650.0)</f>
        <v>8650</v>
      </c>
      <c r="F1281" s="1">
        <f>IFERROR(__xludf.DUMMYFUNCTION("""COMPUTED_VALUE"""),314883.0)</f>
        <v>314883</v>
      </c>
    </row>
    <row r="1282">
      <c r="A1282" s="2">
        <f>IFERROR(__xludf.DUMMYFUNCTION("""COMPUTED_VALUE"""),43083.64583333333)</f>
        <v>43083.64583</v>
      </c>
      <c r="B1282" s="1">
        <f>IFERROR(__xludf.DUMMYFUNCTION("""COMPUTED_VALUE"""),8640.0)</f>
        <v>8640</v>
      </c>
      <c r="C1282" s="1">
        <f>IFERROR(__xludf.DUMMYFUNCTION("""COMPUTED_VALUE"""),8930.0)</f>
        <v>8930</v>
      </c>
      <c r="D1282" s="1">
        <f>IFERROR(__xludf.DUMMYFUNCTION("""COMPUTED_VALUE"""),8570.0)</f>
        <v>8570</v>
      </c>
      <c r="E1282" s="1">
        <f>IFERROR(__xludf.DUMMYFUNCTION("""COMPUTED_VALUE"""),8830.0)</f>
        <v>8830</v>
      </c>
      <c r="F1282" s="1">
        <f>IFERROR(__xludf.DUMMYFUNCTION("""COMPUTED_VALUE"""),230536.0)</f>
        <v>230536</v>
      </c>
    </row>
    <row r="1283">
      <c r="A1283" s="2">
        <f>IFERROR(__xludf.DUMMYFUNCTION("""COMPUTED_VALUE"""),43084.64583333333)</f>
        <v>43084.64583</v>
      </c>
      <c r="B1283" s="1">
        <f>IFERROR(__xludf.DUMMYFUNCTION("""COMPUTED_VALUE"""),8830.0)</f>
        <v>8830</v>
      </c>
      <c r="C1283" s="1">
        <f>IFERROR(__xludf.DUMMYFUNCTION("""COMPUTED_VALUE"""),8940.0)</f>
        <v>8940</v>
      </c>
      <c r="D1283" s="1">
        <f>IFERROR(__xludf.DUMMYFUNCTION("""COMPUTED_VALUE"""),8550.0)</f>
        <v>8550</v>
      </c>
      <c r="E1283" s="1">
        <f>IFERROR(__xludf.DUMMYFUNCTION("""COMPUTED_VALUE"""),8880.0)</f>
        <v>8880</v>
      </c>
      <c r="F1283" s="1">
        <f>IFERROR(__xludf.DUMMYFUNCTION("""COMPUTED_VALUE"""),170901.0)</f>
        <v>170901</v>
      </c>
    </row>
    <row r="1284">
      <c r="A1284" s="2">
        <f>IFERROR(__xludf.DUMMYFUNCTION("""COMPUTED_VALUE"""),43087.64583333333)</f>
        <v>43087.64583</v>
      </c>
      <c r="B1284" s="1">
        <f>IFERROR(__xludf.DUMMYFUNCTION("""COMPUTED_VALUE"""),8940.0)</f>
        <v>8940</v>
      </c>
      <c r="C1284" s="1">
        <f>IFERROR(__xludf.DUMMYFUNCTION("""COMPUTED_VALUE"""),8950.0)</f>
        <v>8950</v>
      </c>
      <c r="D1284" s="1">
        <f>IFERROR(__xludf.DUMMYFUNCTION("""COMPUTED_VALUE"""),8390.0)</f>
        <v>8390</v>
      </c>
      <c r="E1284" s="1">
        <f>IFERROR(__xludf.DUMMYFUNCTION("""COMPUTED_VALUE"""),8440.0)</f>
        <v>8440</v>
      </c>
      <c r="F1284" s="1">
        <f>IFERROR(__xludf.DUMMYFUNCTION("""COMPUTED_VALUE"""),254628.0)</f>
        <v>254628</v>
      </c>
    </row>
    <row r="1285">
      <c r="A1285" s="2">
        <f>IFERROR(__xludf.DUMMYFUNCTION("""COMPUTED_VALUE"""),43088.64583333333)</f>
        <v>43088.64583</v>
      </c>
      <c r="B1285" s="1">
        <f>IFERROR(__xludf.DUMMYFUNCTION("""COMPUTED_VALUE"""),8300.0)</f>
        <v>8300</v>
      </c>
      <c r="C1285" s="1">
        <f>IFERROR(__xludf.DUMMYFUNCTION("""COMPUTED_VALUE"""),8390.0)</f>
        <v>8390</v>
      </c>
      <c r="D1285" s="1">
        <f>IFERROR(__xludf.DUMMYFUNCTION("""COMPUTED_VALUE"""),7890.0)</f>
        <v>7890</v>
      </c>
      <c r="E1285" s="1">
        <f>IFERROR(__xludf.DUMMYFUNCTION("""COMPUTED_VALUE"""),8150.0)</f>
        <v>8150</v>
      </c>
      <c r="F1285" s="1">
        <f>IFERROR(__xludf.DUMMYFUNCTION("""COMPUTED_VALUE"""),270954.0)</f>
        <v>270954</v>
      </c>
    </row>
    <row r="1286">
      <c r="A1286" s="2">
        <f>IFERROR(__xludf.DUMMYFUNCTION("""COMPUTED_VALUE"""),43089.64583333333)</f>
        <v>43089.64583</v>
      </c>
      <c r="B1286" s="1">
        <f>IFERROR(__xludf.DUMMYFUNCTION("""COMPUTED_VALUE"""),8200.0)</f>
        <v>8200</v>
      </c>
      <c r="C1286" s="1">
        <f>IFERROR(__xludf.DUMMYFUNCTION("""COMPUTED_VALUE"""),8300.0)</f>
        <v>8300</v>
      </c>
      <c r="D1286" s="1">
        <f>IFERROR(__xludf.DUMMYFUNCTION("""COMPUTED_VALUE"""),7990.0)</f>
        <v>7990</v>
      </c>
      <c r="E1286" s="1">
        <f>IFERROR(__xludf.DUMMYFUNCTION("""COMPUTED_VALUE"""),8050.0)</f>
        <v>8050</v>
      </c>
      <c r="F1286" s="1">
        <f>IFERROR(__xludf.DUMMYFUNCTION("""COMPUTED_VALUE"""),89526.0)</f>
        <v>89526</v>
      </c>
    </row>
    <row r="1287">
      <c r="A1287" s="2">
        <f>IFERROR(__xludf.DUMMYFUNCTION("""COMPUTED_VALUE"""),43090.64583333333)</f>
        <v>43090.64583</v>
      </c>
      <c r="B1287" s="1">
        <f>IFERROR(__xludf.DUMMYFUNCTION("""COMPUTED_VALUE"""),8050.0)</f>
        <v>8050</v>
      </c>
      <c r="C1287" s="1">
        <f>IFERROR(__xludf.DUMMYFUNCTION("""COMPUTED_VALUE"""),8200.0)</f>
        <v>8200</v>
      </c>
      <c r="D1287" s="1">
        <f>IFERROR(__xludf.DUMMYFUNCTION("""COMPUTED_VALUE"""),7960.0)</f>
        <v>7960</v>
      </c>
      <c r="E1287" s="1">
        <f>IFERROR(__xludf.DUMMYFUNCTION("""COMPUTED_VALUE"""),8000.0)</f>
        <v>8000</v>
      </c>
      <c r="F1287" s="1">
        <f>IFERROR(__xludf.DUMMYFUNCTION("""COMPUTED_VALUE"""),144336.0)</f>
        <v>144336</v>
      </c>
    </row>
    <row r="1288">
      <c r="A1288" s="2">
        <f>IFERROR(__xludf.DUMMYFUNCTION("""COMPUTED_VALUE"""),43091.64583333333)</f>
        <v>43091.64583</v>
      </c>
      <c r="B1288" s="1">
        <f>IFERROR(__xludf.DUMMYFUNCTION("""COMPUTED_VALUE"""),8000.0)</f>
        <v>8000</v>
      </c>
      <c r="C1288" s="1">
        <f>IFERROR(__xludf.DUMMYFUNCTION("""COMPUTED_VALUE"""),8010.0)</f>
        <v>8010</v>
      </c>
      <c r="D1288" s="1">
        <f>IFERROR(__xludf.DUMMYFUNCTION("""COMPUTED_VALUE"""),7760.0)</f>
        <v>7760</v>
      </c>
      <c r="E1288" s="1">
        <f>IFERROR(__xludf.DUMMYFUNCTION("""COMPUTED_VALUE"""),7790.0)</f>
        <v>7790</v>
      </c>
      <c r="F1288" s="1">
        <f>IFERROR(__xludf.DUMMYFUNCTION("""COMPUTED_VALUE"""),182206.0)</f>
        <v>182206</v>
      </c>
    </row>
    <row r="1289">
      <c r="A1289" s="2">
        <f>IFERROR(__xludf.DUMMYFUNCTION("""COMPUTED_VALUE"""),43095.64583333333)</f>
        <v>43095.64583</v>
      </c>
      <c r="B1289" s="1">
        <f>IFERROR(__xludf.DUMMYFUNCTION("""COMPUTED_VALUE"""),7720.0)</f>
        <v>7720</v>
      </c>
      <c r="C1289" s="1">
        <f>IFERROR(__xludf.DUMMYFUNCTION("""COMPUTED_VALUE"""),8050.0)</f>
        <v>8050</v>
      </c>
      <c r="D1289" s="1">
        <f>IFERROR(__xludf.DUMMYFUNCTION("""COMPUTED_VALUE"""),7720.0)</f>
        <v>7720</v>
      </c>
      <c r="E1289" s="1">
        <f>IFERROR(__xludf.DUMMYFUNCTION("""COMPUTED_VALUE"""),7820.0)</f>
        <v>7820</v>
      </c>
      <c r="F1289" s="1">
        <f>IFERROR(__xludf.DUMMYFUNCTION("""COMPUTED_VALUE"""),162983.0)</f>
        <v>162983</v>
      </c>
    </row>
    <row r="1290">
      <c r="A1290" s="2">
        <f>IFERROR(__xludf.DUMMYFUNCTION("""COMPUTED_VALUE"""),43096.64583333333)</f>
        <v>43096.64583</v>
      </c>
      <c r="B1290" s="1">
        <f>IFERROR(__xludf.DUMMYFUNCTION("""COMPUTED_VALUE"""),7930.0)</f>
        <v>7930</v>
      </c>
      <c r="C1290" s="1">
        <f>IFERROR(__xludf.DUMMYFUNCTION("""COMPUTED_VALUE"""),8640.0)</f>
        <v>8640</v>
      </c>
      <c r="D1290" s="1">
        <f>IFERROR(__xludf.DUMMYFUNCTION("""COMPUTED_VALUE"""),7930.0)</f>
        <v>7930</v>
      </c>
      <c r="E1290" s="1">
        <f>IFERROR(__xludf.DUMMYFUNCTION("""COMPUTED_VALUE"""),8400.0)</f>
        <v>8400</v>
      </c>
      <c r="F1290" s="1">
        <f>IFERROR(__xludf.DUMMYFUNCTION("""COMPUTED_VALUE"""),358406.0)</f>
        <v>358406</v>
      </c>
    </row>
    <row r="1291">
      <c r="A1291" s="2">
        <f>IFERROR(__xludf.DUMMYFUNCTION("""COMPUTED_VALUE"""),43097.64583333333)</f>
        <v>43097.64583</v>
      </c>
      <c r="B1291" s="1">
        <f>IFERROR(__xludf.DUMMYFUNCTION("""COMPUTED_VALUE"""),8410.0)</f>
        <v>8410</v>
      </c>
      <c r="C1291" s="1">
        <f>IFERROR(__xludf.DUMMYFUNCTION("""COMPUTED_VALUE"""),8860.0)</f>
        <v>8860</v>
      </c>
      <c r="D1291" s="1">
        <f>IFERROR(__xludf.DUMMYFUNCTION("""COMPUTED_VALUE"""),8410.0)</f>
        <v>8410</v>
      </c>
      <c r="E1291" s="1">
        <f>IFERROR(__xludf.DUMMYFUNCTION("""COMPUTED_VALUE"""),8480.0)</f>
        <v>8480</v>
      </c>
      <c r="F1291" s="1">
        <f>IFERROR(__xludf.DUMMYFUNCTION("""COMPUTED_VALUE"""),326024.0)</f>
        <v>326024</v>
      </c>
    </row>
    <row r="1292">
      <c r="A1292" s="2">
        <f>IFERROR(__xludf.DUMMYFUNCTION("""COMPUTED_VALUE"""),43102.64583333333)</f>
        <v>43102.64583</v>
      </c>
      <c r="B1292" s="1">
        <f>IFERROR(__xludf.DUMMYFUNCTION("""COMPUTED_VALUE"""),8580.0)</f>
        <v>8580</v>
      </c>
      <c r="C1292" s="1">
        <f>IFERROR(__xludf.DUMMYFUNCTION("""COMPUTED_VALUE"""),9080.0)</f>
        <v>9080</v>
      </c>
      <c r="D1292" s="1">
        <f>IFERROR(__xludf.DUMMYFUNCTION("""COMPUTED_VALUE"""),8520.0)</f>
        <v>8520</v>
      </c>
      <c r="E1292" s="1">
        <f>IFERROR(__xludf.DUMMYFUNCTION("""COMPUTED_VALUE"""),9000.0)</f>
        <v>9000</v>
      </c>
      <c r="F1292" s="1">
        <f>IFERROR(__xludf.DUMMYFUNCTION("""COMPUTED_VALUE"""),230633.0)</f>
        <v>230633</v>
      </c>
    </row>
    <row r="1293">
      <c r="A1293" s="2">
        <f>IFERROR(__xludf.DUMMYFUNCTION("""COMPUTED_VALUE"""),43103.64583333333)</f>
        <v>43103.64583</v>
      </c>
      <c r="B1293" s="1">
        <f>IFERROR(__xludf.DUMMYFUNCTION("""COMPUTED_VALUE"""),9200.0)</f>
        <v>9200</v>
      </c>
      <c r="C1293" s="1">
        <f>IFERROR(__xludf.DUMMYFUNCTION("""COMPUTED_VALUE"""),9200.0)</f>
        <v>9200</v>
      </c>
      <c r="D1293" s="1">
        <f>IFERROR(__xludf.DUMMYFUNCTION("""COMPUTED_VALUE"""),8770.0)</f>
        <v>8770</v>
      </c>
      <c r="E1293" s="1">
        <f>IFERROR(__xludf.DUMMYFUNCTION("""COMPUTED_VALUE"""),8770.0)</f>
        <v>8770</v>
      </c>
      <c r="F1293" s="1">
        <f>IFERROR(__xludf.DUMMYFUNCTION("""COMPUTED_VALUE"""),151175.0)</f>
        <v>151175</v>
      </c>
    </row>
    <row r="1294">
      <c r="A1294" s="2">
        <f>IFERROR(__xludf.DUMMYFUNCTION("""COMPUTED_VALUE"""),43104.64583333333)</f>
        <v>43104.64583</v>
      </c>
      <c r="B1294" s="1">
        <f>IFERROR(__xludf.DUMMYFUNCTION("""COMPUTED_VALUE"""),8840.0)</f>
        <v>8840</v>
      </c>
      <c r="C1294" s="1">
        <f>IFERROR(__xludf.DUMMYFUNCTION("""COMPUTED_VALUE"""),8840.0)</f>
        <v>8840</v>
      </c>
      <c r="D1294" s="1">
        <f>IFERROR(__xludf.DUMMYFUNCTION("""COMPUTED_VALUE"""),8420.0)</f>
        <v>8420</v>
      </c>
      <c r="E1294" s="1">
        <f>IFERROR(__xludf.DUMMYFUNCTION("""COMPUTED_VALUE"""),8590.0)</f>
        <v>8590</v>
      </c>
      <c r="F1294" s="1">
        <f>IFERROR(__xludf.DUMMYFUNCTION("""COMPUTED_VALUE"""),155956.0)</f>
        <v>155956</v>
      </c>
    </row>
    <row r="1295">
      <c r="A1295" s="2">
        <f>IFERROR(__xludf.DUMMYFUNCTION("""COMPUTED_VALUE"""),43105.64583333333)</f>
        <v>43105.64583</v>
      </c>
      <c r="B1295" s="1">
        <f>IFERROR(__xludf.DUMMYFUNCTION("""COMPUTED_VALUE"""),8490.0)</f>
        <v>8490</v>
      </c>
      <c r="C1295" s="1">
        <f>IFERROR(__xludf.DUMMYFUNCTION("""COMPUTED_VALUE"""),9210.0)</f>
        <v>9210</v>
      </c>
      <c r="D1295" s="1">
        <f>IFERROR(__xludf.DUMMYFUNCTION("""COMPUTED_VALUE"""),8490.0)</f>
        <v>8490</v>
      </c>
      <c r="E1295" s="1">
        <f>IFERROR(__xludf.DUMMYFUNCTION("""COMPUTED_VALUE"""),9190.0)</f>
        <v>9190</v>
      </c>
      <c r="F1295" s="1">
        <f>IFERROR(__xludf.DUMMYFUNCTION("""COMPUTED_VALUE"""),284294.0)</f>
        <v>284294</v>
      </c>
    </row>
    <row r="1296">
      <c r="A1296" s="2">
        <f>IFERROR(__xludf.DUMMYFUNCTION("""COMPUTED_VALUE"""),43108.64583333333)</f>
        <v>43108.64583</v>
      </c>
      <c r="B1296" s="1">
        <f>IFERROR(__xludf.DUMMYFUNCTION("""COMPUTED_VALUE"""),9250.0)</f>
        <v>9250</v>
      </c>
      <c r="C1296" s="1">
        <f>IFERROR(__xludf.DUMMYFUNCTION("""COMPUTED_VALUE"""),9400.0)</f>
        <v>9400</v>
      </c>
      <c r="D1296" s="1">
        <f>IFERROR(__xludf.DUMMYFUNCTION("""COMPUTED_VALUE"""),8870.0)</f>
        <v>8870</v>
      </c>
      <c r="E1296" s="1">
        <f>IFERROR(__xludf.DUMMYFUNCTION("""COMPUTED_VALUE"""),9150.0)</f>
        <v>9150</v>
      </c>
      <c r="F1296" s="1">
        <f>IFERROR(__xludf.DUMMYFUNCTION("""COMPUTED_VALUE"""),174749.0)</f>
        <v>174749</v>
      </c>
    </row>
    <row r="1297">
      <c r="A1297" s="2">
        <f>IFERROR(__xludf.DUMMYFUNCTION("""COMPUTED_VALUE"""),43109.64583333333)</f>
        <v>43109.64583</v>
      </c>
      <c r="B1297" s="1">
        <f>IFERROR(__xludf.DUMMYFUNCTION("""COMPUTED_VALUE"""),9150.0)</f>
        <v>9150</v>
      </c>
      <c r="C1297" s="1">
        <f>IFERROR(__xludf.DUMMYFUNCTION("""COMPUTED_VALUE"""),9190.0)</f>
        <v>9190</v>
      </c>
      <c r="D1297" s="1">
        <f>IFERROR(__xludf.DUMMYFUNCTION("""COMPUTED_VALUE"""),8790.0)</f>
        <v>8790</v>
      </c>
      <c r="E1297" s="1">
        <f>IFERROR(__xludf.DUMMYFUNCTION("""COMPUTED_VALUE"""),8900.0)</f>
        <v>8900</v>
      </c>
      <c r="F1297" s="1">
        <f>IFERROR(__xludf.DUMMYFUNCTION("""COMPUTED_VALUE"""),178859.0)</f>
        <v>178859</v>
      </c>
    </row>
    <row r="1298">
      <c r="A1298" s="2">
        <f>IFERROR(__xludf.DUMMYFUNCTION("""COMPUTED_VALUE"""),43110.64583333333)</f>
        <v>43110.64583</v>
      </c>
      <c r="B1298" s="1">
        <f>IFERROR(__xludf.DUMMYFUNCTION("""COMPUTED_VALUE"""),8930.0)</f>
        <v>8930</v>
      </c>
      <c r="C1298" s="1">
        <f>IFERROR(__xludf.DUMMYFUNCTION("""COMPUTED_VALUE"""),9100.0)</f>
        <v>9100</v>
      </c>
      <c r="D1298" s="1">
        <f>IFERROR(__xludf.DUMMYFUNCTION("""COMPUTED_VALUE"""),8800.0)</f>
        <v>8800</v>
      </c>
      <c r="E1298" s="1">
        <f>IFERROR(__xludf.DUMMYFUNCTION("""COMPUTED_VALUE"""),9010.0)</f>
        <v>9010</v>
      </c>
      <c r="F1298" s="1">
        <f>IFERROR(__xludf.DUMMYFUNCTION("""COMPUTED_VALUE"""),108265.0)</f>
        <v>108265</v>
      </c>
    </row>
    <row r="1299">
      <c r="A1299" s="2">
        <f>IFERROR(__xludf.DUMMYFUNCTION("""COMPUTED_VALUE"""),43111.64583333333)</f>
        <v>43111.64583</v>
      </c>
      <c r="B1299" s="1">
        <f>IFERROR(__xludf.DUMMYFUNCTION("""COMPUTED_VALUE"""),8980.0)</f>
        <v>8980</v>
      </c>
      <c r="C1299" s="1">
        <f>IFERROR(__xludf.DUMMYFUNCTION("""COMPUTED_VALUE"""),10250.0)</f>
        <v>10250</v>
      </c>
      <c r="D1299" s="1">
        <f>IFERROR(__xludf.DUMMYFUNCTION("""COMPUTED_VALUE"""),8940.0)</f>
        <v>8940</v>
      </c>
      <c r="E1299" s="1">
        <f>IFERROR(__xludf.DUMMYFUNCTION("""COMPUTED_VALUE"""),10000.0)</f>
        <v>10000</v>
      </c>
      <c r="F1299" s="1">
        <f>IFERROR(__xludf.DUMMYFUNCTION("""COMPUTED_VALUE"""),1367492.0)</f>
        <v>1367492</v>
      </c>
    </row>
    <row r="1300">
      <c r="A1300" s="2">
        <f>IFERROR(__xludf.DUMMYFUNCTION("""COMPUTED_VALUE"""),43112.64583333333)</f>
        <v>43112.64583</v>
      </c>
      <c r="B1300" s="1">
        <f>IFERROR(__xludf.DUMMYFUNCTION("""COMPUTED_VALUE"""),9990.0)</f>
        <v>9990</v>
      </c>
      <c r="C1300" s="1">
        <f>IFERROR(__xludf.DUMMYFUNCTION("""COMPUTED_VALUE"""),11450.0)</f>
        <v>11450</v>
      </c>
      <c r="D1300" s="1">
        <f>IFERROR(__xludf.DUMMYFUNCTION("""COMPUTED_VALUE"""),9850.0)</f>
        <v>9850</v>
      </c>
      <c r="E1300" s="1">
        <f>IFERROR(__xludf.DUMMYFUNCTION("""COMPUTED_VALUE"""),10450.0)</f>
        <v>10450</v>
      </c>
      <c r="F1300" s="1">
        <f>IFERROR(__xludf.DUMMYFUNCTION("""COMPUTED_VALUE"""),1187093.0)</f>
        <v>1187093</v>
      </c>
    </row>
    <row r="1301">
      <c r="A1301" s="2">
        <f>IFERROR(__xludf.DUMMYFUNCTION("""COMPUTED_VALUE"""),43115.64583333333)</f>
        <v>43115.64583</v>
      </c>
      <c r="B1301" s="1">
        <f>IFERROR(__xludf.DUMMYFUNCTION("""COMPUTED_VALUE"""),10450.0)</f>
        <v>10450</v>
      </c>
      <c r="C1301" s="1">
        <f>IFERROR(__xludf.DUMMYFUNCTION("""COMPUTED_VALUE"""),10700.0)</f>
        <v>10700</v>
      </c>
      <c r="D1301" s="1">
        <f>IFERROR(__xludf.DUMMYFUNCTION("""COMPUTED_VALUE"""),9990.0)</f>
        <v>9990</v>
      </c>
      <c r="E1301" s="1">
        <f>IFERROR(__xludf.DUMMYFUNCTION("""COMPUTED_VALUE"""),10450.0)</f>
        <v>10450</v>
      </c>
      <c r="F1301" s="1">
        <f>IFERROR(__xludf.DUMMYFUNCTION("""COMPUTED_VALUE"""),344252.0)</f>
        <v>344252</v>
      </c>
    </row>
    <row r="1302">
      <c r="A1302" s="2">
        <f>IFERROR(__xludf.DUMMYFUNCTION("""COMPUTED_VALUE"""),43116.64583333333)</f>
        <v>43116.64583</v>
      </c>
      <c r="B1302" s="1">
        <f>IFERROR(__xludf.DUMMYFUNCTION("""COMPUTED_VALUE"""),10500.0)</f>
        <v>10500</v>
      </c>
      <c r="C1302" s="1">
        <f>IFERROR(__xludf.DUMMYFUNCTION("""COMPUTED_VALUE"""),11050.0)</f>
        <v>11050</v>
      </c>
      <c r="D1302" s="1">
        <f>IFERROR(__xludf.DUMMYFUNCTION("""COMPUTED_VALUE"""),9770.0)</f>
        <v>9770</v>
      </c>
      <c r="E1302" s="1">
        <f>IFERROR(__xludf.DUMMYFUNCTION("""COMPUTED_VALUE"""),9930.0)</f>
        <v>9930</v>
      </c>
      <c r="F1302" s="1">
        <f>IFERROR(__xludf.DUMMYFUNCTION("""COMPUTED_VALUE"""),700126.0)</f>
        <v>700126</v>
      </c>
    </row>
    <row r="1303">
      <c r="A1303" s="2">
        <f>IFERROR(__xludf.DUMMYFUNCTION("""COMPUTED_VALUE"""),43117.64583333333)</f>
        <v>43117.64583</v>
      </c>
      <c r="B1303" s="1">
        <f>IFERROR(__xludf.DUMMYFUNCTION("""COMPUTED_VALUE"""),9950.0)</f>
        <v>9950</v>
      </c>
      <c r="C1303" s="1">
        <f>IFERROR(__xludf.DUMMYFUNCTION("""COMPUTED_VALUE"""),9950.0)</f>
        <v>9950</v>
      </c>
      <c r="D1303" s="1">
        <f>IFERROR(__xludf.DUMMYFUNCTION("""COMPUTED_VALUE"""),9200.0)</f>
        <v>9200</v>
      </c>
      <c r="E1303" s="1">
        <f>IFERROR(__xludf.DUMMYFUNCTION("""COMPUTED_VALUE"""),9700.0)</f>
        <v>9700</v>
      </c>
      <c r="F1303" s="1">
        <f>IFERROR(__xludf.DUMMYFUNCTION("""COMPUTED_VALUE"""),416685.0)</f>
        <v>416685</v>
      </c>
    </row>
    <row r="1304">
      <c r="A1304" s="2">
        <f>IFERROR(__xludf.DUMMYFUNCTION("""COMPUTED_VALUE"""),43118.64583333333)</f>
        <v>43118.64583</v>
      </c>
      <c r="B1304" s="1">
        <f>IFERROR(__xludf.DUMMYFUNCTION("""COMPUTED_VALUE"""),9700.0)</f>
        <v>9700</v>
      </c>
      <c r="C1304" s="1">
        <f>IFERROR(__xludf.DUMMYFUNCTION("""COMPUTED_VALUE"""),9870.0)</f>
        <v>9870</v>
      </c>
      <c r="D1304" s="1">
        <f>IFERROR(__xludf.DUMMYFUNCTION("""COMPUTED_VALUE"""),9350.0)</f>
        <v>9350</v>
      </c>
      <c r="E1304" s="1">
        <f>IFERROR(__xludf.DUMMYFUNCTION("""COMPUTED_VALUE"""),9800.0)</f>
        <v>9800</v>
      </c>
      <c r="F1304" s="1">
        <f>IFERROR(__xludf.DUMMYFUNCTION("""COMPUTED_VALUE"""),214209.0)</f>
        <v>214209</v>
      </c>
    </row>
    <row r="1305">
      <c r="A1305" s="2">
        <f>IFERROR(__xludf.DUMMYFUNCTION("""COMPUTED_VALUE"""),43119.64583333333)</f>
        <v>43119.64583</v>
      </c>
      <c r="B1305" s="1">
        <f>IFERROR(__xludf.DUMMYFUNCTION("""COMPUTED_VALUE"""),9870.0)</f>
        <v>9870</v>
      </c>
      <c r="C1305" s="1">
        <f>IFERROR(__xludf.DUMMYFUNCTION("""COMPUTED_VALUE"""),10400.0)</f>
        <v>10400</v>
      </c>
      <c r="D1305" s="1">
        <f>IFERROR(__xludf.DUMMYFUNCTION("""COMPUTED_VALUE"""),9700.0)</f>
        <v>9700</v>
      </c>
      <c r="E1305" s="1">
        <f>IFERROR(__xludf.DUMMYFUNCTION("""COMPUTED_VALUE"""),9800.0)</f>
        <v>9800</v>
      </c>
      <c r="F1305" s="1">
        <f>IFERROR(__xludf.DUMMYFUNCTION("""COMPUTED_VALUE"""),325381.0)</f>
        <v>325381</v>
      </c>
    </row>
    <row r="1306">
      <c r="A1306" s="2">
        <f>IFERROR(__xludf.DUMMYFUNCTION("""COMPUTED_VALUE"""),43122.64583333333)</f>
        <v>43122.64583</v>
      </c>
      <c r="B1306" s="1">
        <f>IFERROR(__xludf.DUMMYFUNCTION("""COMPUTED_VALUE"""),9800.0)</f>
        <v>9800</v>
      </c>
      <c r="C1306" s="1">
        <f>IFERROR(__xludf.DUMMYFUNCTION("""COMPUTED_VALUE"""),9950.0)</f>
        <v>9950</v>
      </c>
      <c r="D1306" s="1">
        <f>IFERROR(__xludf.DUMMYFUNCTION("""COMPUTED_VALUE"""),9690.0)</f>
        <v>9690</v>
      </c>
      <c r="E1306" s="1">
        <f>IFERROR(__xludf.DUMMYFUNCTION("""COMPUTED_VALUE"""),9890.0)</f>
        <v>9890</v>
      </c>
      <c r="F1306" s="1">
        <f>IFERROR(__xludf.DUMMYFUNCTION("""COMPUTED_VALUE"""),97008.0)</f>
        <v>97008</v>
      </c>
    </row>
    <row r="1307">
      <c r="A1307" s="2">
        <f>IFERROR(__xludf.DUMMYFUNCTION("""COMPUTED_VALUE"""),43123.64583333333)</f>
        <v>43123.64583</v>
      </c>
      <c r="B1307" s="1">
        <f>IFERROR(__xludf.DUMMYFUNCTION("""COMPUTED_VALUE"""),9960.0)</f>
        <v>9960</v>
      </c>
      <c r="C1307" s="1">
        <f>IFERROR(__xludf.DUMMYFUNCTION("""COMPUTED_VALUE"""),10100.0)</f>
        <v>10100</v>
      </c>
      <c r="D1307" s="1">
        <f>IFERROR(__xludf.DUMMYFUNCTION("""COMPUTED_VALUE"""),9700.0)</f>
        <v>9700</v>
      </c>
      <c r="E1307" s="1">
        <f>IFERROR(__xludf.DUMMYFUNCTION("""COMPUTED_VALUE"""),9890.0)</f>
        <v>9890</v>
      </c>
      <c r="F1307" s="1">
        <f>IFERROR(__xludf.DUMMYFUNCTION("""COMPUTED_VALUE"""),126571.0)</f>
        <v>126571</v>
      </c>
    </row>
    <row r="1308">
      <c r="A1308" s="2">
        <f>IFERROR(__xludf.DUMMYFUNCTION("""COMPUTED_VALUE"""),43124.64583333333)</f>
        <v>43124.64583</v>
      </c>
      <c r="B1308" s="1">
        <f>IFERROR(__xludf.DUMMYFUNCTION("""COMPUTED_VALUE"""),9880.0)</f>
        <v>9880</v>
      </c>
      <c r="C1308" s="1">
        <f>IFERROR(__xludf.DUMMYFUNCTION("""COMPUTED_VALUE"""),10500.0)</f>
        <v>10500</v>
      </c>
      <c r="D1308" s="1">
        <f>IFERROR(__xludf.DUMMYFUNCTION("""COMPUTED_VALUE"""),9850.0)</f>
        <v>9850</v>
      </c>
      <c r="E1308" s="1">
        <f>IFERROR(__xludf.DUMMYFUNCTION("""COMPUTED_VALUE"""),10000.0)</f>
        <v>10000</v>
      </c>
      <c r="F1308" s="1">
        <f>IFERROR(__xludf.DUMMYFUNCTION("""COMPUTED_VALUE"""),311292.0)</f>
        <v>311292</v>
      </c>
    </row>
    <row r="1309">
      <c r="A1309" s="2">
        <f>IFERROR(__xludf.DUMMYFUNCTION("""COMPUTED_VALUE"""),43125.64583333333)</f>
        <v>43125.64583</v>
      </c>
      <c r="B1309" s="1">
        <f>IFERROR(__xludf.DUMMYFUNCTION("""COMPUTED_VALUE"""),10150.0)</f>
        <v>10150</v>
      </c>
      <c r="C1309" s="1">
        <f>IFERROR(__xludf.DUMMYFUNCTION("""COMPUTED_VALUE"""),10550.0)</f>
        <v>10550</v>
      </c>
      <c r="D1309" s="1">
        <f>IFERROR(__xludf.DUMMYFUNCTION("""COMPUTED_VALUE"""),9880.0)</f>
        <v>9880</v>
      </c>
      <c r="E1309" s="1">
        <f>IFERROR(__xludf.DUMMYFUNCTION("""COMPUTED_VALUE"""),10100.0)</f>
        <v>10100</v>
      </c>
      <c r="F1309" s="1">
        <f>IFERROR(__xludf.DUMMYFUNCTION("""COMPUTED_VALUE"""),286880.0)</f>
        <v>286880</v>
      </c>
    </row>
    <row r="1310">
      <c r="A1310" s="2">
        <f>IFERROR(__xludf.DUMMYFUNCTION("""COMPUTED_VALUE"""),43126.64583333333)</f>
        <v>43126.64583</v>
      </c>
      <c r="B1310" s="1">
        <f>IFERROR(__xludf.DUMMYFUNCTION("""COMPUTED_VALUE"""),10150.0)</f>
        <v>10150</v>
      </c>
      <c r="C1310" s="1">
        <f>IFERROR(__xludf.DUMMYFUNCTION("""COMPUTED_VALUE"""),11100.0)</f>
        <v>11100</v>
      </c>
      <c r="D1310" s="1">
        <f>IFERROR(__xludf.DUMMYFUNCTION("""COMPUTED_VALUE"""),9940.0)</f>
        <v>9940</v>
      </c>
      <c r="E1310" s="1">
        <f>IFERROR(__xludf.DUMMYFUNCTION("""COMPUTED_VALUE"""),10900.0)</f>
        <v>10900</v>
      </c>
      <c r="F1310" s="1">
        <f>IFERROR(__xludf.DUMMYFUNCTION("""COMPUTED_VALUE"""),699312.0)</f>
        <v>699312</v>
      </c>
    </row>
    <row r="1311">
      <c r="A1311" s="2">
        <f>IFERROR(__xludf.DUMMYFUNCTION("""COMPUTED_VALUE"""),43129.64583333333)</f>
        <v>43129.64583</v>
      </c>
      <c r="B1311" s="1">
        <f>IFERROR(__xludf.DUMMYFUNCTION("""COMPUTED_VALUE"""),11050.0)</f>
        <v>11050</v>
      </c>
      <c r="C1311" s="1">
        <f>IFERROR(__xludf.DUMMYFUNCTION("""COMPUTED_VALUE"""),12350.0)</f>
        <v>12350</v>
      </c>
      <c r="D1311" s="1">
        <f>IFERROR(__xludf.DUMMYFUNCTION("""COMPUTED_VALUE"""),10550.0)</f>
        <v>10550</v>
      </c>
      <c r="E1311" s="1">
        <f>IFERROR(__xludf.DUMMYFUNCTION("""COMPUTED_VALUE"""),12000.0)</f>
        <v>12000</v>
      </c>
      <c r="F1311" s="1">
        <f>IFERROR(__xludf.DUMMYFUNCTION("""COMPUTED_VALUE"""),1359768.0)</f>
        <v>1359768</v>
      </c>
    </row>
    <row r="1312">
      <c r="A1312" s="2">
        <f>IFERROR(__xludf.DUMMYFUNCTION("""COMPUTED_VALUE"""),43130.64583333333)</f>
        <v>43130.64583</v>
      </c>
      <c r="B1312" s="1">
        <f>IFERROR(__xludf.DUMMYFUNCTION("""COMPUTED_VALUE"""),12000.0)</f>
        <v>12000</v>
      </c>
      <c r="C1312" s="1">
        <f>IFERROR(__xludf.DUMMYFUNCTION("""COMPUTED_VALUE"""),12000.0)</f>
        <v>12000</v>
      </c>
      <c r="D1312" s="1">
        <f>IFERROR(__xludf.DUMMYFUNCTION("""COMPUTED_VALUE"""),11650.0)</f>
        <v>11650</v>
      </c>
      <c r="E1312" s="1">
        <f>IFERROR(__xludf.DUMMYFUNCTION("""COMPUTED_VALUE"""),11850.0)</f>
        <v>11850</v>
      </c>
      <c r="F1312" s="1">
        <f>IFERROR(__xludf.DUMMYFUNCTION("""COMPUTED_VALUE"""),457938.0)</f>
        <v>457938</v>
      </c>
    </row>
    <row r="1313">
      <c r="A1313" s="2">
        <f>IFERROR(__xludf.DUMMYFUNCTION("""COMPUTED_VALUE"""),43131.64583333333)</f>
        <v>43131.64583</v>
      </c>
      <c r="B1313" s="1">
        <f>IFERROR(__xludf.DUMMYFUNCTION("""COMPUTED_VALUE"""),11500.0)</f>
        <v>11500</v>
      </c>
      <c r="C1313" s="1">
        <f>IFERROR(__xludf.DUMMYFUNCTION("""COMPUTED_VALUE"""),11600.0)</f>
        <v>11600</v>
      </c>
      <c r="D1313" s="1">
        <f>IFERROR(__xludf.DUMMYFUNCTION("""COMPUTED_VALUE"""),10400.0)</f>
        <v>10400</v>
      </c>
      <c r="E1313" s="1">
        <f>IFERROR(__xludf.DUMMYFUNCTION("""COMPUTED_VALUE"""),11000.0)</f>
        <v>11000</v>
      </c>
      <c r="F1313" s="1">
        <f>IFERROR(__xludf.DUMMYFUNCTION("""COMPUTED_VALUE"""),543049.0)</f>
        <v>543049</v>
      </c>
    </row>
    <row r="1314">
      <c r="A1314" s="2">
        <f>IFERROR(__xludf.DUMMYFUNCTION("""COMPUTED_VALUE"""),43132.64583333333)</f>
        <v>43132.64583</v>
      </c>
      <c r="B1314" s="1">
        <f>IFERROR(__xludf.DUMMYFUNCTION("""COMPUTED_VALUE"""),10850.0)</f>
        <v>10850</v>
      </c>
      <c r="C1314" s="1">
        <f>IFERROR(__xludf.DUMMYFUNCTION("""COMPUTED_VALUE"""),11300.0)</f>
        <v>11300</v>
      </c>
      <c r="D1314" s="1">
        <f>IFERROR(__xludf.DUMMYFUNCTION("""COMPUTED_VALUE"""),10500.0)</f>
        <v>10500</v>
      </c>
      <c r="E1314" s="1">
        <f>IFERROR(__xludf.DUMMYFUNCTION("""COMPUTED_VALUE"""),11150.0)</f>
        <v>11150</v>
      </c>
      <c r="F1314" s="1">
        <f>IFERROR(__xludf.DUMMYFUNCTION("""COMPUTED_VALUE"""),293982.0)</f>
        <v>293982</v>
      </c>
    </row>
    <row r="1315">
      <c r="A1315" s="2">
        <f>IFERROR(__xludf.DUMMYFUNCTION("""COMPUTED_VALUE"""),43133.64583333333)</f>
        <v>43133.64583</v>
      </c>
      <c r="B1315" s="1">
        <f>IFERROR(__xludf.DUMMYFUNCTION("""COMPUTED_VALUE"""),11050.0)</f>
        <v>11050</v>
      </c>
      <c r="C1315" s="1">
        <f>IFERROR(__xludf.DUMMYFUNCTION("""COMPUTED_VALUE"""),11400.0)</f>
        <v>11400</v>
      </c>
      <c r="D1315" s="1">
        <f>IFERROR(__xludf.DUMMYFUNCTION("""COMPUTED_VALUE"""),10250.0)</f>
        <v>10250</v>
      </c>
      <c r="E1315" s="1">
        <f>IFERROR(__xludf.DUMMYFUNCTION("""COMPUTED_VALUE"""),10600.0)</f>
        <v>10600</v>
      </c>
      <c r="F1315" s="1">
        <f>IFERROR(__xludf.DUMMYFUNCTION("""COMPUTED_VALUE"""),352246.0)</f>
        <v>352246</v>
      </c>
    </row>
    <row r="1316">
      <c r="A1316" s="2">
        <f>IFERROR(__xludf.DUMMYFUNCTION("""COMPUTED_VALUE"""),43136.64583333333)</f>
        <v>43136.64583</v>
      </c>
      <c r="B1316" s="1">
        <f>IFERROR(__xludf.DUMMYFUNCTION("""COMPUTED_VALUE"""),10150.0)</f>
        <v>10150</v>
      </c>
      <c r="C1316" s="1">
        <f>IFERROR(__xludf.DUMMYFUNCTION("""COMPUTED_VALUE"""),10500.0)</f>
        <v>10500</v>
      </c>
      <c r="D1316" s="1">
        <f>IFERROR(__xludf.DUMMYFUNCTION("""COMPUTED_VALUE"""),9800.0)</f>
        <v>9800</v>
      </c>
      <c r="E1316" s="1">
        <f>IFERROR(__xludf.DUMMYFUNCTION("""COMPUTED_VALUE"""),9880.0)</f>
        <v>9880</v>
      </c>
      <c r="F1316" s="1">
        <f>IFERROR(__xludf.DUMMYFUNCTION("""COMPUTED_VALUE"""),243096.0)</f>
        <v>243096</v>
      </c>
    </row>
    <row r="1317">
      <c r="A1317" s="2">
        <f>IFERROR(__xludf.DUMMYFUNCTION("""COMPUTED_VALUE"""),43137.64583333333)</f>
        <v>43137.64583</v>
      </c>
      <c r="B1317" s="1">
        <f>IFERROR(__xludf.DUMMYFUNCTION("""COMPUTED_VALUE"""),9350.0)</f>
        <v>9350</v>
      </c>
      <c r="C1317" s="1">
        <f>IFERROR(__xludf.DUMMYFUNCTION("""COMPUTED_VALUE"""),9500.0)</f>
        <v>9500</v>
      </c>
      <c r="D1317" s="1">
        <f>IFERROR(__xludf.DUMMYFUNCTION("""COMPUTED_VALUE"""),8720.0)</f>
        <v>8720</v>
      </c>
      <c r="E1317" s="1">
        <f>IFERROR(__xludf.DUMMYFUNCTION("""COMPUTED_VALUE"""),9480.0)</f>
        <v>9480</v>
      </c>
      <c r="F1317" s="1">
        <f>IFERROR(__xludf.DUMMYFUNCTION("""COMPUTED_VALUE"""),504599.0)</f>
        <v>504599</v>
      </c>
    </row>
    <row r="1318">
      <c r="A1318" s="2">
        <f>IFERROR(__xludf.DUMMYFUNCTION("""COMPUTED_VALUE"""),43138.64583333333)</f>
        <v>43138.64583</v>
      </c>
      <c r="B1318" s="1">
        <f>IFERROR(__xludf.DUMMYFUNCTION("""COMPUTED_VALUE"""),9850.0)</f>
        <v>9850</v>
      </c>
      <c r="C1318" s="1">
        <f>IFERROR(__xludf.DUMMYFUNCTION("""COMPUTED_VALUE"""),9890.0)</f>
        <v>9890</v>
      </c>
      <c r="D1318" s="1">
        <f>IFERROR(__xludf.DUMMYFUNCTION("""COMPUTED_VALUE"""),8890.0)</f>
        <v>8890</v>
      </c>
      <c r="E1318" s="1">
        <f>IFERROR(__xludf.DUMMYFUNCTION("""COMPUTED_VALUE"""),9100.0)</f>
        <v>9100</v>
      </c>
      <c r="F1318" s="1">
        <f>IFERROR(__xludf.DUMMYFUNCTION("""COMPUTED_VALUE"""),290862.0)</f>
        <v>290862</v>
      </c>
    </row>
    <row r="1319">
      <c r="A1319" s="2">
        <f>IFERROR(__xludf.DUMMYFUNCTION("""COMPUTED_VALUE"""),43139.64583333333)</f>
        <v>43139.64583</v>
      </c>
      <c r="B1319" s="1">
        <f>IFERROR(__xludf.DUMMYFUNCTION("""COMPUTED_VALUE"""),8930.0)</f>
        <v>8930</v>
      </c>
      <c r="C1319" s="1">
        <f>IFERROR(__xludf.DUMMYFUNCTION("""COMPUTED_VALUE"""),9430.0)</f>
        <v>9430</v>
      </c>
      <c r="D1319" s="1">
        <f>IFERROR(__xludf.DUMMYFUNCTION("""COMPUTED_VALUE"""),8850.0)</f>
        <v>8850</v>
      </c>
      <c r="E1319" s="1">
        <f>IFERROR(__xludf.DUMMYFUNCTION("""COMPUTED_VALUE"""),9030.0)</f>
        <v>9030</v>
      </c>
      <c r="F1319" s="1">
        <f>IFERROR(__xludf.DUMMYFUNCTION("""COMPUTED_VALUE"""),162723.0)</f>
        <v>162723</v>
      </c>
    </row>
    <row r="1320">
      <c r="A1320" s="2">
        <f>IFERROR(__xludf.DUMMYFUNCTION("""COMPUTED_VALUE"""),43140.64583333333)</f>
        <v>43140.64583</v>
      </c>
      <c r="B1320" s="1">
        <f>IFERROR(__xludf.DUMMYFUNCTION("""COMPUTED_VALUE"""),8700.0)</f>
        <v>8700</v>
      </c>
      <c r="C1320" s="1">
        <f>IFERROR(__xludf.DUMMYFUNCTION("""COMPUTED_VALUE"""),9570.0)</f>
        <v>9570</v>
      </c>
      <c r="D1320" s="1">
        <f>IFERROR(__xludf.DUMMYFUNCTION("""COMPUTED_VALUE"""),8680.0)</f>
        <v>8680</v>
      </c>
      <c r="E1320" s="1">
        <f>IFERROR(__xludf.DUMMYFUNCTION("""COMPUTED_VALUE"""),9570.0)</f>
        <v>9570</v>
      </c>
      <c r="F1320" s="1">
        <f>IFERROR(__xludf.DUMMYFUNCTION("""COMPUTED_VALUE"""),213472.0)</f>
        <v>213472</v>
      </c>
    </row>
    <row r="1321">
      <c r="A1321" s="2">
        <f>IFERROR(__xludf.DUMMYFUNCTION("""COMPUTED_VALUE"""),43143.64583333333)</f>
        <v>43143.64583</v>
      </c>
      <c r="B1321" s="1">
        <f>IFERROR(__xludf.DUMMYFUNCTION("""COMPUTED_VALUE"""),9530.0)</f>
        <v>9530</v>
      </c>
      <c r="C1321" s="1">
        <f>IFERROR(__xludf.DUMMYFUNCTION("""COMPUTED_VALUE"""),9860.0)</f>
        <v>9860</v>
      </c>
      <c r="D1321" s="1">
        <f>IFERROR(__xludf.DUMMYFUNCTION("""COMPUTED_VALUE"""),9110.0)</f>
        <v>9110</v>
      </c>
      <c r="E1321" s="1">
        <f>IFERROR(__xludf.DUMMYFUNCTION("""COMPUTED_VALUE"""),9340.0)</f>
        <v>9340</v>
      </c>
      <c r="F1321" s="1">
        <f>IFERROR(__xludf.DUMMYFUNCTION("""COMPUTED_VALUE"""),162892.0)</f>
        <v>162892</v>
      </c>
    </row>
    <row r="1322">
      <c r="A1322" s="2">
        <f>IFERROR(__xludf.DUMMYFUNCTION("""COMPUTED_VALUE"""),43144.64583333333)</f>
        <v>43144.64583</v>
      </c>
      <c r="B1322" s="1">
        <f>IFERROR(__xludf.DUMMYFUNCTION("""COMPUTED_VALUE"""),9490.0)</f>
        <v>9490</v>
      </c>
      <c r="C1322" s="1">
        <f>IFERROR(__xludf.DUMMYFUNCTION("""COMPUTED_VALUE"""),9490.0)</f>
        <v>9490</v>
      </c>
      <c r="D1322" s="1">
        <f>IFERROR(__xludf.DUMMYFUNCTION("""COMPUTED_VALUE"""),9100.0)</f>
        <v>9100</v>
      </c>
      <c r="E1322" s="1">
        <f>IFERROR(__xludf.DUMMYFUNCTION("""COMPUTED_VALUE"""),9340.0)</f>
        <v>9340</v>
      </c>
      <c r="F1322" s="1">
        <f>IFERROR(__xludf.DUMMYFUNCTION("""COMPUTED_VALUE"""),200964.0)</f>
        <v>200964</v>
      </c>
    </row>
    <row r="1323">
      <c r="A1323" s="2">
        <f>IFERROR(__xludf.DUMMYFUNCTION("""COMPUTED_VALUE"""),43145.64583333333)</f>
        <v>43145.64583</v>
      </c>
      <c r="B1323" s="1">
        <f>IFERROR(__xludf.DUMMYFUNCTION("""COMPUTED_VALUE"""),9200.0)</f>
        <v>9200</v>
      </c>
      <c r="C1323" s="1">
        <f>IFERROR(__xludf.DUMMYFUNCTION("""COMPUTED_VALUE"""),9450.0)</f>
        <v>9450</v>
      </c>
      <c r="D1323" s="1">
        <f>IFERROR(__xludf.DUMMYFUNCTION("""COMPUTED_VALUE"""),9050.0)</f>
        <v>9050</v>
      </c>
      <c r="E1323" s="1">
        <f>IFERROR(__xludf.DUMMYFUNCTION("""COMPUTED_VALUE"""),9450.0)</f>
        <v>9450</v>
      </c>
      <c r="F1323" s="1">
        <f>IFERROR(__xludf.DUMMYFUNCTION("""COMPUTED_VALUE"""),204332.0)</f>
        <v>204332</v>
      </c>
    </row>
    <row r="1324">
      <c r="A1324" s="2">
        <f>IFERROR(__xludf.DUMMYFUNCTION("""COMPUTED_VALUE"""),43150.64583333333)</f>
        <v>43150.64583</v>
      </c>
      <c r="B1324" s="1">
        <f>IFERROR(__xludf.DUMMYFUNCTION("""COMPUTED_VALUE"""),9400.0)</f>
        <v>9400</v>
      </c>
      <c r="C1324" s="1">
        <f>IFERROR(__xludf.DUMMYFUNCTION("""COMPUTED_VALUE"""),9830.0)</f>
        <v>9830</v>
      </c>
      <c r="D1324" s="1">
        <f>IFERROR(__xludf.DUMMYFUNCTION("""COMPUTED_VALUE"""),9350.0)</f>
        <v>9350</v>
      </c>
      <c r="E1324" s="1">
        <f>IFERROR(__xludf.DUMMYFUNCTION("""COMPUTED_VALUE"""),9650.0)</f>
        <v>9650</v>
      </c>
      <c r="F1324" s="1">
        <f>IFERROR(__xludf.DUMMYFUNCTION("""COMPUTED_VALUE"""),203950.0)</f>
        <v>203950</v>
      </c>
    </row>
    <row r="1325">
      <c r="A1325" s="2">
        <f>IFERROR(__xludf.DUMMYFUNCTION("""COMPUTED_VALUE"""),43151.64583333333)</f>
        <v>43151.64583</v>
      </c>
      <c r="B1325" s="1">
        <f>IFERROR(__xludf.DUMMYFUNCTION("""COMPUTED_VALUE"""),9650.0)</f>
        <v>9650</v>
      </c>
      <c r="C1325" s="1">
        <f>IFERROR(__xludf.DUMMYFUNCTION("""COMPUTED_VALUE"""),10350.0)</f>
        <v>10350</v>
      </c>
      <c r="D1325" s="1">
        <f>IFERROR(__xludf.DUMMYFUNCTION("""COMPUTED_VALUE"""),9630.0)</f>
        <v>9630</v>
      </c>
      <c r="E1325" s="1">
        <f>IFERROR(__xludf.DUMMYFUNCTION("""COMPUTED_VALUE"""),9960.0)</f>
        <v>9960</v>
      </c>
      <c r="F1325" s="1">
        <f>IFERROR(__xludf.DUMMYFUNCTION("""COMPUTED_VALUE"""),249774.0)</f>
        <v>249774</v>
      </c>
    </row>
    <row r="1326">
      <c r="A1326" s="2">
        <f>IFERROR(__xludf.DUMMYFUNCTION("""COMPUTED_VALUE"""),43152.64583333333)</f>
        <v>43152.64583</v>
      </c>
      <c r="B1326" s="1">
        <f>IFERROR(__xludf.DUMMYFUNCTION("""COMPUTED_VALUE"""),9960.0)</f>
        <v>9960</v>
      </c>
      <c r="C1326" s="1">
        <f>IFERROR(__xludf.DUMMYFUNCTION("""COMPUTED_VALUE"""),10050.0)</f>
        <v>10050</v>
      </c>
      <c r="D1326" s="1">
        <f>IFERROR(__xludf.DUMMYFUNCTION("""COMPUTED_VALUE"""),9640.0)</f>
        <v>9640</v>
      </c>
      <c r="E1326" s="1">
        <f>IFERROR(__xludf.DUMMYFUNCTION("""COMPUTED_VALUE"""),9940.0)</f>
        <v>9940</v>
      </c>
      <c r="F1326" s="1">
        <f>IFERROR(__xludf.DUMMYFUNCTION("""COMPUTED_VALUE"""),148213.0)</f>
        <v>148213</v>
      </c>
    </row>
    <row r="1327">
      <c r="A1327" s="2">
        <f>IFERROR(__xludf.DUMMYFUNCTION("""COMPUTED_VALUE"""),43153.64583333333)</f>
        <v>43153.64583</v>
      </c>
      <c r="B1327" s="1">
        <f>IFERROR(__xludf.DUMMYFUNCTION("""COMPUTED_VALUE"""),9850.0)</f>
        <v>9850</v>
      </c>
      <c r="C1327" s="1">
        <f>IFERROR(__xludf.DUMMYFUNCTION("""COMPUTED_VALUE"""),9900.0)</f>
        <v>9900</v>
      </c>
      <c r="D1327" s="1">
        <f>IFERROR(__xludf.DUMMYFUNCTION("""COMPUTED_VALUE"""),9100.0)</f>
        <v>9100</v>
      </c>
      <c r="E1327" s="1">
        <f>IFERROR(__xludf.DUMMYFUNCTION("""COMPUTED_VALUE"""),9350.0)</f>
        <v>9350</v>
      </c>
      <c r="F1327" s="1">
        <f>IFERROR(__xludf.DUMMYFUNCTION("""COMPUTED_VALUE"""),277571.0)</f>
        <v>277571</v>
      </c>
    </row>
    <row r="1328">
      <c r="A1328" s="2">
        <f>IFERROR(__xludf.DUMMYFUNCTION("""COMPUTED_VALUE"""),43154.64583333333)</f>
        <v>43154.64583</v>
      </c>
      <c r="B1328" s="1">
        <f>IFERROR(__xludf.DUMMYFUNCTION("""COMPUTED_VALUE"""),9350.0)</f>
        <v>9350</v>
      </c>
      <c r="C1328" s="1">
        <f>IFERROR(__xludf.DUMMYFUNCTION("""COMPUTED_VALUE"""),9450.0)</f>
        <v>9450</v>
      </c>
      <c r="D1328" s="1">
        <f>IFERROR(__xludf.DUMMYFUNCTION("""COMPUTED_VALUE"""),9200.0)</f>
        <v>9200</v>
      </c>
      <c r="E1328" s="1">
        <f>IFERROR(__xludf.DUMMYFUNCTION("""COMPUTED_VALUE"""),9350.0)</f>
        <v>9350</v>
      </c>
      <c r="F1328" s="1">
        <f>IFERROR(__xludf.DUMMYFUNCTION("""COMPUTED_VALUE"""),97807.0)</f>
        <v>97807</v>
      </c>
    </row>
    <row r="1329">
      <c r="A1329" s="2">
        <f>IFERROR(__xludf.DUMMYFUNCTION("""COMPUTED_VALUE"""),43157.64583333333)</f>
        <v>43157.64583</v>
      </c>
      <c r="B1329" s="1">
        <f>IFERROR(__xludf.DUMMYFUNCTION("""COMPUTED_VALUE"""),9490.0)</f>
        <v>9490</v>
      </c>
      <c r="C1329" s="1">
        <f>IFERROR(__xludf.DUMMYFUNCTION("""COMPUTED_VALUE"""),9490.0)</f>
        <v>9490</v>
      </c>
      <c r="D1329" s="1">
        <f>IFERROR(__xludf.DUMMYFUNCTION("""COMPUTED_VALUE"""),9150.0)</f>
        <v>9150</v>
      </c>
      <c r="E1329" s="1">
        <f>IFERROR(__xludf.DUMMYFUNCTION("""COMPUTED_VALUE"""),9300.0)</f>
        <v>9300</v>
      </c>
      <c r="F1329" s="1">
        <f>IFERROR(__xludf.DUMMYFUNCTION("""COMPUTED_VALUE"""),75675.0)</f>
        <v>75675</v>
      </c>
    </row>
    <row r="1330">
      <c r="A1330" s="2">
        <f>IFERROR(__xludf.DUMMYFUNCTION("""COMPUTED_VALUE"""),43158.64583333333)</f>
        <v>43158.64583</v>
      </c>
      <c r="B1330" s="1">
        <f>IFERROR(__xludf.DUMMYFUNCTION("""COMPUTED_VALUE"""),9490.0)</f>
        <v>9490</v>
      </c>
      <c r="C1330" s="1">
        <f>IFERROR(__xludf.DUMMYFUNCTION("""COMPUTED_VALUE"""),9780.0)</f>
        <v>9780</v>
      </c>
      <c r="D1330" s="1">
        <f>IFERROR(__xludf.DUMMYFUNCTION("""COMPUTED_VALUE"""),9450.0)</f>
        <v>9450</v>
      </c>
      <c r="E1330" s="1">
        <f>IFERROR(__xludf.DUMMYFUNCTION("""COMPUTED_VALUE"""),9620.0)</f>
        <v>9620</v>
      </c>
      <c r="F1330" s="1">
        <f>IFERROR(__xludf.DUMMYFUNCTION("""COMPUTED_VALUE"""),264711.0)</f>
        <v>264711</v>
      </c>
    </row>
    <row r="1331">
      <c r="A1331" s="2">
        <f>IFERROR(__xludf.DUMMYFUNCTION("""COMPUTED_VALUE"""),43159.64583333333)</f>
        <v>43159.64583</v>
      </c>
      <c r="B1331" s="1">
        <f>IFERROR(__xludf.DUMMYFUNCTION("""COMPUTED_VALUE"""),9580.0)</f>
        <v>9580</v>
      </c>
      <c r="C1331" s="1">
        <f>IFERROR(__xludf.DUMMYFUNCTION("""COMPUTED_VALUE"""),9580.0)</f>
        <v>9580</v>
      </c>
      <c r="D1331" s="1">
        <f>IFERROR(__xludf.DUMMYFUNCTION("""COMPUTED_VALUE"""),9190.0)</f>
        <v>9190</v>
      </c>
      <c r="E1331" s="1">
        <f>IFERROR(__xludf.DUMMYFUNCTION("""COMPUTED_VALUE"""),9390.0)</f>
        <v>9390</v>
      </c>
      <c r="F1331" s="1">
        <f>IFERROR(__xludf.DUMMYFUNCTION("""COMPUTED_VALUE"""),101432.0)</f>
        <v>101432</v>
      </c>
    </row>
    <row r="1332">
      <c r="A1332" s="2">
        <f>IFERROR(__xludf.DUMMYFUNCTION("""COMPUTED_VALUE"""),43161.64583333333)</f>
        <v>43161.64583</v>
      </c>
      <c r="B1332" s="1">
        <f>IFERROR(__xludf.DUMMYFUNCTION("""COMPUTED_VALUE"""),9150.0)</f>
        <v>9150</v>
      </c>
      <c r="C1332" s="1">
        <f>IFERROR(__xludf.DUMMYFUNCTION("""COMPUTED_VALUE"""),9530.0)</f>
        <v>9530</v>
      </c>
      <c r="D1332" s="1">
        <f>IFERROR(__xludf.DUMMYFUNCTION("""COMPUTED_VALUE"""),9130.0)</f>
        <v>9130</v>
      </c>
      <c r="E1332" s="1">
        <f>IFERROR(__xludf.DUMMYFUNCTION("""COMPUTED_VALUE"""),9440.0)</f>
        <v>9440</v>
      </c>
      <c r="F1332" s="1">
        <f>IFERROR(__xludf.DUMMYFUNCTION("""COMPUTED_VALUE"""),68411.0)</f>
        <v>68411</v>
      </c>
    </row>
    <row r="1333">
      <c r="A1333" s="2">
        <f>IFERROR(__xludf.DUMMYFUNCTION("""COMPUTED_VALUE"""),43164.64583333333)</f>
        <v>43164.64583</v>
      </c>
      <c r="B1333" s="1">
        <f>IFERROR(__xludf.DUMMYFUNCTION("""COMPUTED_VALUE"""),9350.0)</f>
        <v>9350</v>
      </c>
      <c r="C1333" s="1">
        <f>IFERROR(__xludf.DUMMYFUNCTION("""COMPUTED_VALUE"""),9430.0)</f>
        <v>9430</v>
      </c>
      <c r="D1333" s="1">
        <f>IFERROR(__xludf.DUMMYFUNCTION("""COMPUTED_VALUE"""),9150.0)</f>
        <v>9150</v>
      </c>
      <c r="E1333" s="1">
        <f>IFERROR(__xludf.DUMMYFUNCTION("""COMPUTED_VALUE"""),9360.0)</f>
        <v>9360</v>
      </c>
      <c r="F1333" s="1">
        <f>IFERROR(__xludf.DUMMYFUNCTION("""COMPUTED_VALUE"""),84558.0)</f>
        <v>84558</v>
      </c>
    </row>
    <row r="1334">
      <c r="A1334" s="2">
        <f>IFERROR(__xludf.DUMMYFUNCTION("""COMPUTED_VALUE"""),43165.64583333333)</f>
        <v>43165.64583</v>
      </c>
      <c r="B1334" s="1">
        <f>IFERROR(__xludf.DUMMYFUNCTION("""COMPUTED_VALUE"""),9390.0)</f>
        <v>9390</v>
      </c>
      <c r="C1334" s="1">
        <f>IFERROR(__xludf.DUMMYFUNCTION("""COMPUTED_VALUE"""),9450.0)</f>
        <v>9450</v>
      </c>
      <c r="D1334" s="1">
        <f>IFERROR(__xludf.DUMMYFUNCTION("""COMPUTED_VALUE"""),9170.0)</f>
        <v>9170</v>
      </c>
      <c r="E1334" s="1">
        <f>IFERROR(__xludf.DUMMYFUNCTION("""COMPUTED_VALUE"""),9360.0)</f>
        <v>9360</v>
      </c>
      <c r="F1334" s="1">
        <f>IFERROR(__xludf.DUMMYFUNCTION("""COMPUTED_VALUE"""),54825.0)</f>
        <v>54825</v>
      </c>
    </row>
    <row r="1335">
      <c r="A1335" s="2">
        <f>IFERROR(__xludf.DUMMYFUNCTION("""COMPUTED_VALUE"""),43167.64583333333)</f>
        <v>43167.64583</v>
      </c>
      <c r="B1335" s="1">
        <f>IFERROR(__xludf.DUMMYFUNCTION("""COMPUTED_VALUE"""),9560.0)</f>
        <v>9560</v>
      </c>
      <c r="C1335" s="1">
        <f>IFERROR(__xludf.DUMMYFUNCTION("""COMPUTED_VALUE"""),9560.0)</f>
        <v>9560</v>
      </c>
      <c r="D1335" s="1">
        <f>IFERROR(__xludf.DUMMYFUNCTION("""COMPUTED_VALUE"""),9310.0)</f>
        <v>9310</v>
      </c>
      <c r="E1335" s="1">
        <f>IFERROR(__xludf.DUMMYFUNCTION("""COMPUTED_VALUE"""),9400.0)</f>
        <v>9400</v>
      </c>
      <c r="F1335" s="1">
        <f>IFERROR(__xludf.DUMMYFUNCTION("""COMPUTED_VALUE"""),50204.0)</f>
        <v>50204</v>
      </c>
    </row>
    <row r="1336">
      <c r="A1336" s="2">
        <f>IFERROR(__xludf.DUMMYFUNCTION("""COMPUTED_VALUE"""),43168.64583333333)</f>
        <v>43168.64583</v>
      </c>
      <c r="B1336" s="1">
        <f>IFERROR(__xludf.DUMMYFUNCTION("""COMPUTED_VALUE"""),9350.0)</f>
        <v>9350</v>
      </c>
      <c r="C1336" s="1">
        <f>IFERROR(__xludf.DUMMYFUNCTION("""COMPUTED_VALUE"""),9610.0)</f>
        <v>9610</v>
      </c>
      <c r="D1336" s="1">
        <f>IFERROR(__xludf.DUMMYFUNCTION("""COMPUTED_VALUE"""),9260.0)</f>
        <v>9260</v>
      </c>
      <c r="E1336" s="1">
        <f>IFERROR(__xludf.DUMMYFUNCTION("""COMPUTED_VALUE"""),9500.0)</f>
        <v>9500</v>
      </c>
      <c r="F1336" s="1">
        <f>IFERROR(__xludf.DUMMYFUNCTION("""COMPUTED_VALUE"""),139532.0)</f>
        <v>139532</v>
      </c>
    </row>
    <row r="1337">
      <c r="A1337" s="2">
        <f>IFERROR(__xludf.DUMMYFUNCTION("""COMPUTED_VALUE"""),43171.64583333333)</f>
        <v>43171.64583</v>
      </c>
      <c r="B1337" s="1">
        <f>IFERROR(__xludf.DUMMYFUNCTION("""COMPUTED_VALUE"""),9550.0)</f>
        <v>9550</v>
      </c>
      <c r="C1337" s="1">
        <f>IFERROR(__xludf.DUMMYFUNCTION("""COMPUTED_VALUE"""),10050.0)</f>
        <v>10050</v>
      </c>
      <c r="D1337" s="1">
        <f>IFERROR(__xludf.DUMMYFUNCTION("""COMPUTED_VALUE"""),9500.0)</f>
        <v>9500</v>
      </c>
      <c r="E1337" s="1">
        <f>IFERROR(__xludf.DUMMYFUNCTION("""COMPUTED_VALUE"""),10050.0)</f>
        <v>10050</v>
      </c>
      <c r="F1337" s="1">
        <f>IFERROR(__xludf.DUMMYFUNCTION("""COMPUTED_VALUE"""),181321.0)</f>
        <v>181321</v>
      </c>
    </row>
    <row r="1338">
      <c r="A1338" s="2">
        <f>IFERROR(__xludf.DUMMYFUNCTION("""COMPUTED_VALUE"""),43172.64583333333)</f>
        <v>43172.64583</v>
      </c>
      <c r="B1338" s="1">
        <f>IFERROR(__xludf.DUMMYFUNCTION("""COMPUTED_VALUE"""),10100.0)</f>
        <v>10100</v>
      </c>
      <c r="C1338" s="1">
        <f>IFERROR(__xludf.DUMMYFUNCTION("""COMPUTED_VALUE"""),10100.0)</f>
        <v>10100</v>
      </c>
      <c r="D1338" s="1">
        <f>IFERROR(__xludf.DUMMYFUNCTION("""COMPUTED_VALUE"""),9720.0)</f>
        <v>9720</v>
      </c>
      <c r="E1338" s="1">
        <f>IFERROR(__xludf.DUMMYFUNCTION("""COMPUTED_VALUE"""),9920.0)</f>
        <v>9920</v>
      </c>
      <c r="F1338" s="1">
        <f>IFERROR(__xludf.DUMMYFUNCTION("""COMPUTED_VALUE"""),91117.0)</f>
        <v>91117</v>
      </c>
    </row>
    <row r="1339">
      <c r="A1339" s="2">
        <f>IFERROR(__xludf.DUMMYFUNCTION("""COMPUTED_VALUE"""),43173.64583333333)</f>
        <v>43173.64583</v>
      </c>
      <c r="B1339" s="1">
        <f>IFERROR(__xludf.DUMMYFUNCTION("""COMPUTED_VALUE"""),9820.0)</f>
        <v>9820</v>
      </c>
      <c r="C1339" s="1">
        <f>IFERROR(__xludf.DUMMYFUNCTION("""COMPUTED_VALUE"""),9960.0)</f>
        <v>9960</v>
      </c>
      <c r="D1339" s="1">
        <f>IFERROR(__xludf.DUMMYFUNCTION("""COMPUTED_VALUE"""),9470.0)</f>
        <v>9470</v>
      </c>
      <c r="E1339" s="1">
        <f>IFERROR(__xludf.DUMMYFUNCTION("""COMPUTED_VALUE"""),9780.0)</f>
        <v>9780</v>
      </c>
      <c r="F1339" s="1">
        <f>IFERROR(__xludf.DUMMYFUNCTION("""COMPUTED_VALUE"""),151716.0)</f>
        <v>151716</v>
      </c>
    </row>
    <row r="1340">
      <c r="A1340" s="2">
        <f>IFERROR(__xludf.DUMMYFUNCTION("""COMPUTED_VALUE"""),43174.64583333333)</f>
        <v>43174.64583</v>
      </c>
      <c r="B1340" s="1">
        <f>IFERROR(__xludf.DUMMYFUNCTION("""COMPUTED_VALUE"""),9750.0)</f>
        <v>9750</v>
      </c>
      <c r="C1340" s="1">
        <f>IFERROR(__xludf.DUMMYFUNCTION("""COMPUTED_VALUE"""),9890.0)</f>
        <v>9890</v>
      </c>
      <c r="D1340" s="1">
        <f>IFERROR(__xludf.DUMMYFUNCTION("""COMPUTED_VALUE"""),9580.0)</f>
        <v>9580</v>
      </c>
      <c r="E1340" s="1">
        <f>IFERROR(__xludf.DUMMYFUNCTION("""COMPUTED_VALUE"""),9860.0)</f>
        <v>9860</v>
      </c>
      <c r="F1340" s="1">
        <f>IFERROR(__xludf.DUMMYFUNCTION("""COMPUTED_VALUE"""),87546.0)</f>
        <v>87546</v>
      </c>
    </row>
    <row r="1341">
      <c r="A1341" s="2">
        <f>IFERROR(__xludf.DUMMYFUNCTION("""COMPUTED_VALUE"""),43175.64583333333)</f>
        <v>43175.64583</v>
      </c>
      <c r="B1341" s="1">
        <f>IFERROR(__xludf.DUMMYFUNCTION("""COMPUTED_VALUE"""),9850.0)</f>
        <v>9850</v>
      </c>
      <c r="C1341" s="1">
        <f>IFERROR(__xludf.DUMMYFUNCTION("""COMPUTED_VALUE"""),10900.0)</f>
        <v>10900</v>
      </c>
      <c r="D1341" s="1">
        <f>IFERROR(__xludf.DUMMYFUNCTION("""COMPUTED_VALUE"""),9700.0)</f>
        <v>9700</v>
      </c>
      <c r="E1341" s="1">
        <f>IFERROR(__xludf.DUMMYFUNCTION("""COMPUTED_VALUE"""),10300.0)</f>
        <v>10300</v>
      </c>
      <c r="F1341" s="1">
        <f>IFERROR(__xludf.DUMMYFUNCTION("""COMPUTED_VALUE"""),563274.0)</f>
        <v>563274</v>
      </c>
    </row>
    <row r="1342">
      <c r="A1342" s="2">
        <f>IFERROR(__xludf.DUMMYFUNCTION("""COMPUTED_VALUE"""),43178.64583333333)</f>
        <v>43178.64583</v>
      </c>
      <c r="B1342" s="1">
        <f>IFERROR(__xludf.DUMMYFUNCTION("""COMPUTED_VALUE"""),10400.0)</f>
        <v>10400</v>
      </c>
      <c r="C1342" s="1">
        <f>IFERROR(__xludf.DUMMYFUNCTION("""COMPUTED_VALUE"""),10550.0)</f>
        <v>10550</v>
      </c>
      <c r="D1342" s="1">
        <f>IFERROR(__xludf.DUMMYFUNCTION("""COMPUTED_VALUE"""),10100.0)</f>
        <v>10100</v>
      </c>
      <c r="E1342" s="1">
        <f>IFERROR(__xludf.DUMMYFUNCTION("""COMPUTED_VALUE"""),10150.0)</f>
        <v>10150</v>
      </c>
      <c r="F1342" s="1">
        <f>IFERROR(__xludf.DUMMYFUNCTION("""COMPUTED_VALUE"""),223621.0)</f>
        <v>223621</v>
      </c>
    </row>
    <row r="1343">
      <c r="A1343" s="2">
        <f>IFERROR(__xludf.DUMMYFUNCTION("""COMPUTED_VALUE"""),43179.64583333333)</f>
        <v>43179.64583</v>
      </c>
      <c r="B1343" s="1">
        <f>IFERROR(__xludf.DUMMYFUNCTION("""COMPUTED_VALUE"""),10000.0)</f>
        <v>10000</v>
      </c>
      <c r="C1343" s="1">
        <f>IFERROR(__xludf.DUMMYFUNCTION("""COMPUTED_VALUE"""),10450.0)</f>
        <v>10450</v>
      </c>
      <c r="D1343" s="1">
        <f>IFERROR(__xludf.DUMMYFUNCTION("""COMPUTED_VALUE"""),9910.0)</f>
        <v>9910</v>
      </c>
      <c r="E1343" s="1">
        <f>IFERROR(__xludf.DUMMYFUNCTION("""COMPUTED_VALUE"""),10100.0)</f>
        <v>10100</v>
      </c>
      <c r="F1343" s="1">
        <f>IFERROR(__xludf.DUMMYFUNCTION("""COMPUTED_VALUE"""),168694.0)</f>
        <v>168694</v>
      </c>
    </row>
    <row r="1344">
      <c r="A1344" s="2">
        <f>IFERROR(__xludf.DUMMYFUNCTION("""COMPUTED_VALUE"""),43180.64583333333)</f>
        <v>43180.64583</v>
      </c>
      <c r="B1344" s="1">
        <f>IFERROR(__xludf.DUMMYFUNCTION("""COMPUTED_VALUE"""),10100.0)</f>
        <v>10100</v>
      </c>
      <c r="C1344" s="1">
        <f>IFERROR(__xludf.DUMMYFUNCTION("""COMPUTED_VALUE"""),10850.0)</f>
        <v>10850</v>
      </c>
      <c r="D1344" s="1">
        <f>IFERROR(__xludf.DUMMYFUNCTION("""COMPUTED_VALUE"""),10050.0)</f>
        <v>10050</v>
      </c>
      <c r="E1344" s="1">
        <f>IFERROR(__xludf.DUMMYFUNCTION("""COMPUTED_VALUE"""),10500.0)</f>
        <v>10500</v>
      </c>
      <c r="F1344" s="1">
        <f>IFERROR(__xludf.DUMMYFUNCTION("""COMPUTED_VALUE"""),488733.0)</f>
        <v>488733</v>
      </c>
    </row>
    <row r="1345">
      <c r="A1345" s="2">
        <f>IFERROR(__xludf.DUMMYFUNCTION("""COMPUTED_VALUE"""),43181.64583333333)</f>
        <v>43181.64583</v>
      </c>
      <c r="B1345" s="1">
        <f>IFERROR(__xludf.DUMMYFUNCTION("""COMPUTED_VALUE"""),10550.0)</f>
        <v>10550</v>
      </c>
      <c r="C1345" s="1">
        <f>IFERROR(__xludf.DUMMYFUNCTION("""COMPUTED_VALUE"""),11050.0)</f>
        <v>11050</v>
      </c>
      <c r="D1345" s="1">
        <f>IFERROR(__xludf.DUMMYFUNCTION("""COMPUTED_VALUE"""),9970.0)</f>
        <v>9970</v>
      </c>
      <c r="E1345" s="1">
        <f>IFERROR(__xludf.DUMMYFUNCTION("""COMPUTED_VALUE"""),10250.0)</f>
        <v>10250</v>
      </c>
      <c r="F1345" s="1">
        <f>IFERROR(__xludf.DUMMYFUNCTION("""COMPUTED_VALUE"""),748091.0)</f>
        <v>748091</v>
      </c>
    </row>
    <row r="1346">
      <c r="A1346" s="2">
        <f>IFERROR(__xludf.DUMMYFUNCTION("""COMPUTED_VALUE"""),43182.64583333333)</f>
        <v>43182.64583</v>
      </c>
      <c r="B1346" s="1">
        <f>IFERROR(__xludf.DUMMYFUNCTION("""COMPUTED_VALUE"""),9950.0)</f>
        <v>9950</v>
      </c>
      <c r="C1346" s="1">
        <f>IFERROR(__xludf.DUMMYFUNCTION("""COMPUTED_VALUE"""),10250.0)</f>
        <v>10250</v>
      </c>
      <c r="D1346" s="1">
        <f>IFERROR(__xludf.DUMMYFUNCTION("""COMPUTED_VALUE"""),9710.0)</f>
        <v>9710</v>
      </c>
      <c r="E1346" s="1">
        <f>IFERROR(__xludf.DUMMYFUNCTION("""COMPUTED_VALUE"""),9710.0)</f>
        <v>9710</v>
      </c>
      <c r="F1346" s="1">
        <f>IFERROR(__xludf.DUMMYFUNCTION("""COMPUTED_VALUE"""),294920.0)</f>
        <v>294920</v>
      </c>
    </row>
    <row r="1347">
      <c r="A1347" s="2">
        <f>IFERROR(__xludf.DUMMYFUNCTION("""COMPUTED_VALUE"""),43185.64583333333)</f>
        <v>43185.64583</v>
      </c>
      <c r="B1347" s="1">
        <f>IFERROR(__xludf.DUMMYFUNCTION("""COMPUTED_VALUE"""),9590.0)</f>
        <v>9590</v>
      </c>
      <c r="C1347" s="1">
        <f>IFERROR(__xludf.DUMMYFUNCTION("""COMPUTED_VALUE"""),9930.0)</f>
        <v>9930</v>
      </c>
      <c r="D1347" s="1">
        <f>IFERROR(__xludf.DUMMYFUNCTION("""COMPUTED_VALUE"""),9200.0)</f>
        <v>9200</v>
      </c>
      <c r="E1347" s="1">
        <f>IFERROR(__xludf.DUMMYFUNCTION("""COMPUTED_VALUE"""),9890.0)</f>
        <v>9890</v>
      </c>
      <c r="F1347" s="1">
        <f>IFERROR(__xludf.DUMMYFUNCTION("""COMPUTED_VALUE"""),260078.0)</f>
        <v>260078</v>
      </c>
    </row>
    <row r="1348">
      <c r="A1348" s="2">
        <f>IFERROR(__xludf.DUMMYFUNCTION("""COMPUTED_VALUE"""),43186.64583333333)</f>
        <v>43186.64583</v>
      </c>
      <c r="B1348" s="1">
        <f>IFERROR(__xludf.DUMMYFUNCTION("""COMPUTED_VALUE"""),9920.0)</f>
        <v>9920</v>
      </c>
      <c r="C1348" s="1">
        <f>IFERROR(__xludf.DUMMYFUNCTION("""COMPUTED_VALUE"""),10150.0)</f>
        <v>10150</v>
      </c>
      <c r="D1348" s="1">
        <f>IFERROR(__xludf.DUMMYFUNCTION("""COMPUTED_VALUE"""),9850.0)</f>
        <v>9850</v>
      </c>
      <c r="E1348" s="1">
        <f>IFERROR(__xludf.DUMMYFUNCTION("""COMPUTED_VALUE"""),10000.0)</f>
        <v>10000</v>
      </c>
      <c r="F1348" s="1">
        <f>IFERROR(__xludf.DUMMYFUNCTION("""COMPUTED_VALUE"""),159555.0)</f>
        <v>159555</v>
      </c>
    </row>
    <row r="1349">
      <c r="A1349" s="2">
        <f>IFERROR(__xludf.DUMMYFUNCTION("""COMPUTED_VALUE"""),43187.64583333333)</f>
        <v>43187.64583</v>
      </c>
      <c r="B1349" s="1">
        <f>IFERROR(__xludf.DUMMYFUNCTION("""COMPUTED_VALUE"""),10000.0)</f>
        <v>10000</v>
      </c>
      <c r="C1349" s="1">
        <f>IFERROR(__xludf.DUMMYFUNCTION("""COMPUTED_VALUE"""),10000.0)</f>
        <v>10000</v>
      </c>
      <c r="D1349" s="1">
        <f>IFERROR(__xludf.DUMMYFUNCTION("""COMPUTED_VALUE"""),9710.0)</f>
        <v>9710</v>
      </c>
      <c r="E1349" s="1">
        <f>IFERROR(__xludf.DUMMYFUNCTION("""COMPUTED_VALUE"""),9900.0)</f>
        <v>9900</v>
      </c>
      <c r="F1349" s="1">
        <f>IFERROR(__xludf.DUMMYFUNCTION("""COMPUTED_VALUE"""),140340.0)</f>
        <v>140340</v>
      </c>
    </row>
    <row r="1350">
      <c r="A1350" s="2">
        <f>IFERROR(__xludf.DUMMYFUNCTION("""COMPUTED_VALUE"""),43188.64583333333)</f>
        <v>43188.64583</v>
      </c>
      <c r="B1350" s="1">
        <f>IFERROR(__xludf.DUMMYFUNCTION("""COMPUTED_VALUE"""),9900.0)</f>
        <v>9900</v>
      </c>
      <c r="C1350" s="1">
        <f>IFERROR(__xludf.DUMMYFUNCTION("""COMPUTED_VALUE"""),10050.0)</f>
        <v>10050</v>
      </c>
      <c r="D1350" s="1">
        <f>IFERROR(__xludf.DUMMYFUNCTION("""COMPUTED_VALUE"""),9800.0)</f>
        <v>9800</v>
      </c>
      <c r="E1350" s="1">
        <f>IFERROR(__xludf.DUMMYFUNCTION("""COMPUTED_VALUE"""),9900.0)</f>
        <v>9900</v>
      </c>
      <c r="F1350" s="1">
        <f>IFERROR(__xludf.DUMMYFUNCTION("""COMPUTED_VALUE"""),83323.0)</f>
        <v>83323</v>
      </c>
    </row>
    <row r="1351">
      <c r="A1351" s="2">
        <f>IFERROR(__xludf.DUMMYFUNCTION("""COMPUTED_VALUE"""),43189.64583333333)</f>
        <v>43189.64583</v>
      </c>
      <c r="B1351" s="1">
        <f>IFERROR(__xludf.DUMMYFUNCTION("""COMPUTED_VALUE"""),10000.0)</f>
        <v>10000</v>
      </c>
      <c r="C1351" s="1">
        <f>IFERROR(__xludf.DUMMYFUNCTION("""COMPUTED_VALUE"""),10000.0)</f>
        <v>10000</v>
      </c>
      <c r="D1351" s="1">
        <f>IFERROR(__xludf.DUMMYFUNCTION("""COMPUTED_VALUE"""),9710.0)</f>
        <v>9710</v>
      </c>
      <c r="E1351" s="1">
        <f>IFERROR(__xludf.DUMMYFUNCTION("""COMPUTED_VALUE"""),9790.0)</f>
        <v>9790</v>
      </c>
      <c r="F1351" s="1">
        <f>IFERROR(__xludf.DUMMYFUNCTION("""COMPUTED_VALUE"""),76257.0)</f>
        <v>76257</v>
      </c>
    </row>
    <row r="1352">
      <c r="A1352" s="2">
        <f>IFERROR(__xludf.DUMMYFUNCTION("""COMPUTED_VALUE"""),43192.64583333333)</f>
        <v>43192.64583</v>
      </c>
      <c r="B1352" s="1">
        <f>IFERROR(__xludf.DUMMYFUNCTION("""COMPUTED_VALUE"""),9800.0)</f>
        <v>9800</v>
      </c>
      <c r="C1352" s="1">
        <f>IFERROR(__xludf.DUMMYFUNCTION("""COMPUTED_VALUE"""),9800.0)</f>
        <v>9800</v>
      </c>
      <c r="D1352" s="1">
        <f>IFERROR(__xludf.DUMMYFUNCTION("""COMPUTED_VALUE"""),9400.0)</f>
        <v>9400</v>
      </c>
      <c r="E1352" s="1">
        <f>IFERROR(__xludf.DUMMYFUNCTION("""COMPUTED_VALUE"""),9540.0)</f>
        <v>9540</v>
      </c>
      <c r="F1352" s="1">
        <f>IFERROR(__xludf.DUMMYFUNCTION("""COMPUTED_VALUE"""),146129.0)</f>
        <v>146129</v>
      </c>
    </row>
    <row r="1353">
      <c r="A1353" s="2">
        <f>IFERROR(__xludf.DUMMYFUNCTION("""COMPUTED_VALUE"""),43193.64583333333)</f>
        <v>43193.64583</v>
      </c>
      <c r="B1353" s="1">
        <f>IFERROR(__xludf.DUMMYFUNCTION("""COMPUTED_VALUE"""),9350.0)</f>
        <v>9350</v>
      </c>
      <c r="C1353" s="1">
        <f>IFERROR(__xludf.DUMMYFUNCTION("""COMPUTED_VALUE"""),9690.0)</f>
        <v>9690</v>
      </c>
      <c r="D1353" s="1">
        <f>IFERROR(__xludf.DUMMYFUNCTION("""COMPUTED_VALUE"""),9340.0)</f>
        <v>9340</v>
      </c>
      <c r="E1353" s="1">
        <f>IFERROR(__xludf.DUMMYFUNCTION("""COMPUTED_VALUE"""),9690.0)</f>
        <v>9690</v>
      </c>
      <c r="F1353" s="1">
        <f>IFERROR(__xludf.DUMMYFUNCTION("""COMPUTED_VALUE"""),94847.0)</f>
        <v>94847</v>
      </c>
    </row>
    <row r="1354">
      <c r="A1354" s="2">
        <f>IFERROR(__xludf.DUMMYFUNCTION("""COMPUTED_VALUE"""),43194.64583333333)</f>
        <v>43194.64583</v>
      </c>
      <c r="B1354" s="1">
        <f>IFERROR(__xludf.DUMMYFUNCTION("""COMPUTED_VALUE"""),9690.0)</f>
        <v>9690</v>
      </c>
      <c r="C1354" s="1">
        <f>IFERROR(__xludf.DUMMYFUNCTION("""COMPUTED_VALUE"""),9750.0)</f>
        <v>9750</v>
      </c>
      <c r="D1354" s="1">
        <f>IFERROR(__xludf.DUMMYFUNCTION("""COMPUTED_VALUE"""),9380.0)</f>
        <v>9380</v>
      </c>
      <c r="E1354" s="1">
        <f>IFERROR(__xludf.DUMMYFUNCTION("""COMPUTED_VALUE"""),9540.0)</f>
        <v>9540</v>
      </c>
      <c r="F1354" s="1">
        <f>IFERROR(__xludf.DUMMYFUNCTION("""COMPUTED_VALUE"""),80041.0)</f>
        <v>80041</v>
      </c>
    </row>
    <row r="1355">
      <c r="A1355" s="2">
        <f>IFERROR(__xludf.DUMMYFUNCTION("""COMPUTED_VALUE"""),43195.64583333333)</f>
        <v>43195.64583</v>
      </c>
      <c r="B1355" s="1">
        <f>IFERROR(__xludf.DUMMYFUNCTION("""COMPUTED_VALUE"""),9540.0)</f>
        <v>9540</v>
      </c>
      <c r="C1355" s="1">
        <f>IFERROR(__xludf.DUMMYFUNCTION("""COMPUTED_VALUE"""),9630.0)</f>
        <v>9630</v>
      </c>
      <c r="D1355" s="1">
        <f>IFERROR(__xludf.DUMMYFUNCTION("""COMPUTED_VALUE"""),9340.0)</f>
        <v>9340</v>
      </c>
      <c r="E1355" s="1">
        <f>IFERROR(__xludf.DUMMYFUNCTION("""COMPUTED_VALUE"""),9500.0)</f>
        <v>9500</v>
      </c>
      <c r="F1355" s="1">
        <f>IFERROR(__xludf.DUMMYFUNCTION("""COMPUTED_VALUE"""),130205.0)</f>
        <v>130205</v>
      </c>
    </row>
    <row r="1356">
      <c r="A1356" s="2">
        <f>IFERROR(__xludf.DUMMYFUNCTION("""COMPUTED_VALUE"""),43196.64583333333)</f>
        <v>43196.64583</v>
      </c>
      <c r="B1356" s="1">
        <f>IFERROR(__xludf.DUMMYFUNCTION("""COMPUTED_VALUE"""),9490.0)</f>
        <v>9490</v>
      </c>
      <c r="C1356" s="1">
        <f>IFERROR(__xludf.DUMMYFUNCTION("""COMPUTED_VALUE"""),9860.0)</f>
        <v>9860</v>
      </c>
      <c r="D1356" s="1">
        <f>IFERROR(__xludf.DUMMYFUNCTION("""COMPUTED_VALUE"""),9330.0)</f>
        <v>9330</v>
      </c>
      <c r="E1356" s="1">
        <f>IFERROR(__xludf.DUMMYFUNCTION("""COMPUTED_VALUE"""),9600.0)</f>
        <v>9600</v>
      </c>
      <c r="F1356" s="1">
        <f>IFERROR(__xludf.DUMMYFUNCTION("""COMPUTED_VALUE"""),100726.0)</f>
        <v>100726</v>
      </c>
    </row>
    <row r="1357">
      <c r="A1357" s="2">
        <f>IFERROR(__xludf.DUMMYFUNCTION("""COMPUTED_VALUE"""),43199.64583333333)</f>
        <v>43199.64583</v>
      </c>
      <c r="B1357" s="1">
        <f>IFERROR(__xludf.DUMMYFUNCTION("""COMPUTED_VALUE"""),9500.0)</f>
        <v>9500</v>
      </c>
      <c r="C1357" s="1">
        <f>IFERROR(__xludf.DUMMYFUNCTION("""COMPUTED_VALUE"""),10150.0)</f>
        <v>10150</v>
      </c>
      <c r="D1357" s="1">
        <f>IFERROR(__xludf.DUMMYFUNCTION("""COMPUTED_VALUE"""),9500.0)</f>
        <v>9500</v>
      </c>
      <c r="E1357" s="1">
        <f>IFERROR(__xludf.DUMMYFUNCTION("""COMPUTED_VALUE"""),10100.0)</f>
        <v>10100</v>
      </c>
      <c r="F1357" s="1">
        <f>IFERROR(__xludf.DUMMYFUNCTION("""COMPUTED_VALUE"""),354135.0)</f>
        <v>354135</v>
      </c>
    </row>
    <row r="1358">
      <c r="A1358" s="2">
        <f>IFERROR(__xludf.DUMMYFUNCTION("""COMPUTED_VALUE"""),43200.64583333333)</f>
        <v>43200.64583</v>
      </c>
      <c r="B1358" s="1">
        <f>IFERROR(__xludf.DUMMYFUNCTION("""COMPUTED_VALUE"""),10100.0)</f>
        <v>10100</v>
      </c>
      <c r="C1358" s="1">
        <f>IFERROR(__xludf.DUMMYFUNCTION("""COMPUTED_VALUE"""),10300.0)</f>
        <v>10300</v>
      </c>
      <c r="D1358" s="1">
        <f>IFERROR(__xludf.DUMMYFUNCTION("""COMPUTED_VALUE"""),9940.0)</f>
        <v>9940</v>
      </c>
      <c r="E1358" s="1">
        <f>IFERROR(__xludf.DUMMYFUNCTION("""COMPUTED_VALUE"""),10150.0)</f>
        <v>10150</v>
      </c>
      <c r="F1358" s="1">
        <f>IFERROR(__xludf.DUMMYFUNCTION("""COMPUTED_VALUE"""),311154.0)</f>
        <v>311154</v>
      </c>
    </row>
    <row r="1359">
      <c r="A1359" s="2">
        <f>IFERROR(__xludf.DUMMYFUNCTION("""COMPUTED_VALUE"""),43201.64583333333)</f>
        <v>43201.64583</v>
      </c>
      <c r="B1359" s="1">
        <f>IFERROR(__xludf.DUMMYFUNCTION("""COMPUTED_VALUE"""),10250.0)</f>
        <v>10250</v>
      </c>
      <c r="C1359" s="1">
        <f>IFERROR(__xludf.DUMMYFUNCTION("""COMPUTED_VALUE"""),11000.0)</f>
        <v>11000</v>
      </c>
      <c r="D1359" s="1">
        <f>IFERROR(__xludf.DUMMYFUNCTION("""COMPUTED_VALUE"""),10150.0)</f>
        <v>10150</v>
      </c>
      <c r="E1359" s="1">
        <f>IFERROR(__xludf.DUMMYFUNCTION("""COMPUTED_VALUE"""),10450.0)</f>
        <v>10450</v>
      </c>
      <c r="F1359" s="1">
        <f>IFERROR(__xludf.DUMMYFUNCTION("""COMPUTED_VALUE"""),709769.0)</f>
        <v>709769</v>
      </c>
    </row>
    <row r="1360">
      <c r="A1360" s="2">
        <f>IFERROR(__xludf.DUMMYFUNCTION("""COMPUTED_VALUE"""),43202.64583333333)</f>
        <v>43202.64583</v>
      </c>
      <c r="B1360" s="1">
        <f>IFERROR(__xludf.DUMMYFUNCTION("""COMPUTED_VALUE"""),10550.0)</f>
        <v>10550</v>
      </c>
      <c r="C1360" s="1">
        <f>IFERROR(__xludf.DUMMYFUNCTION("""COMPUTED_VALUE"""),10850.0)</f>
        <v>10850</v>
      </c>
      <c r="D1360" s="1">
        <f>IFERROR(__xludf.DUMMYFUNCTION("""COMPUTED_VALUE"""),9690.0)</f>
        <v>9690</v>
      </c>
      <c r="E1360" s="1">
        <f>IFERROR(__xludf.DUMMYFUNCTION("""COMPUTED_VALUE"""),9870.0)</f>
        <v>9870</v>
      </c>
      <c r="F1360" s="1">
        <f>IFERROR(__xludf.DUMMYFUNCTION("""COMPUTED_VALUE"""),482520.0)</f>
        <v>482520</v>
      </c>
    </row>
    <row r="1361">
      <c r="A1361" s="2">
        <f>IFERROR(__xludf.DUMMYFUNCTION("""COMPUTED_VALUE"""),43203.64583333333)</f>
        <v>43203.64583</v>
      </c>
      <c r="B1361" s="1">
        <f>IFERROR(__xludf.DUMMYFUNCTION("""COMPUTED_VALUE"""),9870.0)</f>
        <v>9870</v>
      </c>
      <c r="C1361" s="1">
        <f>IFERROR(__xludf.DUMMYFUNCTION("""COMPUTED_VALUE"""),9990.0)</f>
        <v>9990</v>
      </c>
      <c r="D1361" s="1">
        <f>IFERROR(__xludf.DUMMYFUNCTION("""COMPUTED_VALUE"""),9640.0)</f>
        <v>9640</v>
      </c>
      <c r="E1361" s="1">
        <f>IFERROR(__xludf.DUMMYFUNCTION("""COMPUTED_VALUE"""),9880.0)</f>
        <v>9880</v>
      </c>
      <c r="F1361" s="1">
        <f>IFERROR(__xludf.DUMMYFUNCTION("""COMPUTED_VALUE"""),164996.0)</f>
        <v>164996</v>
      </c>
    </row>
    <row r="1362">
      <c r="A1362" s="2">
        <f>IFERROR(__xludf.DUMMYFUNCTION("""COMPUTED_VALUE"""),43206.64583333333)</f>
        <v>43206.64583</v>
      </c>
      <c r="B1362" s="1">
        <f>IFERROR(__xludf.DUMMYFUNCTION("""COMPUTED_VALUE"""),9890.0)</f>
        <v>9890</v>
      </c>
      <c r="C1362" s="1">
        <f>IFERROR(__xludf.DUMMYFUNCTION("""COMPUTED_VALUE"""),10700.0)</f>
        <v>10700</v>
      </c>
      <c r="D1362" s="1">
        <f>IFERROR(__xludf.DUMMYFUNCTION("""COMPUTED_VALUE"""),9750.0)</f>
        <v>9750</v>
      </c>
      <c r="E1362" s="1">
        <f>IFERROR(__xludf.DUMMYFUNCTION("""COMPUTED_VALUE"""),10400.0)</f>
        <v>10400</v>
      </c>
      <c r="F1362" s="1">
        <f>IFERROR(__xludf.DUMMYFUNCTION("""COMPUTED_VALUE"""),473015.0)</f>
        <v>473015</v>
      </c>
    </row>
    <row r="1363">
      <c r="A1363" s="2">
        <f>IFERROR(__xludf.DUMMYFUNCTION("""COMPUTED_VALUE"""),43207.64583333333)</f>
        <v>43207.64583</v>
      </c>
      <c r="B1363" s="1">
        <f>IFERROR(__xludf.DUMMYFUNCTION("""COMPUTED_VALUE"""),10600.0)</f>
        <v>10600</v>
      </c>
      <c r="C1363" s="1">
        <f>IFERROR(__xludf.DUMMYFUNCTION("""COMPUTED_VALUE"""),10600.0)</f>
        <v>10600</v>
      </c>
      <c r="D1363" s="1">
        <f>IFERROR(__xludf.DUMMYFUNCTION("""COMPUTED_VALUE"""),9970.0)</f>
        <v>9970</v>
      </c>
      <c r="E1363" s="1">
        <f>IFERROR(__xludf.DUMMYFUNCTION("""COMPUTED_VALUE"""),10000.0)</f>
        <v>10000</v>
      </c>
      <c r="F1363" s="1">
        <f>IFERROR(__xludf.DUMMYFUNCTION("""COMPUTED_VALUE"""),230151.0)</f>
        <v>230151</v>
      </c>
    </row>
    <row r="1364">
      <c r="A1364" s="2">
        <f>IFERROR(__xludf.DUMMYFUNCTION("""COMPUTED_VALUE"""),43208.64583333333)</f>
        <v>43208.64583</v>
      </c>
      <c r="B1364" s="1">
        <f>IFERROR(__xludf.DUMMYFUNCTION("""COMPUTED_VALUE"""),10050.0)</f>
        <v>10050</v>
      </c>
      <c r="C1364" s="1">
        <f>IFERROR(__xludf.DUMMYFUNCTION("""COMPUTED_VALUE"""),10050.0)</f>
        <v>10050</v>
      </c>
      <c r="D1364" s="1">
        <f>IFERROR(__xludf.DUMMYFUNCTION("""COMPUTED_VALUE"""),9610.0)</f>
        <v>9610</v>
      </c>
      <c r="E1364" s="1">
        <f>IFERROR(__xludf.DUMMYFUNCTION("""COMPUTED_VALUE"""),9620.0)</f>
        <v>9620</v>
      </c>
      <c r="F1364" s="1">
        <f>IFERROR(__xludf.DUMMYFUNCTION("""COMPUTED_VALUE"""),288541.0)</f>
        <v>288541</v>
      </c>
    </row>
    <row r="1365">
      <c r="A1365" s="2">
        <f>IFERROR(__xludf.DUMMYFUNCTION("""COMPUTED_VALUE"""),43209.64583333333)</f>
        <v>43209.64583</v>
      </c>
      <c r="B1365" s="1">
        <f>IFERROR(__xludf.DUMMYFUNCTION("""COMPUTED_VALUE"""),9470.0)</f>
        <v>9470</v>
      </c>
      <c r="C1365" s="1">
        <f>IFERROR(__xludf.DUMMYFUNCTION("""COMPUTED_VALUE"""),9720.0)</f>
        <v>9720</v>
      </c>
      <c r="D1365" s="1">
        <f>IFERROR(__xludf.DUMMYFUNCTION("""COMPUTED_VALUE"""),9150.0)</f>
        <v>9150</v>
      </c>
      <c r="E1365" s="1">
        <f>IFERROR(__xludf.DUMMYFUNCTION("""COMPUTED_VALUE"""),9720.0)</f>
        <v>9720</v>
      </c>
      <c r="F1365" s="1">
        <f>IFERROR(__xludf.DUMMYFUNCTION("""COMPUTED_VALUE"""),317009.0)</f>
        <v>317009</v>
      </c>
    </row>
    <row r="1366">
      <c r="A1366" s="2">
        <f>IFERROR(__xludf.DUMMYFUNCTION("""COMPUTED_VALUE"""),43210.64583333333)</f>
        <v>43210.64583</v>
      </c>
      <c r="B1366" s="1">
        <f>IFERROR(__xludf.DUMMYFUNCTION("""COMPUTED_VALUE"""),9700.0)</f>
        <v>9700</v>
      </c>
      <c r="C1366" s="1">
        <f>IFERROR(__xludf.DUMMYFUNCTION("""COMPUTED_VALUE"""),9800.0)</f>
        <v>9800</v>
      </c>
      <c r="D1366" s="1">
        <f>IFERROR(__xludf.DUMMYFUNCTION("""COMPUTED_VALUE"""),9390.0)</f>
        <v>9390</v>
      </c>
      <c r="E1366" s="1">
        <f>IFERROR(__xludf.DUMMYFUNCTION("""COMPUTED_VALUE"""),9400.0)</f>
        <v>9400</v>
      </c>
      <c r="F1366" s="1">
        <f>IFERROR(__xludf.DUMMYFUNCTION("""COMPUTED_VALUE"""),106034.0)</f>
        <v>106034</v>
      </c>
    </row>
    <row r="1367">
      <c r="A1367" s="2">
        <f>IFERROR(__xludf.DUMMYFUNCTION("""COMPUTED_VALUE"""),43213.64583333333)</f>
        <v>43213.64583</v>
      </c>
      <c r="B1367" s="1">
        <f>IFERROR(__xludf.DUMMYFUNCTION("""COMPUTED_VALUE"""),9400.0)</f>
        <v>9400</v>
      </c>
      <c r="C1367" s="1">
        <f>IFERROR(__xludf.DUMMYFUNCTION("""COMPUTED_VALUE"""),9410.0)</f>
        <v>9410</v>
      </c>
      <c r="D1367" s="1">
        <f>IFERROR(__xludf.DUMMYFUNCTION("""COMPUTED_VALUE"""),9040.0)</f>
        <v>9040</v>
      </c>
      <c r="E1367" s="1">
        <f>IFERROR(__xludf.DUMMYFUNCTION("""COMPUTED_VALUE"""),9370.0)</f>
        <v>9370</v>
      </c>
      <c r="F1367" s="1">
        <f>IFERROR(__xludf.DUMMYFUNCTION("""COMPUTED_VALUE"""),120794.0)</f>
        <v>120794</v>
      </c>
    </row>
    <row r="1368">
      <c r="A1368" s="2">
        <f>IFERROR(__xludf.DUMMYFUNCTION("""COMPUTED_VALUE"""),43214.64583333333)</f>
        <v>43214.64583</v>
      </c>
      <c r="B1368" s="1">
        <f>IFERROR(__xludf.DUMMYFUNCTION("""COMPUTED_VALUE"""),9390.0)</f>
        <v>9390</v>
      </c>
      <c r="C1368" s="1">
        <f>IFERROR(__xludf.DUMMYFUNCTION("""COMPUTED_VALUE"""),9400.0)</f>
        <v>9400</v>
      </c>
      <c r="D1368" s="1">
        <f>IFERROR(__xludf.DUMMYFUNCTION("""COMPUTED_VALUE"""),8990.0)</f>
        <v>8990</v>
      </c>
      <c r="E1368" s="1">
        <f>IFERROR(__xludf.DUMMYFUNCTION("""COMPUTED_VALUE"""),9190.0)</f>
        <v>9190</v>
      </c>
      <c r="F1368" s="1">
        <f>IFERROR(__xludf.DUMMYFUNCTION("""COMPUTED_VALUE"""),103707.0)</f>
        <v>103707</v>
      </c>
    </row>
    <row r="1369">
      <c r="A1369" s="2">
        <f>IFERROR(__xludf.DUMMYFUNCTION("""COMPUTED_VALUE"""),43215.64583333333)</f>
        <v>43215.64583</v>
      </c>
      <c r="B1369" s="1">
        <f>IFERROR(__xludf.DUMMYFUNCTION("""COMPUTED_VALUE"""),9030.0)</f>
        <v>9030</v>
      </c>
      <c r="C1369" s="1">
        <f>IFERROR(__xludf.DUMMYFUNCTION("""COMPUTED_VALUE"""),9140.0)</f>
        <v>9140</v>
      </c>
      <c r="D1369" s="1">
        <f>IFERROR(__xludf.DUMMYFUNCTION("""COMPUTED_VALUE"""),8880.0)</f>
        <v>8880</v>
      </c>
      <c r="E1369" s="1">
        <f>IFERROR(__xludf.DUMMYFUNCTION("""COMPUTED_VALUE"""),8910.0)</f>
        <v>8910</v>
      </c>
      <c r="F1369" s="1">
        <f>IFERROR(__xludf.DUMMYFUNCTION("""COMPUTED_VALUE"""),80741.0)</f>
        <v>80741</v>
      </c>
    </row>
    <row r="1370">
      <c r="A1370" s="2">
        <f>IFERROR(__xludf.DUMMYFUNCTION("""COMPUTED_VALUE"""),43216.64583333333)</f>
        <v>43216.64583</v>
      </c>
      <c r="B1370" s="1">
        <f>IFERROR(__xludf.DUMMYFUNCTION("""COMPUTED_VALUE"""),8990.0)</f>
        <v>8990</v>
      </c>
      <c r="C1370" s="1">
        <f>IFERROR(__xludf.DUMMYFUNCTION("""COMPUTED_VALUE"""),9140.0)</f>
        <v>9140</v>
      </c>
      <c r="D1370" s="1">
        <f>IFERROR(__xludf.DUMMYFUNCTION("""COMPUTED_VALUE"""),8900.0)</f>
        <v>8900</v>
      </c>
      <c r="E1370" s="1">
        <f>IFERROR(__xludf.DUMMYFUNCTION("""COMPUTED_VALUE"""),8930.0)</f>
        <v>8930</v>
      </c>
      <c r="F1370" s="1">
        <f>IFERROR(__xludf.DUMMYFUNCTION("""COMPUTED_VALUE"""),73625.0)</f>
        <v>73625</v>
      </c>
    </row>
    <row r="1371">
      <c r="A1371" s="2">
        <f>IFERROR(__xludf.DUMMYFUNCTION("""COMPUTED_VALUE"""),43217.64583333333)</f>
        <v>43217.64583</v>
      </c>
      <c r="B1371" s="1">
        <f>IFERROR(__xludf.DUMMYFUNCTION("""COMPUTED_VALUE"""),8930.0)</f>
        <v>8930</v>
      </c>
      <c r="C1371" s="1">
        <f>IFERROR(__xludf.DUMMYFUNCTION("""COMPUTED_VALUE"""),9070.0)</f>
        <v>9070</v>
      </c>
      <c r="D1371" s="1">
        <f>IFERROR(__xludf.DUMMYFUNCTION("""COMPUTED_VALUE"""),8510.0)</f>
        <v>8510</v>
      </c>
      <c r="E1371" s="1">
        <f>IFERROR(__xludf.DUMMYFUNCTION("""COMPUTED_VALUE"""),8680.0)</f>
        <v>8680</v>
      </c>
      <c r="F1371" s="1">
        <f>IFERROR(__xludf.DUMMYFUNCTION("""COMPUTED_VALUE"""),174076.0)</f>
        <v>174076</v>
      </c>
    </row>
    <row r="1372">
      <c r="A1372" s="2">
        <f>IFERROR(__xludf.DUMMYFUNCTION("""COMPUTED_VALUE"""),43220.64583333333)</f>
        <v>43220.64583</v>
      </c>
      <c r="B1372" s="1">
        <f>IFERROR(__xludf.DUMMYFUNCTION("""COMPUTED_VALUE"""),8770.0)</f>
        <v>8770</v>
      </c>
      <c r="C1372" s="1">
        <f>IFERROR(__xludf.DUMMYFUNCTION("""COMPUTED_VALUE"""),8770.0)</f>
        <v>8770</v>
      </c>
      <c r="D1372" s="1">
        <f>IFERROR(__xludf.DUMMYFUNCTION("""COMPUTED_VALUE"""),8000.0)</f>
        <v>8000</v>
      </c>
      <c r="E1372" s="1">
        <f>IFERROR(__xludf.DUMMYFUNCTION("""COMPUTED_VALUE"""),8250.0)</f>
        <v>8250</v>
      </c>
      <c r="F1372" s="1">
        <f>IFERROR(__xludf.DUMMYFUNCTION("""COMPUTED_VALUE"""),164465.0)</f>
        <v>164465</v>
      </c>
    </row>
    <row r="1373">
      <c r="A1373" s="2">
        <f>IFERROR(__xludf.DUMMYFUNCTION("""COMPUTED_VALUE"""),43222.64583333333)</f>
        <v>43222.64583</v>
      </c>
      <c r="B1373" s="1">
        <f>IFERROR(__xludf.DUMMYFUNCTION("""COMPUTED_VALUE"""),8000.0)</f>
        <v>8000</v>
      </c>
      <c r="C1373" s="1">
        <f>IFERROR(__xludf.DUMMYFUNCTION("""COMPUTED_VALUE"""),8620.0)</f>
        <v>8620</v>
      </c>
      <c r="D1373" s="1">
        <f>IFERROR(__xludf.DUMMYFUNCTION("""COMPUTED_VALUE"""),7840.0)</f>
        <v>7840</v>
      </c>
      <c r="E1373" s="1">
        <f>IFERROR(__xludf.DUMMYFUNCTION("""COMPUTED_VALUE"""),8380.0)</f>
        <v>8380</v>
      </c>
      <c r="F1373" s="1">
        <f>IFERROR(__xludf.DUMMYFUNCTION("""COMPUTED_VALUE"""),130264.0)</f>
        <v>130264</v>
      </c>
    </row>
    <row r="1374">
      <c r="A1374" s="2">
        <f>IFERROR(__xludf.DUMMYFUNCTION("""COMPUTED_VALUE"""),43223.64583333333)</f>
        <v>43223.64583</v>
      </c>
      <c r="B1374" s="1">
        <f>IFERROR(__xludf.DUMMYFUNCTION("""COMPUTED_VALUE"""),8300.0)</f>
        <v>8300</v>
      </c>
      <c r="C1374" s="1">
        <f>IFERROR(__xludf.DUMMYFUNCTION("""COMPUTED_VALUE"""),8480.0)</f>
        <v>8480</v>
      </c>
      <c r="D1374" s="1">
        <f>IFERROR(__xludf.DUMMYFUNCTION("""COMPUTED_VALUE"""),8180.0)</f>
        <v>8180</v>
      </c>
      <c r="E1374" s="1">
        <f>IFERROR(__xludf.DUMMYFUNCTION("""COMPUTED_VALUE"""),8330.0)</f>
        <v>8330</v>
      </c>
      <c r="F1374" s="1">
        <f>IFERROR(__xludf.DUMMYFUNCTION("""COMPUTED_VALUE"""),53862.0)</f>
        <v>53862</v>
      </c>
    </row>
    <row r="1375">
      <c r="A1375" s="2">
        <f>IFERROR(__xludf.DUMMYFUNCTION("""COMPUTED_VALUE"""),43224.64583333333)</f>
        <v>43224.64583</v>
      </c>
      <c r="B1375" s="1">
        <f>IFERROR(__xludf.DUMMYFUNCTION("""COMPUTED_VALUE"""),8330.0)</f>
        <v>8330</v>
      </c>
      <c r="C1375" s="1">
        <f>IFERROR(__xludf.DUMMYFUNCTION("""COMPUTED_VALUE"""),8330.0)</f>
        <v>8330</v>
      </c>
      <c r="D1375" s="1">
        <f>IFERROR(__xludf.DUMMYFUNCTION("""COMPUTED_VALUE"""),7850.0)</f>
        <v>7850</v>
      </c>
      <c r="E1375" s="1">
        <f>IFERROR(__xludf.DUMMYFUNCTION("""COMPUTED_VALUE"""),7970.0)</f>
        <v>7970</v>
      </c>
      <c r="F1375" s="1">
        <f>IFERROR(__xludf.DUMMYFUNCTION("""COMPUTED_VALUE"""),124345.0)</f>
        <v>124345</v>
      </c>
    </row>
    <row r="1376">
      <c r="A1376" s="2">
        <f>IFERROR(__xludf.DUMMYFUNCTION("""COMPUTED_VALUE"""),43228.64583333333)</f>
        <v>43228.64583</v>
      </c>
      <c r="B1376" s="1">
        <f>IFERROR(__xludf.DUMMYFUNCTION("""COMPUTED_VALUE"""),7920.0)</f>
        <v>7920</v>
      </c>
      <c r="C1376" s="1">
        <f>IFERROR(__xludf.DUMMYFUNCTION("""COMPUTED_VALUE"""),8100.0)</f>
        <v>8100</v>
      </c>
      <c r="D1376" s="1">
        <f>IFERROR(__xludf.DUMMYFUNCTION("""COMPUTED_VALUE"""),7390.0)</f>
        <v>7390</v>
      </c>
      <c r="E1376" s="1">
        <f>IFERROR(__xludf.DUMMYFUNCTION("""COMPUTED_VALUE"""),7390.0)</f>
        <v>7390</v>
      </c>
      <c r="F1376" s="1">
        <f>IFERROR(__xludf.DUMMYFUNCTION("""COMPUTED_VALUE"""),105984.0)</f>
        <v>105984</v>
      </c>
    </row>
    <row r="1377">
      <c r="A1377" s="2">
        <f>IFERROR(__xludf.DUMMYFUNCTION("""COMPUTED_VALUE"""),43229.64583333333)</f>
        <v>43229.64583</v>
      </c>
      <c r="B1377" s="1">
        <f>IFERROR(__xludf.DUMMYFUNCTION("""COMPUTED_VALUE"""),7400.0)</f>
        <v>7400</v>
      </c>
      <c r="C1377" s="1">
        <f>IFERROR(__xludf.DUMMYFUNCTION("""COMPUTED_VALUE"""),7700.0)</f>
        <v>7700</v>
      </c>
      <c r="D1377" s="1">
        <f>IFERROR(__xludf.DUMMYFUNCTION("""COMPUTED_VALUE"""),7040.0)</f>
        <v>7040</v>
      </c>
      <c r="E1377" s="1">
        <f>IFERROR(__xludf.DUMMYFUNCTION("""COMPUTED_VALUE"""),7590.0)</f>
        <v>7590</v>
      </c>
      <c r="F1377" s="1">
        <f>IFERROR(__xludf.DUMMYFUNCTION("""COMPUTED_VALUE"""),271664.0)</f>
        <v>271664</v>
      </c>
    </row>
    <row r="1378">
      <c r="A1378" s="2">
        <f>IFERROR(__xludf.DUMMYFUNCTION("""COMPUTED_VALUE"""),43230.64583333333)</f>
        <v>43230.64583</v>
      </c>
      <c r="B1378" s="1">
        <f>IFERROR(__xludf.DUMMYFUNCTION("""COMPUTED_VALUE"""),7480.0)</f>
        <v>7480</v>
      </c>
      <c r="C1378" s="1">
        <f>IFERROR(__xludf.DUMMYFUNCTION("""COMPUTED_VALUE"""),7590.0)</f>
        <v>7590</v>
      </c>
      <c r="D1378" s="1">
        <f>IFERROR(__xludf.DUMMYFUNCTION("""COMPUTED_VALUE"""),7280.0)</f>
        <v>7280</v>
      </c>
      <c r="E1378" s="1">
        <f>IFERROR(__xludf.DUMMYFUNCTION("""COMPUTED_VALUE"""),7350.0)</f>
        <v>7350</v>
      </c>
      <c r="F1378" s="1">
        <f>IFERROR(__xludf.DUMMYFUNCTION("""COMPUTED_VALUE"""),89469.0)</f>
        <v>89469</v>
      </c>
    </row>
    <row r="1379">
      <c r="A1379" s="2">
        <f>IFERROR(__xludf.DUMMYFUNCTION("""COMPUTED_VALUE"""),43231.64583333333)</f>
        <v>43231.64583</v>
      </c>
      <c r="B1379" s="1">
        <f>IFERROR(__xludf.DUMMYFUNCTION("""COMPUTED_VALUE"""),7150.0)</f>
        <v>7150</v>
      </c>
      <c r="C1379" s="1">
        <f>IFERROR(__xludf.DUMMYFUNCTION("""COMPUTED_VALUE"""),7590.0)</f>
        <v>7590</v>
      </c>
      <c r="D1379" s="1">
        <f>IFERROR(__xludf.DUMMYFUNCTION("""COMPUTED_VALUE"""),7150.0)</f>
        <v>7150</v>
      </c>
      <c r="E1379" s="1">
        <f>IFERROR(__xludf.DUMMYFUNCTION("""COMPUTED_VALUE"""),7480.0)</f>
        <v>7480</v>
      </c>
      <c r="F1379" s="1">
        <f>IFERROR(__xludf.DUMMYFUNCTION("""COMPUTED_VALUE"""),151278.0)</f>
        <v>151278</v>
      </c>
    </row>
    <row r="1380">
      <c r="A1380" s="2">
        <f>IFERROR(__xludf.DUMMYFUNCTION("""COMPUTED_VALUE"""),43234.64583333333)</f>
        <v>43234.64583</v>
      </c>
      <c r="B1380" s="1">
        <f>IFERROR(__xludf.DUMMYFUNCTION("""COMPUTED_VALUE"""),7480.0)</f>
        <v>7480</v>
      </c>
      <c r="C1380" s="1">
        <f>IFERROR(__xludf.DUMMYFUNCTION("""COMPUTED_VALUE"""),7570.0)</f>
        <v>7570</v>
      </c>
      <c r="D1380" s="1">
        <f>IFERROR(__xludf.DUMMYFUNCTION("""COMPUTED_VALUE"""),7080.0)</f>
        <v>7080</v>
      </c>
      <c r="E1380" s="1">
        <f>IFERROR(__xludf.DUMMYFUNCTION("""COMPUTED_VALUE"""),7300.0)</f>
        <v>7300</v>
      </c>
      <c r="F1380" s="1">
        <f>IFERROR(__xludf.DUMMYFUNCTION("""COMPUTED_VALUE"""),125023.0)</f>
        <v>125023</v>
      </c>
    </row>
    <row r="1381">
      <c r="A1381" s="2">
        <f>IFERROR(__xludf.DUMMYFUNCTION("""COMPUTED_VALUE"""),43235.64583333333)</f>
        <v>43235.64583</v>
      </c>
      <c r="B1381" s="1">
        <f>IFERROR(__xludf.DUMMYFUNCTION("""COMPUTED_VALUE"""),7300.0)</f>
        <v>7300</v>
      </c>
      <c r="C1381" s="1">
        <f>IFERROR(__xludf.DUMMYFUNCTION("""COMPUTED_VALUE"""),7450.0)</f>
        <v>7450</v>
      </c>
      <c r="D1381" s="1">
        <f>IFERROR(__xludf.DUMMYFUNCTION("""COMPUTED_VALUE"""),7200.0)</f>
        <v>7200</v>
      </c>
      <c r="E1381" s="1">
        <f>IFERROR(__xludf.DUMMYFUNCTION("""COMPUTED_VALUE"""),7380.0)</f>
        <v>7380</v>
      </c>
      <c r="F1381" s="1">
        <f>IFERROR(__xludf.DUMMYFUNCTION("""COMPUTED_VALUE"""),68172.0)</f>
        <v>68172</v>
      </c>
    </row>
    <row r="1382">
      <c r="A1382" s="2">
        <f>IFERROR(__xludf.DUMMYFUNCTION("""COMPUTED_VALUE"""),43236.64583333333)</f>
        <v>43236.64583</v>
      </c>
      <c r="B1382" s="1">
        <f>IFERROR(__xludf.DUMMYFUNCTION("""COMPUTED_VALUE"""),7390.0)</f>
        <v>7390</v>
      </c>
      <c r="C1382" s="1">
        <f>IFERROR(__xludf.DUMMYFUNCTION("""COMPUTED_VALUE"""),7450.0)</f>
        <v>7450</v>
      </c>
      <c r="D1382" s="1">
        <f>IFERROR(__xludf.DUMMYFUNCTION("""COMPUTED_VALUE"""),7170.0)</f>
        <v>7170</v>
      </c>
      <c r="E1382" s="1">
        <f>IFERROR(__xludf.DUMMYFUNCTION("""COMPUTED_VALUE"""),7320.0)</f>
        <v>7320</v>
      </c>
      <c r="F1382" s="1">
        <f>IFERROR(__xludf.DUMMYFUNCTION("""COMPUTED_VALUE"""),76081.0)</f>
        <v>76081</v>
      </c>
    </row>
    <row r="1383">
      <c r="A1383" s="2">
        <f>IFERROR(__xludf.DUMMYFUNCTION("""COMPUTED_VALUE"""),43237.64583333333)</f>
        <v>43237.64583</v>
      </c>
      <c r="B1383" s="1">
        <f>IFERROR(__xludf.DUMMYFUNCTION("""COMPUTED_VALUE"""),7350.0)</f>
        <v>7350</v>
      </c>
      <c r="C1383" s="1">
        <f>IFERROR(__xludf.DUMMYFUNCTION("""COMPUTED_VALUE"""),7400.0)</f>
        <v>7400</v>
      </c>
      <c r="D1383" s="1">
        <f>IFERROR(__xludf.DUMMYFUNCTION("""COMPUTED_VALUE"""),7020.0)</f>
        <v>7020</v>
      </c>
      <c r="E1383" s="1">
        <f>IFERROR(__xludf.DUMMYFUNCTION("""COMPUTED_VALUE"""),7190.0)</f>
        <v>7190</v>
      </c>
      <c r="F1383" s="1">
        <f>IFERROR(__xludf.DUMMYFUNCTION("""COMPUTED_VALUE"""),71828.0)</f>
        <v>71828</v>
      </c>
    </row>
    <row r="1384">
      <c r="A1384" s="2">
        <f>IFERROR(__xludf.DUMMYFUNCTION("""COMPUTED_VALUE"""),43238.64583333333)</f>
        <v>43238.64583</v>
      </c>
      <c r="B1384" s="1">
        <f>IFERROR(__xludf.DUMMYFUNCTION("""COMPUTED_VALUE"""),7110.0)</f>
        <v>7110</v>
      </c>
      <c r="C1384" s="1">
        <f>IFERROR(__xludf.DUMMYFUNCTION("""COMPUTED_VALUE"""),7340.0)</f>
        <v>7340</v>
      </c>
      <c r="D1384" s="1">
        <f>IFERROR(__xludf.DUMMYFUNCTION("""COMPUTED_VALUE"""),7100.0)</f>
        <v>7100</v>
      </c>
      <c r="E1384" s="1">
        <f>IFERROR(__xludf.DUMMYFUNCTION("""COMPUTED_VALUE"""),7300.0)</f>
        <v>7300</v>
      </c>
      <c r="F1384" s="1">
        <f>IFERROR(__xludf.DUMMYFUNCTION("""COMPUTED_VALUE"""),76145.0)</f>
        <v>76145</v>
      </c>
    </row>
    <row r="1385">
      <c r="A1385" s="2">
        <f>IFERROR(__xludf.DUMMYFUNCTION("""COMPUTED_VALUE"""),43241.64583333333)</f>
        <v>43241.64583</v>
      </c>
      <c r="B1385" s="1">
        <f>IFERROR(__xludf.DUMMYFUNCTION("""COMPUTED_VALUE"""),7300.0)</f>
        <v>7300</v>
      </c>
      <c r="C1385" s="1">
        <f>IFERROR(__xludf.DUMMYFUNCTION("""COMPUTED_VALUE"""),7450.0)</f>
        <v>7450</v>
      </c>
      <c r="D1385" s="1">
        <f>IFERROR(__xludf.DUMMYFUNCTION("""COMPUTED_VALUE"""),7230.0)</f>
        <v>7230</v>
      </c>
      <c r="E1385" s="1">
        <f>IFERROR(__xludf.DUMMYFUNCTION("""COMPUTED_VALUE"""),7380.0)</f>
        <v>7380</v>
      </c>
      <c r="F1385" s="1">
        <f>IFERROR(__xludf.DUMMYFUNCTION("""COMPUTED_VALUE"""),56305.0)</f>
        <v>56305</v>
      </c>
    </row>
    <row r="1386">
      <c r="A1386" s="2">
        <f>IFERROR(__xludf.DUMMYFUNCTION("""COMPUTED_VALUE"""),43243.64583333333)</f>
        <v>43243.64583</v>
      </c>
      <c r="B1386" s="1">
        <f>IFERROR(__xludf.DUMMYFUNCTION("""COMPUTED_VALUE"""),7320.0)</f>
        <v>7320</v>
      </c>
      <c r="C1386" s="1">
        <f>IFERROR(__xludf.DUMMYFUNCTION("""COMPUTED_VALUE"""),7380.0)</f>
        <v>7380</v>
      </c>
      <c r="D1386" s="1">
        <f>IFERROR(__xludf.DUMMYFUNCTION("""COMPUTED_VALUE"""),7210.0)</f>
        <v>7210</v>
      </c>
      <c r="E1386" s="1">
        <f>IFERROR(__xludf.DUMMYFUNCTION("""COMPUTED_VALUE"""),7380.0)</f>
        <v>7380</v>
      </c>
      <c r="F1386" s="1">
        <f>IFERROR(__xludf.DUMMYFUNCTION("""COMPUTED_VALUE"""),52246.0)</f>
        <v>52246</v>
      </c>
    </row>
    <row r="1387">
      <c r="A1387" s="2">
        <f>IFERROR(__xludf.DUMMYFUNCTION("""COMPUTED_VALUE"""),43244.64583333333)</f>
        <v>43244.64583</v>
      </c>
      <c r="B1387" s="1">
        <f>IFERROR(__xludf.DUMMYFUNCTION("""COMPUTED_VALUE"""),7360.0)</f>
        <v>7360</v>
      </c>
      <c r="C1387" s="1">
        <f>IFERROR(__xludf.DUMMYFUNCTION("""COMPUTED_VALUE"""),7800.0)</f>
        <v>7800</v>
      </c>
      <c r="D1387" s="1">
        <f>IFERROR(__xludf.DUMMYFUNCTION("""COMPUTED_VALUE"""),7250.0)</f>
        <v>7250</v>
      </c>
      <c r="E1387" s="1">
        <f>IFERROR(__xludf.DUMMYFUNCTION("""COMPUTED_VALUE"""),7800.0)</f>
        <v>7800</v>
      </c>
      <c r="F1387" s="1">
        <f>IFERROR(__xludf.DUMMYFUNCTION("""COMPUTED_VALUE"""),185353.0)</f>
        <v>185353</v>
      </c>
    </row>
    <row r="1388">
      <c r="A1388" s="2">
        <f>IFERROR(__xludf.DUMMYFUNCTION("""COMPUTED_VALUE"""),43245.64583333333)</f>
        <v>43245.64583</v>
      </c>
      <c r="B1388" s="1">
        <f>IFERROR(__xludf.DUMMYFUNCTION("""COMPUTED_VALUE"""),7760.0)</f>
        <v>7760</v>
      </c>
      <c r="C1388" s="1">
        <f>IFERROR(__xludf.DUMMYFUNCTION("""COMPUTED_VALUE"""),7900.0)</f>
        <v>7900</v>
      </c>
      <c r="D1388" s="1">
        <f>IFERROR(__xludf.DUMMYFUNCTION("""COMPUTED_VALUE"""),7550.0)</f>
        <v>7550</v>
      </c>
      <c r="E1388" s="1">
        <f>IFERROR(__xludf.DUMMYFUNCTION("""COMPUTED_VALUE"""),7900.0)</f>
        <v>7900</v>
      </c>
      <c r="F1388" s="1">
        <f>IFERROR(__xludf.DUMMYFUNCTION("""COMPUTED_VALUE"""),130446.0)</f>
        <v>130446</v>
      </c>
    </row>
    <row r="1389">
      <c r="A1389" s="2">
        <f>IFERROR(__xludf.DUMMYFUNCTION("""COMPUTED_VALUE"""),43248.64583333333)</f>
        <v>43248.64583</v>
      </c>
      <c r="B1389" s="1">
        <f>IFERROR(__xludf.DUMMYFUNCTION("""COMPUTED_VALUE"""),7960.0)</f>
        <v>7960</v>
      </c>
      <c r="C1389" s="1">
        <f>IFERROR(__xludf.DUMMYFUNCTION("""COMPUTED_VALUE"""),7960.0)</f>
        <v>7960</v>
      </c>
      <c r="D1389" s="1">
        <f>IFERROR(__xludf.DUMMYFUNCTION("""COMPUTED_VALUE"""),7490.0)</f>
        <v>7490</v>
      </c>
      <c r="E1389" s="1">
        <f>IFERROR(__xludf.DUMMYFUNCTION("""COMPUTED_VALUE"""),7490.0)</f>
        <v>7490</v>
      </c>
      <c r="F1389" s="1">
        <f>IFERROR(__xludf.DUMMYFUNCTION("""COMPUTED_VALUE"""),126657.0)</f>
        <v>126657</v>
      </c>
    </row>
    <row r="1390">
      <c r="A1390" s="2">
        <f>IFERROR(__xludf.DUMMYFUNCTION("""COMPUTED_VALUE"""),43249.64583333333)</f>
        <v>43249.64583</v>
      </c>
      <c r="B1390" s="1">
        <f>IFERROR(__xludf.DUMMYFUNCTION("""COMPUTED_VALUE"""),7430.0)</f>
        <v>7430</v>
      </c>
      <c r="C1390" s="1">
        <f>IFERROR(__xludf.DUMMYFUNCTION("""COMPUTED_VALUE"""),7590.0)</f>
        <v>7590</v>
      </c>
      <c r="D1390" s="1">
        <f>IFERROR(__xludf.DUMMYFUNCTION("""COMPUTED_VALUE"""),7230.0)</f>
        <v>7230</v>
      </c>
      <c r="E1390" s="1">
        <f>IFERROR(__xludf.DUMMYFUNCTION("""COMPUTED_VALUE"""),7230.0)</f>
        <v>7230</v>
      </c>
      <c r="F1390" s="1">
        <f>IFERROR(__xludf.DUMMYFUNCTION("""COMPUTED_VALUE"""),93722.0)</f>
        <v>93722</v>
      </c>
    </row>
    <row r="1391">
      <c r="A1391" s="2">
        <f>IFERROR(__xludf.DUMMYFUNCTION("""COMPUTED_VALUE"""),43250.64583333333)</f>
        <v>43250.64583</v>
      </c>
      <c r="B1391" s="1">
        <f>IFERROR(__xludf.DUMMYFUNCTION("""COMPUTED_VALUE"""),7250.0)</f>
        <v>7250</v>
      </c>
      <c r="C1391" s="1">
        <f>IFERROR(__xludf.DUMMYFUNCTION("""COMPUTED_VALUE"""),7290.0)</f>
        <v>7290</v>
      </c>
      <c r="D1391" s="1">
        <f>IFERROR(__xludf.DUMMYFUNCTION("""COMPUTED_VALUE"""),6560.0)</f>
        <v>6560</v>
      </c>
      <c r="E1391" s="1">
        <f>IFERROR(__xludf.DUMMYFUNCTION("""COMPUTED_VALUE"""),6750.0)</f>
        <v>6750</v>
      </c>
      <c r="F1391" s="1">
        <f>IFERROR(__xludf.DUMMYFUNCTION("""COMPUTED_VALUE"""),278158.0)</f>
        <v>278158</v>
      </c>
    </row>
    <row r="1392">
      <c r="A1392" s="2">
        <f>IFERROR(__xludf.DUMMYFUNCTION("""COMPUTED_VALUE"""),43251.64583333333)</f>
        <v>43251.64583</v>
      </c>
      <c r="B1392" s="1">
        <f>IFERROR(__xludf.DUMMYFUNCTION("""COMPUTED_VALUE"""),6710.0)</f>
        <v>6710</v>
      </c>
      <c r="C1392" s="1">
        <f>IFERROR(__xludf.DUMMYFUNCTION("""COMPUTED_VALUE"""),6990.0)</f>
        <v>6990</v>
      </c>
      <c r="D1392" s="1">
        <f>IFERROR(__xludf.DUMMYFUNCTION("""COMPUTED_VALUE"""),6710.0)</f>
        <v>6710</v>
      </c>
      <c r="E1392" s="1">
        <f>IFERROR(__xludf.DUMMYFUNCTION("""COMPUTED_VALUE"""),6840.0)</f>
        <v>6840</v>
      </c>
      <c r="F1392" s="1">
        <f>IFERROR(__xludf.DUMMYFUNCTION("""COMPUTED_VALUE"""),83583.0)</f>
        <v>83583</v>
      </c>
    </row>
    <row r="1393">
      <c r="A1393" s="2">
        <f>IFERROR(__xludf.DUMMYFUNCTION("""COMPUTED_VALUE"""),43252.64583333333)</f>
        <v>43252.64583</v>
      </c>
      <c r="B1393" s="1">
        <f>IFERROR(__xludf.DUMMYFUNCTION("""COMPUTED_VALUE"""),6890.0)</f>
        <v>6890</v>
      </c>
      <c r="C1393" s="1">
        <f>IFERROR(__xludf.DUMMYFUNCTION("""COMPUTED_VALUE"""),7200.0)</f>
        <v>7200</v>
      </c>
      <c r="D1393" s="1">
        <f>IFERROR(__xludf.DUMMYFUNCTION("""COMPUTED_VALUE"""),6750.0)</f>
        <v>6750</v>
      </c>
      <c r="E1393" s="1">
        <f>IFERROR(__xludf.DUMMYFUNCTION("""COMPUTED_VALUE"""),7190.0)</f>
        <v>7190</v>
      </c>
      <c r="F1393" s="1">
        <f>IFERROR(__xludf.DUMMYFUNCTION("""COMPUTED_VALUE"""),89198.0)</f>
        <v>89198</v>
      </c>
    </row>
    <row r="1394">
      <c r="A1394" s="2">
        <f>IFERROR(__xludf.DUMMYFUNCTION("""COMPUTED_VALUE"""),43255.64583333333)</f>
        <v>43255.64583</v>
      </c>
      <c r="B1394" s="1">
        <f>IFERROR(__xludf.DUMMYFUNCTION("""COMPUTED_VALUE"""),7200.0)</f>
        <v>7200</v>
      </c>
      <c r="C1394" s="1">
        <f>IFERROR(__xludf.DUMMYFUNCTION("""COMPUTED_VALUE"""),7300.0)</f>
        <v>7300</v>
      </c>
      <c r="D1394" s="1">
        <f>IFERROR(__xludf.DUMMYFUNCTION("""COMPUTED_VALUE"""),6980.0)</f>
        <v>6980</v>
      </c>
      <c r="E1394" s="1">
        <f>IFERROR(__xludf.DUMMYFUNCTION("""COMPUTED_VALUE"""),7050.0)</f>
        <v>7050</v>
      </c>
      <c r="F1394" s="1">
        <f>IFERROR(__xludf.DUMMYFUNCTION("""COMPUTED_VALUE"""),88822.0)</f>
        <v>88822</v>
      </c>
    </row>
    <row r="1395">
      <c r="A1395" s="2">
        <f>IFERROR(__xludf.DUMMYFUNCTION("""COMPUTED_VALUE"""),43256.64583333333)</f>
        <v>43256.64583</v>
      </c>
      <c r="B1395" s="1">
        <f>IFERROR(__xludf.DUMMYFUNCTION("""COMPUTED_VALUE"""),7010.0)</f>
        <v>7010</v>
      </c>
      <c r="C1395" s="1">
        <f>IFERROR(__xludf.DUMMYFUNCTION("""COMPUTED_VALUE"""),7120.0)</f>
        <v>7120</v>
      </c>
      <c r="D1395" s="1">
        <f>IFERROR(__xludf.DUMMYFUNCTION("""COMPUTED_VALUE"""),7000.0)</f>
        <v>7000</v>
      </c>
      <c r="E1395" s="1">
        <f>IFERROR(__xludf.DUMMYFUNCTION("""COMPUTED_VALUE"""),7010.0)</f>
        <v>7010</v>
      </c>
      <c r="F1395" s="1">
        <f>IFERROR(__xludf.DUMMYFUNCTION("""COMPUTED_VALUE"""),72371.0)</f>
        <v>72371</v>
      </c>
    </row>
    <row r="1396">
      <c r="A1396" s="2">
        <f>IFERROR(__xludf.DUMMYFUNCTION("""COMPUTED_VALUE"""),43259.64583333333)</f>
        <v>43259.64583</v>
      </c>
      <c r="B1396" s="1">
        <f>IFERROR(__xludf.DUMMYFUNCTION("""COMPUTED_VALUE"""),8110.0)</f>
        <v>8110</v>
      </c>
      <c r="C1396" s="1">
        <f>IFERROR(__xludf.DUMMYFUNCTION("""COMPUTED_VALUE"""),8170.0)</f>
        <v>8170</v>
      </c>
      <c r="D1396" s="1">
        <f>IFERROR(__xludf.DUMMYFUNCTION("""COMPUTED_VALUE"""),7650.0)</f>
        <v>7650</v>
      </c>
      <c r="E1396" s="1">
        <f>IFERROR(__xludf.DUMMYFUNCTION("""COMPUTED_VALUE"""),7670.0)</f>
        <v>7670</v>
      </c>
      <c r="F1396" s="1">
        <f>IFERROR(__xludf.DUMMYFUNCTION("""COMPUTED_VALUE"""),746957.0)</f>
        <v>746957</v>
      </c>
    </row>
    <row r="1397">
      <c r="A1397" s="2">
        <f>IFERROR(__xludf.DUMMYFUNCTION("""COMPUTED_VALUE"""),43262.64583333333)</f>
        <v>43262.64583</v>
      </c>
      <c r="B1397" s="1">
        <f>IFERROR(__xludf.DUMMYFUNCTION("""COMPUTED_VALUE"""),7650.0)</f>
        <v>7650</v>
      </c>
      <c r="C1397" s="1">
        <f>IFERROR(__xludf.DUMMYFUNCTION("""COMPUTED_VALUE"""),7860.0)</f>
        <v>7860</v>
      </c>
      <c r="D1397" s="1">
        <f>IFERROR(__xludf.DUMMYFUNCTION("""COMPUTED_VALUE"""),7450.0)</f>
        <v>7450</v>
      </c>
      <c r="E1397" s="1">
        <f>IFERROR(__xludf.DUMMYFUNCTION("""COMPUTED_VALUE"""),7680.0)</f>
        <v>7680</v>
      </c>
      <c r="F1397" s="1">
        <f>IFERROR(__xludf.DUMMYFUNCTION("""COMPUTED_VALUE"""),225559.0)</f>
        <v>225559</v>
      </c>
    </row>
    <row r="1398">
      <c r="A1398" s="2">
        <f>IFERROR(__xludf.DUMMYFUNCTION("""COMPUTED_VALUE"""),43263.64583333333)</f>
        <v>43263.64583</v>
      </c>
      <c r="B1398" s="1">
        <f>IFERROR(__xludf.DUMMYFUNCTION("""COMPUTED_VALUE"""),7690.0)</f>
        <v>7690</v>
      </c>
      <c r="C1398" s="1">
        <f>IFERROR(__xludf.DUMMYFUNCTION("""COMPUTED_VALUE"""),7750.0)</f>
        <v>7750</v>
      </c>
      <c r="D1398" s="1">
        <f>IFERROR(__xludf.DUMMYFUNCTION("""COMPUTED_VALUE"""),7380.0)</f>
        <v>7380</v>
      </c>
      <c r="E1398" s="1">
        <f>IFERROR(__xludf.DUMMYFUNCTION("""COMPUTED_VALUE"""),7380.0)</f>
        <v>7380</v>
      </c>
      <c r="F1398" s="1">
        <f>IFERROR(__xludf.DUMMYFUNCTION("""COMPUTED_VALUE"""),186488.0)</f>
        <v>186488</v>
      </c>
    </row>
    <row r="1399">
      <c r="A1399" s="2">
        <f>IFERROR(__xludf.DUMMYFUNCTION("""COMPUTED_VALUE"""),43266.64583333333)</f>
        <v>43266.64583</v>
      </c>
      <c r="B1399" s="1">
        <f>IFERROR(__xludf.DUMMYFUNCTION("""COMPUTED_VALUE"""),7450.0)</f>
        <v>7450</v>
      </c>
      <c r="C1399" s="1">
        <f>IFERROR(__xludf.DUMMYFUNCTION("""COMPUTED_VALUE"""),7520.0)</f>
        <v>7520</v>
      </c>
      <c r="D1399" s="1">
        <f>IFERROR(__xludf.DUMMYFUNCTION("""COMPUTED_VALUE"""),7100.0)</f>
        <v>7100</v>
      </c>
      <c r="E1399" s="1">
        <f>IFERROR(__xludf.DUMMYFUNCTION("""COMPUTED_VALUE"""),7140.0)</f>
        <v>7140</v>
      </c>
      <c r="F1399" s="1">
        <f>IFERROR(__xludf.DUMMYFUNCTION("""COMPUTED_VALUE"""),109648.0)</f>
        <v>109648</v>
      </c>
    </row>
    <row r="1400">
      <c r="A1400" s="2">
        <f>IFERROR(__xludf.DUMMYFUNCTION("""COMPUTED_VALUE"""),43269.64583333333)</f>
        <v>43269.64583</v>
      </c>
      <c r="B1400" s="1">
        <f>IFERROR(__xludf.DUMMYFUNCTION("""COMPUTED_VALUE"""),7140.0)</f>
        <v>7140</v>
      </c>
      <c r="C1400" s="1">
        <f>IFERROR(__xludf.DUMMYFUNCTION("""COMPUTED_VALUE"""),7250.0)</f>
        <v>7250</v>
      </c>
      <c r="D1400" s="1">
        <f>IFERROR(__xludf.DUMMYFUNCTION("""COMPUTED_VALUE"""),6840.0)</f>
        <v>6840</v>
      </c>
      <c r="E1400" s="1">
        <f>IFERROR(__xludf.DUMMYFUNCTION("""COMPUTED_VALUE"""),6900.0)</f>
        <v>6900</v>
      </c>
      <c r="F1400" s="1">
        <f>IFERROR(__xludf.DUMMYFUNCTION("""COMPUTED_VALUE"""),80764.0)</f>
        <v>80764</v>
      </c>
    </row>
    <row r="1401">
      <c r="A1401" s="2">
        <f>IFERROR(__xludf.DUMMYFUNCTION("""COMPUTED_VALUE"""),43270.64583333333)</f>
        <v>43270.64583</v>
      </c>
      <c r="B1401" s="1">
        <f>IFERROR(__xludf.DUMMYFUNCTION("""COMPUTED_VALUE"""),7010.0)</f>
        <v>7010</v>
      </c>
      <c r="C1401" s="1">
        <f>IFERROR(__xludf.DUMMYFUNCTION("""COMPUTED_VALUE"""),7090.0)</f>
        <v>7090</v>
      </c>
      <c r="D1401" s="1">
        <f>IFERROR(__xludf.DUMMYFUNCTION("""COMPUTED_VALUE"""),6500.0)</f>
        <v>6500</v>
      </c>
      <c r="E1401" s="1">
        <f>IFERROR(__xludf.DUMMYFUNCTION("""COMPUTED_VALUE"""),6590.0)</f>
        <v>6590</v>
      </c>
      <c r="F1401" s="1">
        <f>IFERROR(__xludf.DUMMYFUNCTION("""COMPUTED_VALUE"""),146033.0)</f>
        <v>146033</v>
      </c>
    </row>
    <row r="1402">
      <c r="A1402" s="2">
        <f>IFERROR(__xludf.DUMMYFUNCTION("""COMPUTED_VALUE"""),43271.64583333333)</f>
        <v>43271.64583</v>
      </c>
      <c r="B1402" s="1">
        <f>IFERROR(__xludf.DUMMYFUNCTION("""COMPUTED_VALUE"""),6510.0)</f>
        <v>6510</v>
      </c>
      <c r="C1402" s="1">
        <f>IFERROR(__xludf.DUMMYFUNCTION("""COMPUTED_VALUE"""),6900.0)</f>
        <v>6900</v>
      </c>
      <c r="D1402" s="1">
        <f>IFERROR(__xludf.DUMMYFUNCTION("""COMPUTED_VALUE"""),6400.0)</f>
        <v>6400</v>
      </c>
      <c r="E1402" s="1">
        <f>IFERROR(__xludf.DUMMYFUNCTION("""COMPUTED_VALUE"""),6710.0)</f>
        <v>6710</v>
      </c>
      <c r="F1402" s="1">
        <f>IFERROR(__xludf.DUMMYFUNCTION("""COMPUTED_VALUE"""),92467.0)</f>
        <v>92467</v>
      </c>
    </row>
    <row r="1403">
      <c r="A1403" s="2">
        <f>IFERROR(__xludf.DUMMYFUNCTION("""COMPUTED_VALUE"""),43272.64583333333)</f>
        <v>43272.64583</v>
      </c>
      <c r="B1403" s="1">
        <f>IFERROR(__xludf.DUMMYFUNCTION("""COMPUTED_VALUE"""),6710.0)</f>
        <v>6710</v>
      </c>
      <c r="C1403" s="1">
        <f>IFERROR(__xludf.DUMMYFUNCTION("""COMPUTED_VALUE"""),6830.0)</f>
        <v>6830</v>
      </c>
      <c r="D1403" s="1">
        <f>IFERROR(__xludf.DUMMYFUNCTION("""COMPUTED_VALUE"""),6530.0)</f>
        <v>6530</v>
      </c>
      <c r="E1403" s="1">
        <f>IFERROR(__xludf.DUMMYFUNCTION("""COMPUTED_VALUE"""),6690.0)</f>
        <v>6690</v>
      </c>
      <c r="F1403" s="1">
        <f>IFERROR(__xludf.DUMMYFUNCTION("""COMPUTED_VALUE"""),62260.0)</f>
        <v>62260</v>
      </c>
    </row>
    <row r="1404">
      <c r="A1404" s="2">
        <f>IFERROR(__xludf.DUMMYFUNCTION("""COMPUTED_VALUE"""),43273.64583333333)</f>
        <v>43273.64583</v>
      </c>
      <c r="B1404" s="1">
        <f>IFERROR(__xludf.DUMMYFUNCTION("""COMPUTED_VALUE"""),6690.0)</f>
        <v>6690</v>
      </c>
      <c r="C1404" s="1">
        <f>IFERROR(__xludf.DUMMYFUNCTION("""COMPUTED_VALUE"""),6780.0)</f>
        <v>6780</v>
      </c>
      <c r="D1404" s="1">
        <f>IFERROR(__xludf.DUMMYFUNCTION("""COMPUTED_VALUE"""),6450.0)</f>
        <v>6450</v>
      </c>
      <c r="E1404" s="1">
        <f>IFERROR(__xludf.DUMMYFUNCTION("""COMPUTED_VALUE"""),6510.0)</f>
        <v>6510</v>
      </c>
      <c r="F1404" s="1">
        <f>IFERROR(__xludf.DUMMYFUNCTION("""COMPUTED_VALUE"""),47733.0)</f>
        <v>47733</v>
      </c>
    </row>
    <row r="1405">
      <c r="A1405" s="2">
        <f>IFERROR(__xludf.DUMMYFUNCTION("""COMPUTED_VALUE"""),43276.64583333333)</f>
        <v>43276.64583</v>
      </c>
      <c r="B1405" s="1">
        <f>IFERROR(__xludf.DUMMYFUNCTION("""COMPUTED_VALUE"""),6510.0)</f>
        <v>6510</v>
      </c>
      <c r="C1405" s="1">
        <f>IFERROR(__xludf.DUMMYFUNCTION("""COMPUTED_VALUE"""),6700.0)</f>
        <v>6700</v>
      </c>
      <c r="D1405" s="1">
        <f>IFERROR(__xludf.DUMMYFUNCTION("""COMPUTED_VALUE"""),6380.0)</f>
        <v>6380</v>
      </c>
      <c r="E1405" s="1">
        <f>IFERROR(__xludf.DUMMYFUNCTION("""COMPUTED_VALUE"""),6650.0)</f>
        <v>6650</v>
      </c>
      <c r="F1405" s="1">
        <f>IFERROR(__xludf.DUMMYFUNCTION("""COMPUTED_VALUE"""),63876.0)</f>
        <v>63876</v>
      </c>
    </row>
    <row r="1406">
      <c r="A1406" s="2">
        <f>IFERROR(__xludf.DUMMYFUNCTION("""COMPUTED_VALUE"""),43277.64583333333)</f>
        <v>43277.64583</v>
      </c>
      <c r="B1406" s="1">
        <f>IFERROR(__xludf.DUMMYFUNCTION("""COMPUTED_VALUE"""),6530.0)</f>
        <v>6530</v>
      </c>
      <c r="C1406" s="1">
        <f>IFERROR(__xludf.DUMMYFUNCTION("""COMPUTED_VALUE"""),6650.0)</f>
        <v>6650</v>
      </c>
      <c r="D1406" s="1">
        <f>IFERROR(__xludf.DUMMYFUNCTION("""COMPUTED_VALUE"""),6440.0)</f>
        <v>6440</v>
      </c>
      <c r="E1406" s="1">
        <f>IFERROR(__xludf.DUMMYFUNCTION("""COMPUTED_VALUE"""),6560.0)</f>
        <v>6560</v>
      </c>
      <c r="F1406" s="1">
        <f>IFERROR(__xludf.DUMMYFUNCTION("""COMPUTED_VALUE"""),56777.0)</f>
        <v>56777</v>
      </c>
    </row>
    <row r="1407">
      <c r="A1407" s="2">
        <f>IFERROR(__xludf.DUMMYFUNCTION("""COMPUTED_VALUE"""),43278.64583333333)</f>
        <v>43278.64583</v>
      </c>
      <c r="B1407" s="1">
        <f>IFERROR(__xludf.DUMMYFUNCTION("""COMPUTED_VALUE"""),6560.0)</f>
        <v>6560</v>
      </c>
      <c r="C1407" s="1">
        <f>IFERROR(__xludf.DUMMYFUNCTION("""COMPUTED_VALUE"""),6630.0)</f>
        <v>6630</v>
      </c>
      <c r="D1407" s="1">
        <f>IFERROR(__xludf.DUMMYFUNCTION("""COMPUTED_VALUE"""),6500.0)</f>
        <v>6500</v>
      </c>
      <c r="E1407" s="1">
        <f>IFERROR(__xludf.DUMMYFUNCTION("""COMPUTED_VALUE"""),6500.0)</f>
        <v>6500</v>
      </c>
      <c r="F1407" s="1">
        <f>IFERROR(__xludf.DUMMYFUNCTION("""COMPUTED_VALUE"""),37805.0)</f>
        <v>37805</v>
      </c>
    </row>
    <row r="1408">
      <c r="A1408" s="2">
        <f>IFERROR(__xludf.DUMMYFUNCTION("""COMPUTED_VALUE"""),43279.64583333333)</f>
        <v>43279.64583</v>
      </c>
      <c r="B1408" s="1">
        <f>IFERROR(__xludf.DUMMYFUNCTION("""COMPUTED_VALUE"""),6420.0)</f>
        <v>6420</v>
      </c>
      <c r="C1408" s="1">
        <f>IFERROR(__xludf.DUMMYFUNCTION("""COMPUTED_VALUE"""),6590.0)</f>
        <v>6590</v>
      </c>
      <c r="D1408" s="1">
        <f>IFERROR(__xludf.DUMMYFUNCTION("""COMPUTED_VALUE"""),6290.0)</f>
        <v>6290</v>
      </c>
      <c r="E1408" s="1">
        <f>IFERROR(__xludf.DUMMYFUNCTION("""COMPUTED_VALUE"""),6300.0)</f>
        <v>6300</v>
      </c>
      <c r="F1408" s="1">
        <f>IFERROR(__xludf.DUMMYFUNCTION("""COMPUTED_VALUE"""),55358.0)</f>
        <v>55358</v>
      </c>
    </row>
    <row r="1409">
      <c r="A1409" s="2">
        <f>IFERROR(__xludf.DUMMYFUNCTION("""COMPUTED_VALUE"""),43280.64583333333)</f>
        <v>43280.64583</v>
      </c>
      <c r="B1409" s="1">
        <f>IFERROR(__xludf.DUMMYFUNCTION("""COMPUTED_VALUE"""),6210.0)</f>
        <v>6210</v>
      </c>
      <c r="C1409" s="1">
        <f>IFERROR(__xludf.DUMMYFUNCTION("""COMPUTED_VALUE"""),6450.0)</f>
        <v>6450</v>
      </c>
      <c r="D1409" s="1">
        <f>IFERROR(__xludf.DUMMYFUNCTION("""COMPUTED_VALUE"""),5970.0)</f>
        <v>5970</v>
      </c>
      <c r="E1409" s="1">
        <f>IFERROR(__xludf.DUMMYFUNCTION("""COMPUTED_VALUE"""),6140.0)</f>
        <v>6140</v>
      </c>
      <c r="F1409" s="1">
        <f>IFERROR(__xludf.DUMMYFUNCTION("""COMPUTED_VALUE"""),116977.0)</f>
        <v>116977</v>
      </c>
    </row>
    <row r="1410">
      <c r="A1410" s="2">
        <f>IFERROR(__xludf.DUMMYFUNCTION("""COMPUTED_VALUE"""),43283.64583333333)</f>
        <v>43283.64583</v>
      </c>
      <c r="B1410" s="1">
        <f>IFERROR(__xludf.DUMMYFUNCTION("""COMPUTED_VALUE"""),6150.0)</f>
        <v>6150</v>
      </c>
      <c r="C1410" s="1">
        <f>IFERROR(__xludf.DUMMYFUNCTION("""COMPUTED_VALUE"""),6270.0)</f>
        <v>6270</v>
      </c>
      <c r="D1410" s="1">
        <f>IFERROR(__xludf.DUMMYFUNCTION("""COMPUTED_VALUE"""),6010.0)</f>
        <v>6010</v>
      </c>
      <c r="E1410" s="1">
        <f>IFERROR(__xludf.DUMMYFUNCTION("""COMPUTED_VALUE"""),6020.0)</f>
        <v>6020</v>
      </c>
      <c r="F1410" s="1">
        <f>IFERROR(__xludf.DUMMYFUNCTION("""COMPUTED_VALUE"""),38874.0)</f>
        <v>38874</v>
      </c>
    </row>
    <row r="1411">
      <c r="A1411" s="2">
        <f>IFERROR(__xludf.DUMMYFUNCTION("""COMPUTED_VALUE"""),43284.64583333333)</f>
        <v>43284.64583</v>
      </c>
      <c r="B1411" s="1">
        <f>IFERROR(__xludf.DUMMYFUNCTION("""COMPUTED_VALUE"""),5920.0)</f>
        <v>5920</v>
      </c>
      <c r="C1411" s="1">
        <f>IFERROR(__xludf.DUMMYFUNCTION("""COMPUTED_VALUE"""),6070.0)</f>
        <v>6070</v>
      </c>
      <c r="D1411" s="1">
        <f>IFERROR(__xludf.DUMMYFUNCTION("""COMPUTED_VALUE"""),5810.0)</f>
        <v>5810</v>
      </c>
      <c r="E1411" s="1">
        <f>IFERROR(__xludf.DUMMYFUNCTION("""COMPUTED_VALUE"""),6020.0)</f>
        <v>6020</v>
      </c>
      <c r="F1411" s="1">
        <f>IFERROR(__xludf.DUMMYFUNCTION("""COMPUTED_VALUE"""),116258.0)</f>
        <v>116258</v>
      </c>
    </row>
    <row r="1412">
      <c r="A1412" s="2">
        <f>IFERROR(__xludf.DUMMYFUNCTION("""COMPUTED_VALUE"""),43285.64583333333)</f>
        <v>43285.64583</v>
      </c>
      <c r="B1412" s="1">
        <f>IFERROR(__xludf.DUMMYFUNCTION("""COMPUTED_VALUE"""),5920.0)</f>
        <v>5920</v>
      </c>
      <c r="C1412" s="1">
        <f>IFERROR(__xludf.DUMMYFUNCTION("""COMPUTED_VALUE"""),6350.0)</f>
        <v>6350</v>
      </c>
      <c r="D1412" s="1">
        <f>IFERROR(__xludf.DUMMYFUNCTION("""COMPUTED_VALUE"""),5920.0)</f>
        <v>5920</v>
      </c>
      <c r="E1412" s="1">
        <f>IFERROR(__xludf.DUMMYFUNCTION("""COMPUTED_VALUE"""),6310.0)</f>
        <v>6310</v>
      </c>
      <c r="F1412" s="1">
        <f>IFERROR(__xludf.DUMMYFUNCTION("""COMPUTED_VALUE"""),57321.0)</f>
        <v>57321</v>
      </c>
    </row>
    <row r="1413">
      <c r="A1413" s="2">
        <f>IFERROR(__xludf.DUMMYFUNCTION("""COMPUTED_VALUE"""),43286.64583333333)</f>
        <v>43286.64583</v>
      </c>
      <c r="B1413" s="1">
        <f>IFERROR(__xludf.DUMMYFUNCTION("""COMPUTED_VALUE"""),6320.0)</f>
        <v>6320</v>
      </c>
      <c r="C1413" s="1">
        <f>IFERROR(__xludf.DUMMYFUNCTION("""COMPUTED_VALUE"""),6400.0)</f>
        <v>6400</v>
      </c>
      <c r="D1413" s="1">
        <f>IFERROR(__xludf.DUMMYFUNCTION("""COMPUTED_VALUE"""),6170.0)</f>
        <v>6170</v>
      </c>
      <c r="E1413" s="1">
        <f>IFERROR(__xludf.DUMMYFUNCTION("""COMPUTED_VALUE"""),6370.0)</f>
        <v>6370</v>
      </c>
      <c r="F1413" s="1">
        <f>IFERROR(__xludf.DUMMYFUNCTION("""COMPUTED_VALUE"""),30463.0)</f>
        <v>30463</v>
      </c>
    </row>
    <row r="1414">
      <c r="A1414" s="2">
        <f>IFERROR(__xludf.DUMMYFUNCTION("""COMPUTED_VALUE"""),43287.64583333333)</f>
        <v>43287.64583</v>
      </c>
      <c r="B1414" s="1">
        <f>IFERROR(__xludf.DUMMYFUNCTION("""COMPUTED_VALUE"""),6250.0)</f>
        <v>6250</v>
      </c>
      <c r="C1414" s="1">
        <f>IFERROR(__xludf.DUMMYFUNCTION("""COMPUTED_VALUE"""),6530.0)</f>
        <v>6530</v>
      </c>
      <c r="D1414" s="1">
        <f>IFERROR(__xludf.DUMMYFUNCTION("""COMPUTED_VALUE"""),6250.0)</f>
        <v>6250</v>
      </c>
      <c r="E1414" s="1">
        <f>IFERROR(__xludf.DUMMYFUNCTION("""COMPUTED_VALUE"""),6420.0)</f>
        <v>6420</v>
      </c>
      <c r="F1414" s="1">
        <f>IFERROR(__xludf.DUMMYFUNCTION("""COMPUTED_VALUE"""),83037.0)</f>
        <v>83037</v>
      </c>
    </row>
    <row r="1415">
      <c r="A1415" s="2">
        <f>IFERROR(__xludf.DUMMYFUNCTION("""COMPUTED_VALUE"""),43290.64583333333)</f>
        <v>43290.64583</v>
      </c>
      <c r="B1415" s="1">
        <f>IFERROR(__xludf.DUMMYFUNCTION("""COMPUTED_VALUE"""),6400.0)</f>
        <v>6400</v>
      </c>
      <c r="C1415" s="1">
        <f>IFERROR(__xludf.DUMMYFUNCTION("""COMPUTED_VALUE"""),6600.0)</f>
        <v>6600</v>
      </c>
      <c r="D1415" s="1">
        <f>IFERROR(__xludf.DUMMYFUNCTION("""COMPUTED_VALUE"""),6350.0)</f>
        <v>6350</v>
      </c>
      <c r="E1415" s="1">
        <f>IFERROR(__xludf.DUMMYFUNCTION("""COMPUTED_VALUE"""),6480.0)</f>
        <v>6480</v>
      </c>
      <c r="F1415" s="1">
        <f>IFERROR(__xludf.DUMMYFUNCTION("""COMPUTED_VALUE"""),59292.0)</f>
        <v>59292</v>
      </c>
    </row>
    <row r="1416">
      <c r="A1416" s="2">
        <f>IFERROR(__xludf.DUMMYFUNCTION("""COMPUTED_VALUE"""),43291.64583333333)</f>
        <v>43291.64583</v>
      </c>
      <c r="B1416" s="1">
        <f>IFERROR(__xludf.DUMMYFUNCTION("""COMPUTED_VALUE"""),6500.0)</f>
        <v>6500</v>
      </c>
      <c r="C1416" s="1">
        <f>IFERROR(__xludf.DUMMYFUNCTION("""COMPUTED_VALUE"""),6630.0)</f>
        <v>6630</v>
      </c>
      <c r="D1416" s="1">
        <f>IFERROR(__xludf.DUMMYFUNCTION("""COMPUTED_VALUE"""),6430.0)</f>
        <v>6430</v>
      </c>
      <c r="E1416" s="1">
        <f>IFERROR(__xludf.DUMMYFUNCTION("""COMPUTED_VALUE"""),6620.0)</f>
        <v>6620</v>
      </c>
      <c r="F1416" s="1">
        <f>IFERROR(__xludf.DUMMYFUNCTION("""COMPUTED_VALUE"""),55572.0)</f>
        <v>55572</v>
      </c>
    </row>
    <row r="1417">
      <c r="A1417" s="2">
        <f>IFERROR(__xludf.DUMMYFUNCTION("""COMPUTED_VALUE"""),43292.64583333333)</f>
        <v>43292.64583</v>
      </c>
      <c r="B1417" s="1">
        <f>IFERROR(__xludf.DUMMYFUNCTION("""COMPUTED_VALUE"""),6600.0)</f>
        <v>6600</v>
      </c>
      <c r="C1417" s="1">
        <f>IFERROR(__xludf.DUMMYFUNCTION("""COMPUTED_VALUE"""),6690.0)</f>
        <v>6690</v>
      </c>
      <c r="D1417" s="1">
        <f>IFERROR(__xludf.DUMMYFUNCTION("""COMPUTED_VALUE"""),6440.0)</f>
        <v>6440</v>
      </c>
      <c r="E1417" s="1">
        <f>IFERROR(__xludf.DUMMYFUNCTION("""COMPUTED_VALUE"""),6440.0)</f>
        <v>6440</v>
      </c>
      <c r="F1417" s="1">
        <f>IFERROR(__xludf.DUMMYFUNCTION("""COMPUTED_VALUE"""),44016.0)</f>
        <v>44016</v>
      </c>
    </row>
    <row r="1418">
      <c r="A1418" s="2">
        <f>IFERROR(__xludf.DUMMYFUNCTION("""COMPUTED_VALUE"""),43293.64583333333)</f>
        <v>43293.64583</v>
      </c>
      <c r="B1418" s="1">
        <f>IFERROR(__xludf.DUMMYFUNCTION("""COMPUTED_VALUE"""),6360.0)</f>
        <v>6360</v>
      </c>
      <c r="C1418" s="1">
        <f>IFERROR(__xludf.DUMMYFUNCTION("""COMPUTED_VALUE"""),6480.0)</f>
        <v>6480</v>
      </c>
      <c r="D1418" s="1">
        <f>IFERROR(__xludf.DUMMYFUNCTION("""COMPUTED_VALUE"""),6310.0)</f>
        <v>6310</v>
      </c>
      <c r="E1418" s="1">
        <f>IFERROR(__xludf.DUMMYFUNCTION("""COMPUTED_VALUE"""),6370.0)</f>
        <v>6370</v>
      </c>
      <c r="F1418" s="1">
        <f>IFERROR(__xludf.DUMMYFUNCTION("""COMPUTED_VALUE"""),29087.0)</f>
        <v>29087</v>
      </c>
    </row>
    <row r="1419">
      <c r="A1419" s="2">
        <f>IFERROR(__xludf.DUMMYFUNCTION("""COMPUTED_VALUE"""),43294.64583333333)</f>
        <v>43294.64583</v>
      </c>
      <c r="B1419" s="1">
        <f>IFERROR(__xludf.DUMMYFUNCTION("""COMPUTED_VALUE"""),6400.0)</f>
        <v>6400</v>
      </c>
      <c r="C1419" s="1">
        <f>IFERROR(__xludf.DUMMYFUNCTION("""COMPUTED_VALUE"""),6580.0)</f>
        <v>6580</v>
      </c>
      <c r="D1419" s="1">
        <f>IFERROR(__xludf.DUMMYFUNCTION("""COMPUTED_VALUE"""),6330.0)</f>
        <v>6330</v>
      </c>
      <c r="E1419" s="1">
        <f>IFERROR(__xludf.DUMMYFUNCTION("""COMPUTED_VALUE"""),6510.0)</f>
        <v>6510</v>
      </c>
      <c r="F1419" s="1">
        <f>IFERROR(__xludf.DUMMYFUNCTION("""COMPUTED_VALUE"""),30504.0)</f>
        <v>30504</v>
      </c>
    </row>
    <row r="1420">
      <c r="A1420" s="2">
        <f>IFERROR(__xludf.DUMMYFUNCTION("""COMPUTED_VALUE"""),43297.64583333333)</f>
        <v>43297.64583</v>
      </c>
      <c r="B1420" s="1">
        <f>IFERROR(__xludf.DUMMYFUNCTION("""COMPUTED_VALUE"""),6510.0)</f>
        <v>6510</v>
      </c>
      <c r="C1420" s="1">
        <f>IFERROR(__xludf.DUMMYFUNCTION("""COMPUTED_VALUE"""),7010.0)</f>
        <v>7010</v>
      </c>
      <c r="D1420" s="1">
        <f>IFERROR(__xludf.DUMMYFUNCTION("""COMPUTED_VALUE"""),6450.0)</f>
        <v>6450</v>
      </c>
      <c r="E1420" s="1">
        <f>IFERROR(__xludf.DUMMYFUNCTION("""COMPUTED_VALUE"""),6870.0)</f>
        <v>6870</v>
      </c>
      <c r="F1420" s="1">
        <f>IFERROR(__xludf.DUMMYFUNCTION("""COMPUTED_VALUE"""),130225.0)</f>
        <v>130225</v>
      </c>
    </row>
    <row r="1421">
      <c r="A1421" s="2">
        <f>IFERROR(__xludf.DUMMYFUNCTION("""COMPUTED_VALUE"""),43298.64583333333)</f>
        <v>43298.64583</v>
      </c>
      <c r="B1421" s="1">
        <f>IFERROR(__xludf.DUMMYFUNCTION("""COMPUTED_VALUE"""),6740.0)</f>
        <v>6740</v>
      </c>
      <c r="C1421" s="1">
        <f>IFERROR(__xludf.DUMMYFUNCTION("""COMPUTED_VALUE"""),6870.0)</f>
        <v>6870</v>
      </c>
      <c r="D1421" s="1">
        <f>IFERROR(__xludf.DUMMYFUNCTION("""COMPUTED_VALUE"""),6630.0)</f>
        <v>6630</v>
      </c>
      <c r="E1421" s="1">
        <f>IFERROR(__xludf.DUMMYFUNCTION("""COMPUTED_VALUE"""),6640.0)</f>
        <v>6640</v>
      </c>
      <c r="F1421" s="1">
        <f>IFERROR(__xludf.DUMMYFUNCTION("""COMPUTED_VALUE"""),37522.0)</f>
        <v>37522</v>
      </c>
    </row>
    <row r="1422">
      <c r="A1422" s="2">
        <f>IFERROR(__xludf.DUMMYFUNCTION("""COMPUTED_VALUE"""),43299.64583333333)</f>
        <v>43299.64583</v>
      </c>
      <c r="B1422" s="1">
        <f>IFERROR(__xludf.DUMMYFUNCTION("""COMPUTED_VALUE"""),6720.0)</f>
        <v>6720</v>
      </c>
      <c r="C1422" s="1">
        <f>IFERROR(__xludf.DUMMYFUNCTION("""COMPUTED_VALUE"""),6790.0)</f>
        <v>6790</v>
      </c>
      <c r="D1422" s="1">
        <f>IFERROR(__xludf.DUMMYFUNCTION("""COMPUTED_VALUE"""),6270.0)</f>
        <v>6270</v>
      </c>
      <c r="E1422" s="1">
        <f>IFERROR(__xludf.DUMMYFUNCTION("""COMPUTED_VALUE"""),6450.0)</f>
        <v>6450</v>
      </c>
      <c r="F1422" s="1">
        <f>IFERROR(__xludf.DUMMYFUNCTION("""COMPUTED_VALUE"""),51397.0)</f>
        <v>51397</v>
      </c>
    </row>
    <row r="1423">
      <c r="A1423" s="2">
        <f>IFERROR(__xludf.DUMMYFUNCTION("""COMPUTED_VALUE"""),43300.64583333333)</f>
        <v>43300.64583</v>
      </c>
      <c r="B1423" s="1">
        <f>IFERROR(__xludf.DUMMYFUNCTION("""COMPUTED_VALUE"""),6500.0)</f>
        <v>6500</v>
      </c>
      <c r="C1423" s="1">
        <f>IFERROR(__xludf.DUMMYFUNCTION("""COMPUTED_VALUE"""),6640.0)</f>
        <v>6640</v>
      </c>
      <c r="D1423" s="1">
        <f>IFERROR(__xludf.DUMMYFUNCTION("""COMPUTED_VALUE"""),6310.0)</f>
        <v>6310</v>
      </c>
      <c r="E1423" s="1">
        <f>IFERROR(__xludf.DUMMYFUNCTION("""COMPUTED_VALUE"""),6480.0)</f>
        <v>6480</v>
      </c>
      <c r="F1423" s="1">
        <f>IFERROR(__xludf.DUMMYFUNCTION("""COMPUTED_VALUE"""),36859.0)</f>
        <v>36859</v>
      </c>
    </row>
    <row r="1424">
      <c r="A1424" s="2">
        <f>IFERROR(__xludf.DUMMYFUNCTION("""COMPUTED_VALUE"""),43301.64583333333)</f>
        <v>43301.64583</v>
      </c>
      <c r="B1424" s="1">
        <f>IFERROR(__xludf.DUMMYFUNCTION("""COMPUTED_VALUE"""),6590.0)</f>
        <v>6590</v>
      </c>
      <c r="C1424" s="1">
        <f>IFERROR(__xludf.DUMMYFUNCTION("""COMPUTED_VALUE"""),6760.0)</f>
        <v>6760</v>
      </c>
      <c r="D1424" s="1">
        <f>IFERROR(__xludf.DUMMYFUNCTION("""COMPUTED_VALUE"""),6430.0)</f>
        <v>6430</v>
      </c>
      <c r="E1424" s="1">
        <f>IFERROR(__xludf.DUMMYFUNCTION("""COMPUTED_VALUE"""),6530.0)</f>
        <v>6530</v>
      </c>
      <c r="F1424" s="1">
        <f>IFERROR(__xludf.DUMMYFUNCTION("""COMPUTED_VALUE"""),66193.0)</f>
        <v>66193</v>
      </c>
    </row>
    <row r="1425">
      <c r="A1425" s="2">
        <f>IFERROR(__xludf.DUMMYFUNCTION("""COMPUTED_VALUE"""),43304.64583333333)</f>
        <v>43304.64583</v>
      </c>
      <c r="B1425" s="1">
        <f>IFERROR(__xludf.DUMMYFUNCTION("""COMPUTED_VALUE"""),6530.0)</f>
        <v>6530</v>
      </c>
      <c r="C1425" s="1">
        <f>IFERROR(__xludf.DUMMYFUNCTION("""COMPUTED_VALUE"""),6530.0)</f>
        <v>6530</v>
      </c>
      <c r="D1425" s="1">
        <f>IFERROR(__xludf.DUMMYFUNCTION("""COMPUTED_VALUE"""),6080.0)</f>
        <v>6080</v>
      </c>
      <c r="E1425" s="1">
        <f>IFERROR(__xludf.DUMMYFUNCTION("""COMPUTED_VALUE"""),6190.0)</f>
        <v>6190</v>
      </c>
      <c r="F1425" s="1">
        <f>IFERROR(__xludf.DUMMYFUNCTION("""COMPUTED_VALUE"""),76278.0)</f>
        <v>76278</v>
      </c>
    </row>
    <row r="1426">
      <c r="A1426" s="2">
        <f>IFERROR(__xludf.DUMMYFUNCTION("""COMPUTED_VALUE"""),43305.64583333333)</f>
        <v>43305.64583</v>
      </c>
      <c r="B1426" s="1">
        <f>IFERROR(__xludf.DUMMYFUNCTION("""COMPUTED_VALUE"""),6110.0)</f>
        <v>6110</v>
      </c>
      <c r="C1426" s="1">
        <f>IFERROR(__xludf.DUMMYFUNCTION("""COMPUTED_VALUE"""),6250.0)</f>
        <v>6250</v>
      </c>
      <c r="D1426" s="1">
        <f>IFERROR(__xludf.DUMMYFUNCTION("""COMPUTED_VALUE"""),6000.0)</f>
        <v>6000</v>
      </c>
      <c r="E1426" s="1">
        <f>IFERROR(__xludf.DUMMYFUNCTION("""COMPUTED_VALUE"""),6150.0)</f>
        <v>6150</v>
      </c>
      <c r="F1426" s="1">
        <f>IFERROR(__xludf.DUMMYFUNCTION("""COMPUTED_VALUE"""),40497.0)</f>
        <v>40497</v>
      </c>
    </row>
    <row r="1427">
      <c r="A1427" s="2">
        <f>IFERROR(__xludf.DUMMYFUNCTION("""COMPUTED_VALUE"""),43306.64583333333)</f>
        <v>43306.64583</v>
      </c>
      <c r="B1427" s="1">
        <f>IFERROR(__xludf.DUMMYFUNCTION("""COMPUTED_VALUE"""),6160.0)</f>
        <v>6160</v>
      </c>
      <c r="C1427" s="1">
        <f>IFERROR(__xludf.DUMMYFUNCTION("""COMPUTED_VALUE"""),6180.0)</f>
        <v>6180</v>
      </c>
      <c r="D1427" s="1">
        <f>IFERROR(__xludf.DUMMYFUNCTION("""COMPUTED_VALUE"""),5850.0)</f>
        <v>5850</v>
      </c>
      <c r="E1427" s="1">
        <f>IFERROR(__xludf.DUMMYFUNCTION("""COMPUTED_VALUE"""),6050.0)</f>
        <v>6050</v>
      </c>
      <c r="F1427" s="1">
        <f>IFERROR(__xludf.DUMMYFUNCTION("""COMPUTED_VALUE"""),90301.0)</f>
        <v>90301</v>
      </c>
    </row>
    <row r="1428">
      <c r="A1428" s="2">
        <f>IFERROR(__xludf.DUMMYFUNCTION("""COMPUTED_VALUE"""),43307.64583333333)</f>
        <v>43307.64583</v>
      </c>
      <c r="B1428" s="1">
        <f>IFERROR(__xludf.DUMMYFUNCTION("""COMPUTED_VALUE"""),6050.0)</f>
        <v>6050</v>
      </c>
      <c r="C1428" s="1">
        <f>IFERROR(__xludf.DUMMYFUNCTION("""COMPUTED_VALUE"""),6130.0)</f>
        <v>6130</v>
      </c>
      <c r="D1428" s="1">
        <f>IFERROR(__xludf.DUMMYFUNCTION("""COMPUTED_VALUE"""),5910.0)</f>
        <v>5910</v>
      </c>
      <c r="E1428" s="1">
        <f>IFERROR(__xludf.DUMMYFUNCTION("""COMPUTED_VALUE"""),6030.0)</f>
        <v>6030</v>
      </c>
      <c r="F1428" s="1">
        <f>IFERROR(__xludf.DUMMYFUNCTION("""COMPUTED_VALUE"""),33848.0)</f>
        <v>33848</v>
      </c>
    </row>
    <row r="1429">
      <c r="A1429" s="2">
        <f>IFERROR(__xludf.DUMMYFUNCTION("""COMPUTED_VALUE"""),43308.64583333333)</f>
        <v>43308.64583</v>
      </c>
      <c r="B1429" s="1">
        <f>IFERROR(__xludf.DUMMYFUNCTION("""COMPUTED_VALUE"""),6050.0)</f>
        <v>6050</v>
      </c>
      <c r="C1429" s="1">
        <f>IFERROR(__xludf.DUMMYFUNCTION("""COMPUTED_VALUE"""),6090.0)</f>
        <v>6090</v>
      </c>
      <c r="D1429" s="1">
        <f>IFERROR(__xludf.DUMMYFUNCTION("""COMPUTED_VALUE"""),5900.0)</f>
        <v>5900</v>
      </c>
      <c r="E1429" s="1">
        <f>IFERROR(__xludf.DUMMYFUNCTION("""COMPUTED_VALUE"""),5940.0)</f>
        <v>5940</v>
      </c>
      <c r="F1429" s="1">
        <f>IFERROR(__xludf.DUMMYFUNCTION("""COMPUTED_VALUE"""),31329.0)</f>
        <v>31329</v>
      </c>
    </row>
    <row r="1430">
      <c r="A1430" s="2">
        <f>IFERROR(__xludf.DUMMYFUNCTION("""COMPUTED_VALUE"""),43311.64583333333)</f>
        <v>43311.64583</v>
      </c>
      <c r="B1430" s="1">
        <f>IFERROR(__xludf.DUMMYFUNCTION("""COMPUTED_VALUE"""),5950.0)</f>
        <v>5950</v>
      </c>
      <c r="C1430" s="1">
        <f>IFERROR(__xludf.DUMMYFUNCTION("""COMPUTED_VALUE"""),6020.0)</f>
        <v>6020</v>
      </c>
      <c r="D1430" s="1">
        <f>IFERROR(__xludf.DUMMYFUNCTION("""COMPUTED_VALUE"""),5750.0)</f>
        <v>5750</v>
      </c>
      <c r="E1430" s="1">
        <f>IFERROR(__xludf.DUMMYFUNCTION("""COMPUTED_VALUE"""),5770.0)</f>
        <v>5770</v>
      </c>
      <c r="F1430" s="1">
        <f>IFERROR(__xludf.DUMMYFUNCTION("""COMPUTED_VALUE"""),74087.0)</f>
        <v>74087</v>
      </c>
    </row>
    <row r="1431">
      <c r="A1431" s="2">
        <f>IFERROR(__xludf.DUMMYFUNCTION("""COMPUTED_VALUE"""),43312.64583333333)</f>
        <v>43312.64583</v>
      </c>
      <c r="B1431" s="1">
        <f>IFERROR(__xludf.DUMMYFUNCTION("""COMPUTED_VALUE"""),5710.0)</f>
        <v>5710</v>
      </c>
      <c r="C1431" s="1">
        <f>IFERROR(__xludf.DUMMYFUNCTION("""COMPUTED_VALUE"""),5950.0)</f>
        <v>5950</v>
      </c>
      <c r="D1431" s="1">
        <f>IFERROR(__xludf.DUMMYFUNCTION("""COMPUTED_VALUE"""),5710.0)</f>
        <v>5710</v>
      </c>
      <c r="E1431" s="1">
        <f>IFERROR(__xludf.DUMMYFUNCTION("""COMPUTED_VALUE"""),5950.0)</f>
        <v>5950</v>
      </c>
      <c r="F1431" s="1">
        <f>IFERROR(__xludf.DUMMYFUNCTION("""COMPUTED_VALUE"""),54380.0)</f>
        <v>54380</v>
      </c>
    </row>
    <row r="1432">
      <c r="A1432" s="2">
        <f>IFERROR(__xludf.DUMMYFUNCTION("""COMPUTED_VALUE"""),43313.64583333333)</f>
        <v>43313.64583</v>
      </c>
      <c r="B1432" s="1">
        <f>IFERROR(__xludf.DUMMYFUNCTION("""COMPUTED_VALUE"""),6000.0)</f>
        <v>6000</v>
      </c>
      <c r="C1432" s="1">
        <f>IFERROR(__xludf.DUMMYFUNCTION("""COMPUTED_VALUE"""),6080.0)</f>
        <v>6080</v>
      </c>
      <c r="D1432" s="1">
        <f>IFERROR(__xludf.DUMMYFUNCTION("""COMPUTED_VALUE"""),5900.0)</f>
        <v>5900</v>
      </c>
      <c r="E1432" s="1">
        <f>IFERROR(__xludf.DUMMYFUNCTION("""COMPUTED_VALUE"""),6020.0)</f>
        <v>6020</v>
      </c>
      <c r="F1432" s="1">
        <f>IFERROR(__xludf.DUMMYFUNCTION("""COMPUTED_VALUE"""),43964.0)</f>
        <v>43964</v>
      </c>
    </row>
    <row r="1433">
      <c r="A1433" s="2">
        <f>IFERROR(__xludf.DUMMYFUNCTION("""COMPUTED_VALUE"""),43314.64583333333)</f>
        <v>43314.64583</v>
      </c>
      <c r="B1433" s="1">
        <f>IFERROR(__xludf.DUMMYFUNCTION("""COMPUTED_VALUE"""),6020.0)</f>
        <v>6020</v>
      </c>
      <c r="C1433" s="1">
        <f>IFERROR(__xludf.DUMMYFUNCTION("""COMPUTED_VALUE"""),6070.0)</f>
        <v>6070</v>
      </c>
      <c r="D1433" s="1">
        <f>IFERROR(__xludf.DUMMYFUNCTION("""COMPUTED_VALUE"""),5900.0)</f>
        <v>5900</v>
      </c>
      <c r="E1433" s="1">
        <f>IFERROR(__xludf.DUMMYFUNCTION("""COMPUTED_VALUE"""),5980.0)</f>
        <v>5980</v>
      </c>
      <c r="F1433" s="1">
        <f>IFERROR(__xludf.DUMMYFUNCTION("""COMPUTED_VALUE"""),41977.0)</f>
        <v>41977</v>
      </c>
    </row>
    <row r="1434">
      <c r="A1434" s="2">
        <f>IFERROR(__xludf.DUMMYFUNCTION("""COMPUTED_VALUE"""),43315.64583333333)</f>
        <v>43315.64583</v>
      </c>
      <c r="B1434" s="1">
        <f>IFERROR(__xludf.DUMMYFUNCTION("""COMPUTED_VALUE"""),5980.0)</f>
        <v>5980</v>
      </c>
      <c r="C1434" s="1">
        <f>IFERROR(__xludf.DUMMYFUNCTION("""COMPUTED_VALUE"""),6200.0)</f>
        <v>6200</v>
      </c>
      <c r="D1434" s="1">
        <f>IFERROR(__xludf.DUMMYFUNCTION("""COMPUTED_VALUE"""),5930.0)</f>
        <v>5930</v>
      </c>
      <c r="E1434" s="1">
        <f>IFERROR(__xludf.DUMMYFUNCTION("""COMPUTED_VALUE"""),6200.0)</f>
        <v>6200</v>
      </c>
      <c r="F1434" s="1">
        <f>IFERROR(__xludf.DUMMYFUNCTION("""COMPUTED_VALUE"""),47944.0)</f>
        <v>47944</v>
      </c>
    </row>
    <row r="1435">
      <c r="A1435" s="2">
        <f>IFERROR(__xludf.DUMMYFUNCTION("""COMPUTED_VALUE"""),43318.64583333333)</f>
        <v>43318.64583</v>
      </c>
      <c r="B1435" s="1">
        <f>IFERROR(__xludf.DUMMYFUNCTION("""COMPUTED_VALUE"""),6250.0)</f>
        <v>6250</v>
      </c>
      <c r="C1435" s="1">
        <f>IFERROR(__xludf.DUMMYFUNCTION("""COMPUTED_VALUE"""),8060.0)</f>
        <v>8060</v>
      </c>
      <c r="D1435" s="1">
        <f>IFERROR(__xludf.DUMMYFUNCTION("""COMPUTED_VALUE"""),6200.0)</f>
        <v>6200</v>
      </c>
      <c r="E1435" s="1">
        <f>IFERROR(__xludf.DUMMYFUNCTION("""COMPUTED_VALUE"""),7890.0)</f>
        <v>7890</v>
      </c>
      <c r="F1435" s="1">
        <f>IFERROR(__xludf.DUMMYFUNCTION("""COMPUTED_VALUE"""),4782530.0)</f>
        <v>4782530</v>
      </c>
    </row>
    <row r="1436">
      <c r="A1436" s="2">
        <f>IFERROR(__xludf.DUMMYFUNCTION("""COMPUTED_VALUE"""),43320.64583333333)</f>
        <v>43320.64583</v>
      </c>
      <c r="B1436" s="1">
        <f>IFERROR(__xludf.DUMMYFUNCTION("""COMPUTED_VALUE"""),7580.0)</f>
        <v>7580</v>
      </c>
      <c r="C1436" s="1">
        <f>IFERROR(__xludf.DUMMYFUNCTION("""COMPUTED_VALUE"""),7580.0)</f>
        <v>7580</v>
      </c>
      <c r="D1436" s="1">
        <f>IFERROR(__xludf.DUMMYFUNCTION("""COMPUTED_VALUE"""),7090.0)</f>
        <v>7090</v>
      </c>
      <c r="E1436" s="1">
        <f>IFERROR(__xludf.DUMMYFUNCTION("""COMPUTED_VALUE"""),7320.0)</f>
        <v>7320</v>
      </c>
      <c r="F1436" s="1">
        <f>IFERROR(__xludf.DUMMYFUNCTION("""COMPUTED_VALUE"""),875336.0)</f>
        <v>875336</v>
      </c>
    </row>
    <row r="1437">
      <c r="A1437" s="2">
        <f>IFERROR(__xludf.DUMMYFUNCTION("""COMPUTED_VALUE"""),43321.64583333333)</f>
        <v>43321.64583</v>
      </c>
      <c r="B1437" s="1">
        <f>IFERROR(__xludf.DUMMYFUNCTION("""COMPUTED_VALUE"""),7250.0)</f>
        <v>7250</v>
      </c>
      <c r="C1437" s="1">
        <f>IFERROR(__xludf.DUMMYFUNCTION("""COMPUTED_VALUE"""),7300.0)</f>
        <v>7300</v>
      </c>
      <c r="D1437" s="1">
        <f>IFERROR(__xludf.DUMMYFUNCTION("""COMPUTED_VALUE"""),6960.0)</f>
        <v>6960</v>
      </c>
      <c r="E1437" s="1">
        <f>IFERROR(__xludf.DUMMYFUNCTION("""COMPUTED_VALUE"""),7160.0)</f>
        <v>7160</v>
      </c>
      <c r="F1437" s="1">
        <f>IFERROR(__xludf.DUMMYFUNCTION("""COMPUTED_VALUE"""),410614.0)</f>
        <v>410614</v>
      </c>
    </row>
    <row r="1438">
      <c r="A1438" s="2">
        <f>IFERROR(__xludf.DUMMYFUNCTION("""COMPUTED_VALUE"""),43322.64583333333)</f>
        <v>43322.64583</v>
      </c>
      <c r="B1438" s="1">
        <f>IFERROR(__xludf.DUMMYFUNCTION("""COMPUTED_VALUE"""),7160.0)</f>
        <v>7160</v>
      </c>
      <c r="C1438" s="1">
        <f>IFERROR(__xludf.DUMMYFUNCTION("""COMPUTED_VALUE"""),7330.0)</f>
        <v>7330</v>
      </c>
      <c r="D1438" s="1">
        <f>IFERROR(__xludf.DUMMYFUNCTION("""COMPUTED_VALUE"""),6910.0)</f>
        <v>6910</v>
      </c>
      <c r="E1438" s="1">
        <f>IFERROR(__xludf.DUMMYFUNCTION("""COMPUTED_VALUE"""),7310.0)</f>
        <v>7310</v>
      </c>
      <c r="F1438" s="1">
        <f>IFERROR(__xludf.DUMMYFUNCTION("""COMPUTED_VALUE"""),489600.0)</f>
        <v>489600</v>
      </c>
    </row>
    <row r="1439">
      <c r="A1439" s="2">
        <f>IFERROR(__xludf.DUMMYFUNCTION("""COMPUTED_VALUE"""),43325.64583333333)</f>
        <v>43325.64583</v>
      </c>
      <c r="B1439" s="1">
        <f>IFERROR(__xludf.DUMMYFUNCTION("""COMPUTED_VALUE"""),7280.0)</f>
        <v>7280</v>
      </c>
      <c r="C1439" s="1">
        <f>IFERROR(__xludf.DUMMYFUNCTION("""COMPUTED_VALUE"""),7280.0)</f>
        <v>7280</v>
      </c>
      <c r="D1439" s="1">
        <f>IFERROR(__xludf.DUMMYFUNCTION("""COMPUTED_VALUE"""),6960.0)</f>
        <v>6960</v>
      </c>
      <c r="E1439" s="1">
        <f>IFERROR(__xludf.DUMMYFUNCTION("""COMPUTED_VALUE"""),6960.0)</f>
        <v>6960</v>
      </c>
      <c r="F1439" s="1">
        <f>IFERROR(__xludf.DUMMYFUNCTION("""COMPUTED_VALUE"""),338391.0)</f>
        <v>338391</v>
      </c>
    </row>
    <row r="1440">
      <c r="A1440" s="2">
        <f>IFERROR(__xludf.DUMMYFUNCTION("""COMPUTED_VALUE"""),43326.64583333333)</f>
        <v>43326.64583</v>
      </c>
      <c r="B1440" s="1">
        <f>IFERROR(__xludf.DUMMYFUNCTION("""COMPUTED_VALUE"""),6920.0)</f>
        <v>6920</v>
      </c>
      <c r="C1440" s="1">
        <f>IFERROR(__xludf.DUMMYFUNCTION("""COMPUTED_VALUE"""),7200.0)</f>
        <v>7200</v>
      </c>
      <c r="D1440" s="1">
        <f>IFERROR(__xludf.DUMMYFUNCTION("""COMPUTED_VALUE"""),6860.0)</f>
        <v>6860</v>
      </c>
      <c r="E1440" s="1">
        <f>IFERROR(__xludf.DUMMYFUNCTION("""COMPUTED_VALUE"""),6950.0)</f>
        <v>6950</v>
      </c>
      <c r="F1440" s="1">
        <f>IFERROR(__xludf.DUMMYFUNCTION("""COMPUTED_VALUE"""),185058.0)</f>
        <v>185058</v>
      </c>
    </row>
    <row r="1441">
      <c r="A1441" s="2">
        <f>IFERROR(__xludf.DUMMYFUNCTION("""COMPUTED_VALUE"""),43328.64583333333)</f>
        <v>43328.64583</v>
      </c>
      <c r="B1441" s="1">
        <f>IFERROR(__xludf.DUMMYFUNCTION("""COMPUTED_VALUE"""),7000.0)</f>
        <v>7000</v>
      </c>
      <c r="C1441" s="1">
        <f>IFERROR(__xludf.DUMMYFUNCTION("""COMPUTED_VALUE"""),7000.0)</f>
        <v>7000</v>
      </c>
      <c r="D1441" s="1">
        <f>IFERROR(__xludf.DUMMYFUNCTION("""COMPUTED_VALUE"""),6690.0)</f>
        <v>6690</v>
      </c>
      <c r="E1441" s="1">
        <f>IFERROR(__xludf.DUMMYFUNCTION("""COMPUTED_VALUE"""),6850.0)</f>
        <v>6850</v>
      </c>
      <c r="F1441" s="1">
        <f>IFERROR(__xludf.DUMMYFUNCTION("""COMPUTED_VALUE"""),155705.0)</f>
        <v>155705</v>
      </c>
    </row>
    <row r="1442">
      <c r="A1442" s="2">
        <f>IFERROR(__xludf.DUMMYFUNCTION("""COMPUTED_VALUE"""),43329.64583333333)</f>
        <v>43329.64583</v>
      </c>
      <c r="B1442" s="1">
        <f>IFERROR(__xludf.DUMMYFUNCTION("""COMPUTED_VALUE"""),7030.0)</f>
        <v>7030</v>
      </c>
      <c r="C1442" s="1">
        <f>IFERROR(__xludf.DUMMYFUNCTION("""COMPUTED_VALUE"""),7310.0)</f>
        <v>7310</v>
      </c>
      <c r="D1442" s="1">
        <f>IFERROR(__xludf.DUMMYFUNCTION("""COMPUTED_VALUE"""),6960.0)</f>
        <v>6960</v>
      </c>
      <c r="E1442" s="1">
        <f>IFERROR(__xludf.DUMMYFUNCTION("""COMPUTED_VALUE"""),7180.0)</f>
        <v>7180</v>
      </c>
      <c r="F1442" s="1">
        <f>IFERROR(__xludf.DUMMYFUNCTION("""COMPUTED_VALUE"""),482457.0)</f>
        <v>482457</v>
      </c>
    </row>
    <row r="1443">
      <c r="A1443" s="2">
        <f>IFERROR(__xludf.DUMMYFUNCTION("""COMPUTED_VALUE"""),43332.64583333333)</f>
        <v>43332.64583</v>
      </c>
      <c r="B1443" s="1">
        <f>IFERROR(__xludf.DUMMYFUNCTION("""COMPUTED_VALUE"""),7230.0)</f>
        <v>7230</v>
      </c>
      <c r="C1443" s="1">
        <f>IFERROR(__xludf.DUMMYFUNCTION("""COMPUTED_VALUE"""),7230.0)</f>
        <v>7230</v>
      </c>
      <c r="D1443" s="1">
        <f>IFERROR(__xludf.DUMMYFUNCTION("""COMPUTED_VALUE"""),7080.0)</f>
        <v>7080</v>
      </c>
      <c r="E1443" s="1">
        <f>IFERROR(__xludf.DUMMYFUNCTION("""COMPUTED_VALUE"""),7100.0)</f>
        <v>7100</v>
      </c>
      <c r="F1443" s="1">
        <f>IFERROR(__xludf.DUMMYFUNCTION("""COMPUTED_VALUE"""),122264.0)</f>
        <v>122264</v>
      </c>
    </row>
    <row r="1444">
      <c r="A1444" s="2">
        <f>IFERROR(__xludf.DUMMYFUNCTION("""COMPUTED_VALUE"""),43333.64583333333)</f>
        <v>43333.64583</v>
      </c>
      <c r="B1444" s="1">
        <f>IFERROR(__xludf.DUMMYFUNCTION("""COMPUTED_VALUE"""),7150.0)</f>
        <v>7150</v>
      </c>
      <c r="C1444" s="1">
        <f>IFERROR(__xludf.DUMMYFUNCTION("""COMPUTED_VALUE"""),7250.0)</f>
        <v>7250</v>
      </c>
      <c r="D1444" s="1">
        <f>IFERROR(__xludf.DUMMYFUNCTION("""COMPUTED_VALUE"""),7010.0)</f>
        <v>7010</v>
      </c>
      <c r="E1444" s="1">
        <f>IFERROR(__xludf.DUMMYFUNCTION("""COMPUTED_VALUE"""),7230.0)</f>
        <v>7230</v>
      </c>
      <c r="F1444" s="1">
        <f>IFERROR(__xludf.DUMMYFUNCTION("""COMPUTED_VALUE"""),114220.0)</f>
        <v>114220</v>
      </c>
    </row>
    <row r="1445">
      <c r="A1445" s="2">
        <f>IFERROR(__xludf.DUMMYFUNCTION("""COMPUTED_VALUE"""),43334.64583333333)</f>
        <v>43334.64583</v>
      </c>
      <c r="B1445" s="1">
        <f>IFERROR(__xludf.DUMMYFUNCTION("""COMPUTED_VALUE"""),7230.0)</f>
        <v>7230</v>
      </c>
      <c r="C1445" s="1">
        <f>IFERROR(__xludf.DUMMYFUNCTION("""COMPUTED_VALUE"""),7260.0)</f>
        <v>7260</v>
      </c>
      <c r="D1445" s="1">
        <f>IFERROR(__xludf.DUMMYFUNCTION("""COMPUTED_VALUE"""),7070.0)</f>
        <v>7070</v>
      </c>
      <c r="E1445" s="1">
        <f>IFERROR(__xludf.DUMMYFUNCTION("""COMPUTED_VALUE"""),7090.0)</f>
        <v>7090</v>
      </c>
      <c r="F1445" s="1">
        <f>IFERROR(__xludf.DUMMYFUNCTION("""COMPUTED_VALUE"""),110006.0)</f>
        <v>110006</v>
      </c>
    </row>
    <row r="1446">
      <c r="A1446" s="2">
        <f>IFERROR(__xludf.DUMMYFUNCTION("""COMPUTED_VALUE"""),43335.64583333333)</f>
        <v>43335.64583</v>
      </c>
      <c r="B1446" s="1">
        <f>IFERROR(__xludf.DUMMYFUNCTION("""COMPUTED_VALUE"""),7090.0)</f>
        <v>7090</v>
      </c>
      <c r="C1446" s="1">
        <f>IFERROR(__xludf.DUMMYFUNCTION("""COMPUTED_VALUE"""),7150.0)</f>
        <v>7150</v>
      </c>
      <c r="D1446" s="1">
        <f>IFERROR(__xludf.DUMMYFUNCTION("""COMPUTED_VALUE"""),7000.0)</f>
        <v>7000</v>
      </c>
      <c r="E1446" s="1">
        <f>IFERROR(__xludf.DUMMYFUNCTION("""COMPUTED_VALUE"""),7070.0)</f>
        <v>7070</v>
      </c>
      <c r="F1446" s="1">
        <f>IFERROR(__xludf.DUMMYFUNCTION("""COMPUTED_VALUE"""),82707.0)</f>
        <v>82707</v>
      </c>
    </row>
    <row r="1447">
      <c r="A1447" s="2">
        <f>IFERROR(__xludf.DUMMYFUNCTION("""COMPUTED_VALUE"""),43336.64583333333)</f>
        <v>43336.64583</v>
      </c>
      <c r="B1447" s="1">
        <f>IFERROR(__xludf.DUMMYFUNCTION("""COMPUTED_VALUE"""),7100.0)</f>
        <v>7100</v>
      </c>
      <c r="C1447" s="1">
        <f>IFERROR(__xludf.DUMMYFUNCTION("""COMPUTED_VALUE"""),7450.0)</f>
        <v>7450</v>
      </c>
      <c r="D1447" s="1">
        <f>IFERROR(__xludf.DUMMYFUNCTION("""COMPUTED_VALUE"""),7000.0)</f>
        <v>7000</v>
      </c>
      <c r="E1447" s="1">
        <f>IFERROR(__xludf.DUMMYFUNCTION("""COMPUTED_VALUE"""),7450.0)</f>
        <v>7450</v>
      </c>
      <c r="F1447" s="1">
        <f>IFERROR(__xludf.DUMMYFUNCTION("""COMPUTED_VALUE"""),359651.0)</f>
        <v>359651</v>
      </c>
    </row>
    <row r="1448">
      <c r="A1448" s="2">
        <f>IFERROR(__xludf.DUMMYFUNCTION("""COMPUTED_VALUE"""),43339.64583333333)</f>
        <v>43339.64583</v>
      </c>
      <c r="B1448" s="1">
        <f>IFERROR(__xludf.DUMMYFUNCTION("""COMPUTED_VALUE"""),7450.0)</f>
        <v>7450</v>
      </c>
      <c r="C1448" s="1">
        <f>IFERROR(__xludf.DUMMYFUNCTION("""COMPUTED_VALUE"""),7510.0)</f>
        <v>7510</v>
      </c>
      <c r="D1448" s="1">
        <f>IFERROR(__xludf.DUMMYFUNCTION("""COMPUTED_VALUE"""),7230.0)</f>
        <v>7230</v>
      </c>
      <c r="E1448" s="1">
        <f>IFERROR(__xludf.DUMMYFUNCTION("""COMPUTED_VALUE"""),7290.0)</f>
        <v>7290</v>
      </c>
      <c r="F1448" s="1">
        <f>IFERROR(__xludf.DUMMYFUNCTION("""COMPUTED_VALUE"""),241724.0)</f>
        <v>241724</v>
      </c>
    </row>
    <row r="1449">
      <c r="A1449" s="2">
        <f>IFERROR(__xludf.DUMMYFUNCTION("""COMPUTED_VALUE"""),43340.64583333333)</f>
        <v>43340.64583</v>
      </c>
      <c r="B1449" s="1">
        <f>IFERROR(__xludf.DUMMYFUNCTION("""COMPUTED_VALUE"""),7310.0)</f>
        <v>7310</v>
      </c>
      <c r="C1449" s="1">
        <f>IFERROR(__xludf.DUMMYFUNCTION("""COMPUTED_VALUE"""),7850.0)</f>
        <v>7850</v>
      </c>
      <c r="D1449" s="1">
        <f>IFERROR(__xludf.DUMMYFUNCTION("""COMPUTED_VALUE"""),7190.0)</f>
        <v>7190</v>
      </c>
      <c r="E1449" s="1">
        <f>IFERROR(__xludf.DUMMYFUNCTION("""COMPUTED_VALUE"""),7210.0)</f>
        <v>7210</v>
      </c>
      <c r="F1449" s="1">
        <f>IFERROR(__xludf.DUMMYFUNCTION("""COMPUTED_VALUE"""),685744.0)</f>
        <v>685744</v>
      </c>
    </row>
    <row r="1450">
      <c r="A1450" s="2">
        <f>IFERROR(__xludf.DUMMYFUNCTION("""COMPUTED_VALUE"""),43341.64583333333)</f>
        <v>43341.64583</v>
      </c>
      <c r="B1450" s="1">
        <f>IFERROR(__xludf.DUMMYFUNCTION("""COMPUTED_VALUE"""),7170.0)</f>
        <v>7170</v>
      </c>
      <c r="C1450" s="1">
        <f>IFERROR(__xludf.DUMMYFUNCTION("""COMPUTED_VALUE"""),7600.0)</f>
        <v>7600</v>
      </c>
      <c r="D1450" s="1">
        <f>IFERROR(__xludf.DUMMYFUNCTION("""COMPUTED_VALUE"""),7150.0)</f>
        <v>7150</v>
      </c>
      <c r="E1450" s="1">
        <f>IFERROR(__xludf.DUMMYFUNCTION("""COMPUTED_VALUE"""),7550.0)</f>
        <v>7550</v>
      </c>
      <c r="F1450" s="1">
        <f>IFERROR(__xludf.DUMMYFUNCTION("""COMPUTED_VALUE"""),226320.0)</f>
        <v>226320</v>
      </c>
    </row>
    <row r="1451">
      <c r="A1451" s="2">
        <f>IFERROR(__xludf.DUMMYFUNCTION("""COMPUTED_VALUE"""),43342.64583333333)</f>
        <v>43342.64583</v>
      </c>
      <c r="B1451" s="1">
        <f>IFERROR(__xludf.DUMMYFUNCTION("""COMPUTED_VALUE"""),7730.0)</f>
        <v>7730</v>
      </c>
      <c r="C1451" s="1">
        <f>IFERROR(__xludf.DUMMYFUNCTION("""COMPUTED_VALUE"""),7890.0)</f>
        <v>7890</v>
      </c>
      <c r="D1451" s="1">
        <f>IFERROR(__xludf.DUMMYFUNCTION("""COMPUTED_VALUE"""),7550.0)</f>
        <v>7550</v>
      </c>
      <c r="E1451" s="1">
        <f>IFERROR(__xludf.DUMMYFUNCTION("""COMPUTED_VALUE"""),7630.0)</f>
        <v>7630</v>
      </c>
      <c r="F1451" s="1">
        <f>IFERROR(__xludf.DUMMYFUNCTION("""COMPUTED_VALUE"""),673485.0)</f>
        <v>673485</v>
      </c>
    </row>
    <row r="1452">
      <c r="A1452" s="2">
        <f>IFERROR(__xludf.DUMMYFUNCTION("""COMPUTED_VALUE"""),43343.64583333333)</f>
        <v>43343.64583</v>
      </c>
      <c r="B1452" s="1">
        <f>IFERROR(__xludf.DUMMYFUNCTION("""COMPUTED_VALUE"""),7580.0)</f>
        <v>7580</v>
      </c>
      <c r="C1452" s="1">
        <f>IFERROR(__xludf.DUMMYFUNCTION("""COMPUTED_VALUE"""),7860.0)</f>
        <v>7860</v>
      </c>
      <c r="D1452" s="1">
        <f>IFERROR(__xludf.DUMMYFUNCTION("""COMPUTED_VALUE"""),7580.0)</f>
        <v>7580</v>
      </c>
      <c r="E1452" s="1">
        <f>IFERROR(__xludf.DUMMYFUNCTION("""COMPUTED_VALUE"""),7840.0)</f>
        <v>7840</v>
      </c>
      <c r="F1452" s="1">
        <f>IFERROR(__xludf.DUMMYFUNCTION("""COMPUTED_VALUE"""),296099.0)</f>
        <v>296099</v>
      </c>
    </row>
    <row r="1453">
      <c r="A1453" s="2">
        <f>IFERROR(__xludf.DUMMYFUNCTION("""COMPUTED_VALUE"""),43346.64583333333)</f>
        <v>43346.64583</v>
      </c>
      <c r="B1453" s="1">
        <f>IFERROR(__xludf.DUMMYFUNCTION("""COMPUTED_VALUE"""),7840.0)</f>
        <v>7840</v>
      </c>
      <c r="C1453" s="1">
        <f>IFERROR(__xludf.DUMMYFUNCTION("""COMPUTED_VALUE"""),7840.0)</f>
        <v>7840</v>
      </c>
      <c r="D1453" s="1">
        <f>IFERROR(__xludf.DUMMYFUNCTION("""COMPUTED_VALUE"""),7650.0)</f>
        <v>7650</v>
      </c>
      <c r="E1453" s="1">
        <f>IFERROR(__xludf.DUMMYFUNCTION("""COMPUTED_VALUE"""),7740.0)</f>
        <v>7740</v>
      </c>
      <c r="F1453" s="1">
        <f>IFERROR(__xludf.DUMMYFUNCTION("""COMPUTED_VALUE"""),187214.0)</f>
        <v>187214</v>
      </c>
    </row>
    <row r="1454">
      <c r="A1454" s="2">
        <f>IFERROR(__xludf.DUMMYFUNCTION("""COMPUTED_VALUE"""),43347.64583333333)</f>
        <v>43347.64583</v>
      </c>
      <c r="B1454" s="1">
        <f>IFERROR(__xludf.DUMMYFUNCTION("""COMPUTED_VALUE"""),7750.0)</f>
        <v>7750</v>
      </c>
      <c r="C1454" s="1">
        <f>IFERROR(__xludf.DUMMYFUNCTION("""COMPUTED_VALUE"""),8300.0)</f>
        <v>8300</v>
      </c>
      <c r="D1454" s="1">
        <f>IFERROR(__xludf.DUMMYFUNCTION("""COMPUTED_VALUE"""),7750.0)</f>
        <v>7750</v>
      </c>
      <c r="E1454" s="1">
        <f>IFERROR(__xludf.DUMMYFUNCTION("""COMPUTED_VALUE"""),8080.0)</f>
        <v>8080</v>
      </c>
      <c r="F1454" s="1">
        <f>IFERROR(__xludf.DUMMYFUNCTION("""COMPUTED_VALUE"""),503490.0)</f>
        <v>503490</v>
      </c>
    </row>
    <row r="1455">
      <c r="A1455" s="2">
        <f>IFERROR(__xludf.DUMMYFUNCTION("""COMPUTED_VALUE"""),43348.64583333333)</f>
        <v>43348.64583</v>
      </c>
      <c r="B1455" s="1">
        <f>IFERROR(__xludf.DUMMYFUNCTION("""COMPUTED_VALUE"""),8080.0)</f>
        <v>8080</v>
      </c>
      <c r="C1455" s="1">
        <f>IFERROR(__xludf.DUMMYFUNCTION("""COMPUTED_VALUE"""),8140.0)</f>
        <v>8140</v>
      </c>
      <c r="D1455" s="1">
        <f>IFERROR(__xludf.DUMMYFUNCTION("""COMPUTED_VALUE"""),7940.0)</f>
        <v>7940</v>
      </c>
      <c r="E1455" s="1">
        <f>IFERROR(__xludf.DUMMYFUNCTION("""COMPUTED_VALUE"""),8050.0)</f>
        <v>8050</v>
      </c>
      <c r="F1455" s="1">
        <f>IFERROR(__xludf.DUMMYFUNCTION("""COMPUTED_VALUE"""),192333.0)</f>
        <v>192333</v>
      </c>
    </row>
    <row r="1456">
      <c r="A1456" s="2">
        <f>IFERROR(__xludf.DUMMYFUNCTION("""COMPUTED_VALUE"""),43349.64583333333)</f>
        <v>43349.64583</v>
      </c>
      <c r="B1456" s="1">
        <f>IFERROR(__xludf.DUMMYFUNCTION("""COMPUTED_VALUE"""),8070.0)</f>
        <v>8070</v>
      </c>
      <c r="C1456" s="1">
        <f>IFERROR(__xludf.DUMMYFUNCTION("""COMPUTED_VALUE"""),8070.0)</f>
        <v>8070</v>
      </c>
      <c r="D1456" s="1">
        <f>IFERROR(__xludf.DUMMYFUNCTION("""COMPUTED_VALUE"""),7570.0)</f>
        <v>7570</v>
      </c>
      <c r="E1456" s="1">
        <f>IFERROR(__xludf.DUMMYFUNCTION("""COMPUTED_VALUE"""),7590.0)</f>
        <v>7590</v>
      </c>
      <c r="F1456" s="1">
        <f>IFERROR(__xludf.DUMMYFUNCTION("""COMPUTED_VALUE"""),266751.0)</f>
        <v>266751</v>
      </c>
    </row>
    <row r="1457">
      <c r="A1457" s="2">
        <f>IFERROR(__xludf.DUMMYFUNCTION("""COMPUTED_VALUE"""),43350.64583333333)</f>
        <v>43350.64583</v>
      </c>
      <c r="B1457" s="1">
        <f>IFERROR(__xludf.DUMMYFUNCTION("""COMPUTED_VALUE"""),7650.0)</f>
        <v>7650</v>
      </c>
      <c r="C1457" s="1">
        <f>IFERROR(__xludf.DUMMYFUNCTION("""COMPUTED_VALUE"""),7770.0)</f>
        <v>7770</v>
      </c>
      <c r="D1457" s="1">
        <f>IFERROR(__xludf.DUMMYFUNCTION("""COMPUTED_VALUE"""),7490.0)</f>
        <v>7490</v>
      </c>
      <c r="E1457" s="1">
        <f>IFERROR(__xludf.DUMMYFUNCTION("""COMPUTED_VALUE"""),7540.0)</f>
        <v>7540</v>
      </c>
      <c r="F1457" s="1">
        <f>IFERROR(__xludf.DUMMYFUNCTION("""COMPUTED_VALUE"""),141023.0)</f>
        <v>141023</v>
      </c>
    </row>
    <row r="1458">
      <c r="A1458" s="2">
        <f>IFERROR(__xludf.DUMMYFUNCTION("""COMPUTED_VALUE"""),43353.64583333333)</f>
        <v>43353.64583</v>
      </c>
      <c r="B1458" s="1">
        <f>IFERROR(__xludf.DUMMYFUNCTION("""COMPUTED_VALUE"""),7540.0)</f>
        <v>7540</v>
      </c>
      <c r="C1458" s="1">
        <f>IFERROR(__xludf.DUMMYFUNCTION("""COMPUTED_VALUE"""),7590.0)</f>
        <v>7590</v>
      </c>
      <c r="D1458" s="1">
        <f>IFERROR(__xludf.DUMMYFUNCTION("""COMPUTED_VALUE"""),7150.0)</f>
        <v>7150</v>
      </c>
      <c r="E1458" s="1">
        <f>IFERROR(__xludf.DUMMYFUNCTION("""COMPUTED_VALUE"""),7260.0)</f>
        <v>7260</v>
      </c>
      <c r="F1458" s="1">
        <f>IFERROR(__xludf.DUMMYFUNCTION("""COMPUTED_VALUE"""),162555.0)</f>
        <v>162555</v>
      </c>
    </row>
    <row r="1459">
      <c r="A1459" s="2">
        <f>IFERROR(__xludf.DUMMYFUNCTION("""COMPUTED_VALUE"""),43354.64583333333)</f>
        <v>43354.64583</v>
      </c>
      <c r="B1459" s="1">
        <f>IFERROR(__xludf.DUMMYFUNCTION("""COMPUTED_VALUE"""),7350.0)</f>
        <v>7350</v>
      </c>
      <c r="C1459" s="1">
        <f>IFERROR(__xludf.DUMMYFUNCTION("""COMPUTED_VALUE"""),7410.0)</f>
        <v>7410</v>
      </c>
      <c r="D1459" s="1">
        <f>IFERROR(__xludf.DUMMYFUNCTION("""COMPUTED_VALUE"""),7250.0)</f>
        <v>7250</v>
      </c>
      <c r="E1459" s="1">
        <f>IFERROR(__xludf.DUMMYFUNCTION("""COMPUTED_VALUE"""),7260.0)</f>
        <v>7260</v>
      </c>
      <c r="F1459" s="1">
        <f>IFERROR(__xludf.DUMMYFUNCTION("""COMPUTED_VALUE"""),76732.0)</f>
        <v>76732</v>
      </c>
    </row>
    <row r="1460">
      <c r="A1460" s="2">
        <f>IFERROR(__xludf.DUMMYFUNCTION("""COMPUTED_VALUE"""),43355.64583333333)</f>
        <v>43355.64583</v>
      </c>
      <c r="B1460" s="1">
        <f>IFERROR(__xludf.DUMMYFUNCTION("""COMPUTED_VALUE"""),7260.0)</f>
        <v>7260</v>
      </c>
      <c r="C1460" s="1">
        <f>IFERROR(__xludf.DUMMYFUNCTION("""COMPUTED_VALUE"""),7470.0)</f>
        <v>7470</v>
      </c>
      <c r="D1460" s="1">
        <f>IFERROR(__xludf.DUMMYFUNCTION("""COMPUTED_VALUE"""),7120.0)</f>
        <v>7120</v>
      </c>
      <c r="E1460" s="1">
        <f>IFERROR(__xludf.DUMMYFUNCTION("""COMPUTED_VALUE"""),7450.0)</f>
        <v>7450</v>
      </c>
      <c r="F1460" s="1">
        <f>IFERROR(__xludf.DUMMYFUNCTION("""COMPUTED_VALUE"""),132520.0)</f>
        <v>132520</v>
      </c>
    </row>
    <row r="1461">
      <c r="A1461" s="2">
        <f>IFERROR(__xludf.DUMMYFUNCTION("""COMPUTED_VALUE"""),43356.64583333333)</f>
        <v>43356.64583</v>
      </c>
      <c r="B1461" s="1">
        <f>IFERROR(__xludf.DUMMYFUNCTION("""COMPUTED_VALUE"""),7460.0)</f>
        <v>7460</v>
      </c>
      <c r="C1461" s="1">
        <f>IFERROR(__xludf.DUMMYFUNCTION("""COMPUTED_VALUE"""),7470.0)</f>
        <v>7470</v>
      </c>
      <c r="D1461" s="1">
        <f>IFERROR(__xludf.DUMMYFUNCTION("""COMPUTED_VALUE"""),7250.0)</f>
        <v>7250</v>
      </c>
      <c r="E1461" s="1">
        <f>IFERROR(__xludf.DUMMYFUNCTION("""COMPUTED_VALUE"""),7280.0)</f>
        <v>7280</v>
      </c>
      <c r="F1461" s="1">
        <f>IFERROR(__xludf.DUMMYFUNCTION("""COMPUTED_VALUE"""),62622.0)</f>
        <v>62622</v>
      </c>
    </row>
    <row r="1462">
      <c r="A1462" s="2">
        <f>IFERROR(__xludf.DUMMYFUNCTION("""COMPUTED_VALUE"""),43357.64583333333)</f>
        <v>43357.64583</v>
      </c>
      <c r="B1462" s="1">
        <f>IFERROR(__xludf.DUMMYFUNCTION("""COMPUTED_VALUE"""),7280.0)</f>
        <v>7280</v>
      </c>
      <c r="C1462" s="1">
        <f>IFERROR(__xludf.DUMMYFUNCTION("""COMPUTED_VALUE"""),7390.0)</f>
        <v>7390</v>
      </c>
      <c r="D1462" s="1">
        <f>IFERROR(__xludf.DUMMYFUNCTION("""COMPUTED_VALUE"""),7250.0)</f>
        <v>7250</v>
      </c>
      <c r="E1462" s="1">
        <f>IFERROR(__xludf.DUMMYFUNCTION("""COMPUTED_VALUE"""),7330.0)</f>
        <v>7330</v>
      </c>
      <c r="F1462" s="1">
        <f>IFERROR(__xludf.DUMMYFUNCTION("""COMPUTED_VALUE"""),85268.0)</f>
        <v>85268</v>
      </c>
    </row>
    <row r="1463">
      <c r="A1463" s="2">
        <f>IFERROR(__xludf.DUMMYFUNCTION("""COMPUTED_VALUE"""),43360.64583333333)</f>
        <v>43360.64583</v>
      </c>
      <c r="B1463" s="1">
        <f>IFERROR(__xludf.DUMMYFUNCTION("""COMPUTED_VALUE"""),7380.0)</f>
        <v>7380</v>
      </c>
      <c r="C1463" s="1">
        <f>IFERROR(__xludf.DUMMYFUNCTION("""COMPUTED_VALUE"""),7380.0)</f>
        <v>7380</v>
      </c>
      <c r="D1463" s="1">
        <f>IFERROR(__xludf.DUMMYFUNCTION("""COMPUTED_VALUE"""),7130.0)</f>
        <v>7130</v>
      </c>
      <c r="E1463" s="1">
        <f>IFERROR(__xludf.DUMMYFUNCTION("""COMPUTED_VALUE"""),7130.0)</f>
        <v>7130</v>
      </c>
      <c r="F1463" s="1">
        <f>IFERROR(__xludf.DUMMYFUNCTION("""COMPUTED_VALUE"""),75801.0)</f>
        <v>75801</v>
      </c>
    </row>
    <row r="1464">
      <c r="A1464" s="2">
        <f>IFERROR(__xludf.DUMMYFUNCTION("""COMPUTED_VALUE"""),43361.64583333333)</f>
        <v>43361.64583</v>
      </c>
      <c r="B1464" s="1">
        <f>IFERROR(__xludf.DUMMYFUNCTION("""COMPUTED_VALUE"""),7130.0)</f>
        <v>7130</v>
      </c>
      <c r="C1464" s="1">
        <f>IFERROR(__xludf.DUMMYFUNCTION("""COMPUTED_VALUE"""),7240.0)</f>
        <v>7240</v>
      </c>
      <c r="D1464" s="1">
        <f>IFERROR(__xludf.DUMMYFUNCTION("""COMPUTED_VALUE"""),6850.0)</f>
        <v>6850</v>
      </c>
      <c r="E1464" s="1">
        <f>IFERROR(__xludf.DUMMYFUNCTION("""COMPUTED_VALUE"""),7240.0)</f>
        <v>7240</v>
      </c>
      <c r="F1464" s="1">
        <f>IFERROR(__xludf.DUMMYFUNCTION("""COMPUTED_VALUE"""),84097.0)</f>
        <v>84097</v>
      </c>
    </row>
    <row r="1465">
      <c r="A1465" s="2">
        <f>IFERROR(__xludf.DUMMYFUNCTION("""COMPUTED_VALUE"""),43362.64583333333)</f>
        <v>43362.64583</v>
      </c>
      <c r="B1465" s="1">
        <f>IFERROR(__xludf.DUMMYFUNCTION("""COMPUTED_VALUE"""),7290.0)</f>
        <v>7290</v>
      </c>
      <c r="C1465" s="1">
        <f>IFERROR(__xludf.DUMMYFUNCTION("""COMPUTED_VALUE"""),7350.0)</f>
        <v>7350</v>
      </c>
      <c r="D1465" s="1">
        <f>IFERROR(__xludf.DUMMYFUNCTION("""COMPUTED_VALUE"""),7110.0)</f>
        <v>7110</v>
      </c>
      <c r="E1465" s="1">
        <f>IFERROR(__xludf.DUMMYFUNCTION("""COMPUTED_VALUE"""),7140.0)</f>
        <v>7140</v>
      </c>
      <c r="F1465" s="1">
        <f>IFERROR(__xludf.DUMMYFUNCTION("""COMPUTED_VALUE"""),59657.0)</f>
        <v>59657</v>
      </c>
    </row>
    <row r="1466">
      <c r="A1466" s="2">
        <f>IFERROR(__xludf.DUMMYFUNCTION("""COMPUTED_VALUE"""),43363.64583333333)</f>
        <v>43363.64583</v>
      </c>
      <c r="B1466" s="1">
        <f>IFERROR(__xludf.DUMMYFUNCTION("""COMPUTED_VALUE"""),7150.0)</f>
        <v>7150</v>
      </c>
      <c r="C1466" s="1">
        <f>IFERROR(__xludf.DUMMYFUNCTION("""COMPUTED_VALUE"""),7560.0)</f>
        <v>7560</v>
      </c>
      <c r="D1466" s="1">
        <f>IFERROR(__xludf.DUMMYFUNCTION("""COMPUTED_VALUE"""),7110.0)</f>
        <v>7110</v>
      </c>
      <c r="E1466" s="1">
        <f>IFERROR(__xludf.DUMMYFUNCTION("""COMPUTED_VALUE"""),7170.0)</f>
        <v>7170</v>
      </c>
      <c r="F1466" s="1">
        <f>IFERROR(__xludf.DUMMYFUNCTION("""COMPUTED_VALUE"""),231392.0)</f>
        <v>231392</v>
      </c>
    </row>
    <row r="1467">
      <c r="A1467" s="2">
        <f>IFERROR(__xludf.DUMMYFUNCTION("""COMPUTED_VALUE"""),43364.64583333333)</f>
        <v>43364.64583</v>
      </c>
      <c r="B1467" s="1">
        <f>IFERROR(__xludf.DUMMYFUNCTION("""COMPUTED_VALUE"""),7280.0)</f>
        <v>7280</v>
      </c>
      <c r="C1467" s="1">
        <f>IFERROR(__xludf.DUMMYFUNCTION("""COMPUTED_VALUE"""),7370.0)</f>
        <v>7370</v>
      </c>
      <c r="D1467" s="1">
        <f>IFERROR(__xludf.DUMMYFUNCTION("""COMPUTED_VALUE"""),7100.0)</f>
        <v>7100</v>
      </c>
      <c r="E1467" s="1">
        <f>IFERROR(__xludf.DUMMYFUNCTION("""COMPUTED_VALUE"""),7160.0)</f>
        <v>7160</v>
      </c>
      <c r="F1467" s="1">
        <f>IFERROR(__xludf.DUMMYFUNCTION("""COMPUTED_VALUE"""),75554.0)</f>
        <v>75554</v>
      </c>
    </row>
    <row r="1468">
      <c r="A1468" s="2">
        <f>IFERROR(__xludf.DUMMYFUNCTION("""COMPUTED_VALUE"""),43370.64583333333)</f>
        <v>43370.64583</v>
      </c>
      <c r="B1468" s="1">
        <f>IFERROR(__xludf.DUMMYFUNCTION("""COMPUTED_VALUE"""),7190.0)</f>
        <v>7190</v>
      </c>
      <c r="C1468" s="1">
        <f>IFERROR(__xludf.DUMMYFUNCTION("""COMPUTED_VALUE"""),7670.0)</f>
        <v>7670</v>
      </c>
      <c r="D1468" s="1">
        <f>IFERROR(__xludf.DUMMYFUNCTION("""COMPUTED_VALUE"""),7190.0)</f>
        <v>7190</v>
      </c>
      <c r="E1468" s="1">
        <f>IFERROR(__xludf.DUMMYFUNCTION("""COMPUTED_VALUE"""),7630.0)</f>
        <v>7630</v>
      </c>
      <c r="F1468" s="1">
        <f>IFERROR(__xludf.DUMMYFUNCTION("""COMPUTED_VALUE"""),266224.0)</f>
        <v>266224</v>
      </c>
    </row>
    <row r="1469">
      <c r="A1469" s="2">
        <f>IFERROR(__xludf.DUMMYFUNCTION("""COMPUTED_VALUE"""),43371.64583333333)</f>
        <v>43371.64583</v>
      </c>
      <c r="B1469" s="1">
        <f>IFERROR(__xludf.DUMMYFUNCTION("""COMPUTED_VALUE"""),7660.0)</f>
        <v>7660</v>
      </c>
      <c r="C1469" s="1">
        <f>IFERROR(__xludf.DUMMYFUNCTION("""COMPUTED_VALUE"""),7670.0)</f>
        <v>7670</v>
      </c>
      <c r="D1469" s="1">
        <f>IFERROR(__xludf.DUMMYFUNCTION("""COMPUTED_VALUE"""),7400.0)</f>
        <v>7400</v>
      </c>
      <c r="E1469" s="1">
        <f>IFERROR(__xludf.DUMMYFUNCTION("""COMPUTED_VALUE"""),7490.0)</f>
        <v>7490</v>
      </c>
      <c r="F1469" s="1">
        <f>IFERROR(__xludf.DUMMYFUNCTION("""COMPUTED_VALUE"""),174185.0)</f>
        <v>174185</v>
      </c>
    </row>
    <row r="1470">
      <c r="A1470" s="2">
        <f>IFERROR(__xludf.DUMMYFUNCTION("""COMPUTED_VALUE"""),43374.64583333333)</f>
        <v>43374.64583</v>
      </c>
      <c r="B1470" s="1">
        <f>IFERROR(__xludf.DUMMYFUNCTION("""COMPUTED_VALUE"""),7490.0)</f>
        <v>7490</v>
      </c>
      <c r="C1470" s="1">
        <f>IFERROR(__xludf.DUMMYFUNCTION("""COMPUTED_VALUE"""),7500.0)</f>
        <v>7500</v>
      </c>
      <c r="D1470" s="1">
        <f>IFERROR(__xludf.DUMMYFUNCTION("""COMPUTED_VALUE"""),7140.0)</f>
        <v>7140</v>
      </c>
      <c r="E1470" s="1">
        <f>IFERROR(__xludf.DUMMYFUNCTION("""COMPUTED_VALUE"""),7230.0)</f>
        <v>7230</v>
      </c>
      <c r="F1470" s="1">
        <f>IFERROR(__xludf.DUMMYFUNCTION("""COMPUTED_VALUE"""),94793.0)</f>
        <v>94793</v>
      </c>
    </row>
    <row r="1471">
      <c r="A1471" s="2">
        <f>IFERROR(__xludf.DUMMYFUNCTION("""COMPUTED_VALUE"""),43375.64583333333)</f>
        <v>43375.64583</v>
      </c>
      <c r="B1471" s="1">
        <f>IFERROR(__xludf.DUMMYFUNCTION("""COMPUTED_VALUE"""),7230.0)</f>
        <v>7230</v>
      </c>
      <c r="C1471" s="1">
        <f>IFERROR(__xludf.DUMMYFUNCTION("""COMPUTED_VALUE"""),7310.0)</f>
        <v>7310</v>
      </c>
      <c r="D1471" s="1">
        <f>IFERROR(__xludf.DUMMYFUNCTION("""COMPUTED_VALUE"""),6920.0)</f>
        <v>6920</v>
      </c>
      <c r="E1471" s="1">
        <f>IFERROR(__xludf.DUMMYFUNCTION("""COMPUTED_VALUE"""),6960.0)</f>
        <v>6960</v>
      </c>
      <c r="F1471" s="1">
        <f>IFERROR(__xludf.DUMMYFUNCTION("""COMPUTED_VALUE"""),134356.0)</f>
        <v>134356</v>
      </c>
    </row>
    <row r="1472">
      <c r="A1472" s="2">
        <f>IFERROR(__xludf.DUMMYFUNCTION("""COMPUTED_VALUE"""),43377.64583333333)</f>
        <v>43377.64583</v>
      </c>
      <c r="B1472" s="1">
        <f>IFERROR(__xludf.DUMMYFUNCTION("""COMPUTED_VALUE"""),6960.0)</f>
        <v>6960</v>
      </c>
      <c r="C1472" s="1">
        <f>IFERROR(__xludf.DUMMYFUNCTION("""COMPUTED_VALUE"""),7050.0)</f>
        <v>7050</v>
      </c>
      <c r="D1472" s="1">
        <f>IFERROR(__xludf.DUMMYFUNCTION("""COMPUTED_VALUE"""),6690.0)</f>
        <v>6690</v>
      </c>
      <c r="E1472" s="1">
        <f>IFERROR(__xludf.DUMMYFUNCTION("""COMPUTED_VALUE"""),6690.0)</f>
        <v>6690</v>
      </c>
      <c r="F1472" s="1">
        <f>IFERROR(__xludf.DUMMYFUNCTION("""COMPUTED_VALUE"""),103998.0)</f>
        <v>103998</v>
      </c>
    </row>
    <row r="1473">
      <c r="A1473" s="2">
        <f>IFERROR(__xludf.DUMMYFUNCTION("""COMPUTED_VALUE"""),43378.64583333333)</f>
        <v>43378.64583</v>
      </c>
      <c r="B1473" s="1">
        <f>IFERROR(__xludf.DUMMYFUNCTION("""COMPUTED_VALUE"""),6690.0)</f>
        <v>6690</v>
      </c>
      <c r="C1473" s="1">
        <f>IFERROR(__xludf.DUMMYFUNCTION("""COMPUTED_VALUE"""),6740.0)</f>
        <v>6740</v>
      </c>
      <c r="D1473" s="1">
        <f>IFERROR(__xludf.DUMMYFUNCTION("""COMPUTED_VALUE"""),6480.0)</f>
        <v>6480</v>
      </c>
      <c r="E1473" s="1">
        <f>IFERROR(__xludf.DUMMYFUNCTION("""COMPUTED_VALUE"""),6530.0)</f>
        <v>6530</v>
      </c>
      <c r="F1473" s="1">
        <f>IFERROR(__xludf.DUMMYFUNCTION("""COMPUTED_VALUE"""),99684.0)</f>
        <v>99684</v>
      </c>
    </row>
    <row r="1474">
      <c r="A1474" s="2">
        <f>IFERROR(__xludf.DUMMYFUNCTION("""COMPUTED_VALUE"""),43381.64583333333)</f>
        <v>43381.64583</v>
      </c>
      <c r="B1474" s="1">
        <f>IFERROR(__xludf.DUMMYFUNCTION("""COMPUTED_VALUE"""),6630.0)</f>
        <v>6630</v>
      </c>
      <c r="C1474" s="1">
        <f>IFERROR(__xludf.DUMMYFUNCTION("""COMPUTED_VALUE"""),6770.0)</f>
        <v>6770</v>
      </c>
      <c r="D1474" s="1">
        <f>IFERROR(__xludf.DUMMYFUNCTION("""COMPUTED_VALUE"""),6500.0)</f>
        <v>6500</v>
      </c>
      <c r="E1474" s="1">
        <f>IFERROR(__xludf.DUMMYFUNCTION("""COMPUTED_VALUE"""),6500.0)</f>
        <v>6500</v>
      </c>
      <c r="F1474" s="1">
        <f>IFERROR(__xludf.DUMMYFUNCTION("""COMPUTED_VALUE"""),47030.0)</f>
        <v>47030</v>
      </c>
    </row>
    <row r="1475">
      <c r="A1475" s="2">
        <f>IFERROR(__xludf.DUMMYFUNCTION("""COMPUTED_VALUE"""),43383.64583333333)</f>
        <v>43383.64583</v>
      </c>
      <c r="B1475" s="1">
        <f>IFERROR(__xludf.DUMMYFUNCTION("""COMPUTED_VALUE"""),6400.0)</f>
        <v>6400</v>
      </c>
      <c r="C1475" s="1">
        <f>IFERROR(__xludf.DUMMYFUNCTION("""COMPUTED_VALUE"""),6500.0)</f>
        <v>6500</v>
      </c>
      <c r="D1475" s="1">
        <f>IFERROR(__xludf.DUMMYFUNCTION("""COMPUTED_VALUE"""),6150.0)</f>
        <v>6150</v>
      </c>
      <c r="E1475" s="1">
        <f>IFERROR(__xludf.DUMMYFUNCTION("""COMPUTED_VALUE"""),6200.0)</f>
        <v>6200</v>
      </c>
      <c r="F1475" s="1">
        <f>IFERROR(__xludf.DUMMYFUNCTION("""COMPUTED_VALUE"""),84047.0)</f>
        <v>84047</v>
      </c>
    </row>
    <row r="1476">
      <c r="A1476" s="2">
        <f>IFERROR(__xludf.DUMMYFUNCTION("""COMPUTED_VALUE"""),43384.64583333333)</f>
        <v>43384.64583</v>
      </c>
      <c r="B1476" s="1">
        <f>IFERROR(__xludf.DUMMYFUNCTION("""COMPUTED_VALUE"""),5780.0)</f>
        <v>5780</v>
      </c>
      <c r="C1476" s="1">
        <f>IFERROR(__xludf.DUMMYFUNCTION("""COMPUTED_VALUE"""),6060.0)</f>
        <v>6060</v>
      </c>
      <c r="D1476" s="1">
        <f>IFERROR(__xludf.DUMMYFUNCTION("""COMPUTED_VALUE"""),5700.0)</f>
        <v>5700</v>
      </c>
      <c r="E1476" s="1">
        <f>IFERROR(__xludf.DUMMYFUNCTION("""COMPUTED_VALUE"""),5780.0)</f>
        <v>5780</v>
      </c>
      <c r="F1476" s="1">
        <f>IFERROR(__xludf.DUMMYFUNCTION("""COMPUTED_VALUE"""),160484.0)</f>
        <v>160484</v>
      </c>
    </row>
    <row r="1477">
      <c r="A1477" s="2">
        <f>IFERROR(__xludf.DUMMYFUNCTION("""COMPUTED_VALUE"""),43385.64583333333)</f>
        <v>43385.64583</v>
      </c>
      <c r="B1477" s="1">
        <f>IFERROR(__xludf.DUMMYFUNCTION("""COMPUTED_VALUE"""),5210.0)</f>
        <v>5210</v>
      </c>
      <c r="C1477" s="1">
        <f>IFERROR(__xludf.DUMMYFUNCTION("""COMPUTED_VALUE"""),6050.0)</f>
        <v>6050</v>
      </c>
      <c r="D1477" s="1">
        <f>IFERROR(__xludf.DUMMYFUNCTION("""COMPUTED_VALUE"""),5210.0)</f>
        <v>5210</v>
      </c>
      <c r="E1477" s="1">
        <f>IFERROR(__xludf.DUMMYFUNCTION("""COMPUTED_VALUE"""),6050.0)</f>
        <v>6050</v>
      </c>
      <c r="F1477" s="1">
        <f>IFERROR(__xludf.DUMMYFUNCTION("""COMPUTED_VALUE"""),171152.0)</f>
        <v>171152</v>
      </c>
    </row>
    <row r="1478">
      <c r="A1478" s="2">
        <f>IFERROR(__xludf.DUMMYFUNCTION("""COMPUTED_VALUE"""),43388.64583333333)</f>
        <v>43388.64583</v>
      </c>
      <c r="B1478" s="1">
        <f>IFERROR(__xludf.DUMMYFUNCTION("""COMPUTED_VALUE"""),6050.0)</f>
        <v>6050</v>
      </c>
      <c r="C1478" s="1">
        <f>IFERROR(__xludf.DUMMYFUNCTION("""COMPUTED_VALUE"""),6140.0)</f>
        <v>6140</v>
      </c>
      <c r="D1478" s="1">
        <f>IFERROR(__xludf.DUMMYFUNCTION("""COMPUTED_VALUE"""),5750.0)</f>
        <v>5750</v>
      </c>
      <c r="E1478" s="1">
        <f>IFERROR(__xludf.DUMMYFUNCTION("""COMPUTED_VALUE"""),5790.0)</f>
        <v>5790</v>
      </c>
      <c r="F1478" s="1">
        <f>IFERROR(__xludf.DUMMYFUNCTION("""COMPUTED_VALUE"""),54622.0)</f>
        <v>54622</v>
      </c>
    </row>
    <row r="1479">
      <c r="A1479" s="2">
        <f>IFERROR(__xludf.DUMMYFUNCTION("""COMPUTED_VALUE"""),43389.64583333333)</f>
        <v>43389.64583</v>
      </c>
      <c r="B1479" s="1">
        <f>IFERROR(__xludf.DUMMYFUNCTION("""COMPUTED_VALUE"""),5790.0)</f>
        <v>5790</v>
      </c>
      <c r="C1479" s="1">
        <f>IFERROR(__xludf.DUMMYFUNCTION("""COMPUTED_VALUE"""),5940.0)</f>
        <v>5940</v>
      </c>
      <c r="D1479" s="1">
        <f>IFERROR(__xludf.DUMMYFUNCTION("""COMPUTED_VALUE"""),5760.0)</f>
        <v>5760</v>
      </c>
      <c r="E1479" s="1">
        <f>IFERROR(__xludf.DUMMYFUNCTION("""COMPUTED_VALUE"""),5870.0)</f>
        <v>5870</v>
      </c>
      <c r="F1479" s="1">
        <f>IFERROR(__xludf.DUMMYFUNCTION("""COMPUTED_VALUE"""),41573.0)</f>
        <v>41573</v>
      </c>
    </row>
    <row r="1480">
      <c r="A1480" s="2">
        <f>IFERROR(__xludf.DUMMYFUNCTION("""COMPUTED_VALUE"""),43390.64583333333)</f>
        <v>43390.64583</v>
      </c>
      <c r="B1480" s="1">
        <f>IFERROR(__xludf.DUMMYFUNCTION("""COMPUTED_VALUE"""),5910.0)</f>
        <v>5910</v>
      </c>
      <c r="C1480" s="1">
        <f>IFERROR(__xludf.DUMMYFUNCTION("""COMPUTED_VALUE"""),6000.0)</f>
        <v>6000</v>
      </c>
      <c r="D1480" s="1">
        <f>IFERROR(__xludf.DUMMYFUNCTION("""COMPUTED_VALUE"""),5790.0)</f>
        <v>5790</v>
      </c>
      <c r="E1480" s="1">
        <f>IFERROR(__xludf.DUMMYFUNCTION("""COMPUTED_VALUE"""),5890.0)</f>
        <v>5890</v>
      </c>
      <c r="F1480" s="1">
        <f>IFERROR(__xludf.DUMMYFUNCTION("""COMPUTED_VALUE"""),44735.0)</f>
        <v>44735</v>
      </c>
    </row>
    <row r="1481">
      <c r="A1481" s="2">
        <f>IFERROR(__xludf.DUMMYFUNCTION("""COMPUTED_VALUE"""),43391.64583333333)</f>
        <v>43391.64583</v>
      </c>
      <c r="B1481" s="1">
        <f>IFERROR(__xludf.DUMMYFUNCTION("""COMPUTED_VALUE"""),5890.0)</f>
        <v>5890</v>
      </c>
      <c r="C1481" s="1">
        <f>IFERROR(__xludf.DUMMYFUNCTION("""COMPUTED_VALUE"""),6000.0)</f>
        <v>6000</v>
      </c>
      <c r="D1481" s="1">
        <f>IFERROR(__xludf.DUMMYFUNCTION("""COMPUTED_VALUE"""),5780.0)</f>
        <v>5780</v>
      </c>
      <c r="E1481" s="1">
        <f>IFERROR(__xludf.DUMMYFUNCTION("""COMPUTED_VALUE"""),5840.0)</f>
        <v>5840</v>
      </c>
      <c r="F1481" s="1">
        <f>IFERROR(__xludf.DUMMYFUNCTION("""COMPUTED_VALUE"""),17688.0)</f>
        <v>17688</v>
      </c>
    </row>
    <row r="1482">
      <c r="A1482" s="2">
        <f>IFERROR(__xludf.DUMMYFUNCTION("""COMPUTED_VALUE"""),43392.64583333333)</f>
        <v>43392.64583</v>
      </c>
      <c r="B1482" s="1">
        <f>IFERROR(__xludf.DUMMYFUNCTION("""COMPUTED_VALUE"""),5840.0)</f>
        <v>5840</v>
      </c>
      <c r="C1482" s="1">
        <f>IFERROR(__xludf.DUMMYFUNCTION("""COMPUTED_VALUE"""),5920.0)</f>
        <v>5920</v>
      </c>
      <c r="D1482" s="1">
        <f>IFERROR(__xludf.DUMMYFUNCTION("""COMPUTED_VALUE"""),5700.0)</f>
        <v>5700</v>
      </c>
      <c r="E1482" s="1">
        <f>IFERROR(__xludf.DUMMYFUNCTION("""COMPUTED_VALUE"""),5840.0)</f>
        <v>5840</v>
      </c>
      <c r="F1482" s="1">
        <f>IFERROR(__xludf.DUMMYFUNCTION("""COMPUTED_VALUE"""),26100.0)</f>
        <v>26100</v>
      </c>
    </row>
    <row r="1483">
      <c r="A1483" s="2">
        <f>IFERROR(__xludf.DUMMYFUNCTION("""COMPUTED_VALUE"""),43395.64583333333)</f>
        <v>43395.64583</v>
      </c>
      <c r="B1483" s="1">
        <f>IFERROR(__xludf.DUMMYFUNCTION("""COMPUTED_VALUE"""),5760.0)</f>
        <v>5760</v>
      </c>
      <c r="C1483" s="1">
        <f>IFERROR(__xludf.DUMMYFUNCTION("""COMPUTED_VALUE"""),5900.0)</f>
        <v>5900</v>
      </c>
      <c r="D1483" s="1">
        <f>IFERROR(__xludf.DUMMYFUNCTION("""COMPUTED_VALUE"""),5660.0)</f>
        <v>5660</v>
      </c>
      <c r="E1483" s="1">
        <f>IFERROR(__xludf.DUMMYFUNCTION("""COMPUTED_VALUE"""),5880.0)</f>
        <v>5880</v>
      </c>
      <c r="F1483" s="1">
        <f>IFERROR(__xludf.DUMMYFUNCTION("""COMPUTED_VALUE"""),24929.0)</f>
        <v>24929</v>
      </c>
    </row>
    <row r="1484">
      <c r="A1484" s="2">
        <f>IFERROR(__xludf.DUMMYFUNCTION("""COMPUTED_VALUE"""),43396.64583333333)</f>
        <v>43396.64583</v>
      </c>
      <c r="B1484" s="1">
        <f>IFERROR(__xludf.DUMMYFUNCTION("""COMPUTED_VALUE"""),5890.0)</f>
        <v>5890</v>
      </c>
      <c r="C1484" s="1">
        <f>IFERROR(__xludf.DUMMYFUNCTION("""COMPUTED_VALUE"""),5890.0)</f>
        <v>5890</v>
      </c>
      <c r="D1484" s="1">
        <f>IFERROR(__xludf.DUMMYFUNCTION("""COMPUTED_VALUE"""),5630.0)</f>
        <v>5630</v>
      </c>
      <c r="E1484" s="1">
        <f>IFERROR(__xludf.DUMMYFUNCTION("""COMPUTED_VALUE"""),5830.0)</f>
        <v>5830</v>
      </c>
      <c r="F1484" s="1">
        <f>IFERROR(__xludf.DUMMYFUNCTION("""COMPUTED_VALUE"""),45474.0)</f>
        <v>45474</v>
      </c>
    </row>
    <row r="1485">
      <c r="A1485" s="2">
        <f>IFERROR(__xludf.DUMMYFUNCTION("""COMPUTED_VALUE"""),43397.64583333333)</f>
        <v>43397.64583</v>
      </c>
      <c r="B1485" s="1">
        <f>IFERROR(__xludf.DUMMYFUNCTION("""COMPUTED_VALUE"""),5820.0)</f>
        <v>5820</v>
      </c>
      <c r="C1485" s="1">
        <f>IFERROR(__xludf.DUMMYFUNCTION("""COMPUTED_VALUE"""),5910.0)</f>
        <v>5910</v>
      </c>
      <c r="D1485" s="1">
        <f>IFERROR(__xludf.DUMMYFUNCTION("""COMPUTED_VALUE"""),5530.0)</f>
        <v>5530</v>
      </c>
      <c r="E1485" s="1">
        <f>IFERROR(__xludf.DUMMYFUNCTION("""COMPUTED_VALUE"""),5590.0)</f>
        <v>5590</v>
      </c>
      <c r="F1485" s="1">
        <f>IFERROR(__xludf.DUMMYFUNCTION("""COMPUTED_VALUE"""),70057.0)</f>
        <v>70057</v>
      </c>
    </row>
    <row r="1486">
      <c r="A1486" s="2">
        <f>IFERROR(__xludf.DUMMYFUNCTION("""COMPUTED_VALUE"""),43398.64583333333)</f>
        <v>43398.64583</v>
      </c>
      <c r="B1486" s="1">
        <f>IFERROR(__xludf.DUMMYFUNCTION("""COMPUTED_VALUE"""),5460.0)</f>
        <v>5460</v>
      </c>
      <c r="C1486" s="1">
        <f>IFERROR(__xludf.DUMMYFUNCTION("""COMPUTED_VALUE"""),5460.0)</f>
        <v>5460</v>
      </c>
      <c r="D1486" s="1">
        <f>IFERROR(__xludf.DUMMYFUNCTION("""COMPUTED_VALUE"""),5090.0)</f>
        <v>5090</v>
      </c>
      <c r="E1486" s="1">
        <f>IFERROR(__xludf.DUMMYFUNCTION("""COMPUTED_VALUE"""),5400.0)</f>
        <v>5400</v>
      </c>
      <c r="F1486" s="1">
        <f>IFERROR(__xludf.DUMMYFUNCTION("""COMPUTED_VALUE"""),157630.0)</f>
        <v>157630</v>
      </c>
    </row>
    <row r="1487">
      <c r="A1487" s="2">
        <f>IFERROR(__xludf.DUMMYFUNCTION("""COMPUTED_VALUE"""),43399.64583333333)</f>
        <v>43399.64583</v>
      </c>
      <c r="B1487" s="1">
        <f>IFERROR(__xludf.DUMMYFUNCTION("""COMPUTED_VALUE"""),5310.0)</f>
        <v>5310</v>
      </c>
      <c r="C1487" s="1">
        <f>IFERROR(__xludf.DUMMYFUNCTION("""COMPUTED_VALUE"""),5370.0)</f>
        <v>5370</v>
      </c>
      <c r="D1487" s="1">
        <f>IFERROR(__xludf.DUMMYFUNCTION("""COMPUTED_VALUE"""),4900.0)</f>
        <v>4900</v>
      </c>
      <c r="E1487" s="1">
        <f>IFERROR(__xludf.DUMMYFUNCTION("""COMPUTED_VALUE"""),5070.0)</f>
        <v>5070</v>
      </c>
      <c r="F1487" s="1">
        <f>IFERROR(__xludf.DUMMYFUNCTION("""COMPUTED_VALUE"""),159097.0)</f>
        <v>159097</v>
      </c>
    </row>
    <row r="1488">
      <c r="A1488" s="2">
        <f>IFERROR(__xludf.DUMMYFUNCTION("""COMPUTED_VALUE"""),43402.64583333333)</f>
        <v>43402.64583</v>
      </c>
      <c r="B1488" s="1">
        <f>IFERROR(__xludf.DUMMYFUNCTION("""COMPUTED_VALUE"""),4900.0)</f>
        <v>4900</v>
      </c>
      <c r="C1488" s="1">
        <f>IFERROR(__xludf.DUMMYFUNCTION("""COMPUTED_VALUE"""),5050.0)</f>
        <v>5050</v>
      </c>
      <c r="D1488" s="1">
        <f>IFERROR(__xludf.DUMMYFUNCTION("""COMPUTED_VALUE"""),4295.0)</f>
        <v>4295</v>
      </c>
      <c r="E1488" s="1">
        <f>IFERROR(__xludf.DUMMYFUNCTION("""COMPUTED_VALUE"""),4430.0)</f>
        <v>4430</v>
      </c>
      <c r="F1488" s="1">
        <f>IFERROR(__xludf.DUMMYFUNCTION("""COMPUTED_VALUE"""),339752.0)</f>
        <v>339752</v>
      </c>
    </row>
    <row r="1489">
      <c r="A1489" s="2">
        <f>IFERROR(__xludf.DUMMYFUNCTION("""COMPUTED_VALUE"""),43403.64583333333)</f>
        <v>43403.64583</v>
      </c>
      <c r="B1489" s="1">
        <f>IFERROR(__xludf.DUMMYFUNCTION("""COMPUTED_VALUE"""),3950.0)</f>
        <v>3950</v>
      </c>
      <c r="C1489" s="1">
        <f>IFERROR(__xludf.DUMMYFUNCTION("""COMPUTED_VALUE"""),4630.0)</f>
        <v>4630</v>
      </c>
      <c r="D1489" s="1">
        <f>IFERROR(__xludf.DUMMYFUNCTION("""COMPUTED_VALUE"""),3950.0)</f>
        <v>3950</v>
      </c>
      <c r="E1489" s="1">
        <f>IFERROR(__xludf.DUMMYFUNCTION("""COMPUTED_VALUE"""),4525.0)</f>
        <v>4525</v>
      </c>
      <c r="F1489" s="1">
        <f>IFERROR(__xludf.DUMMYFUNCTION("""COMPUTED_VALUE"""),249225.0)</f>
        <v>249225</v>
      </c>
    </row>
    <row r="1490">
      <c r="A1490" s="2">
        <f>IFERROR(__xludf.DUMMYFUNCTION("""COMPUTED_VALUE"""),43404.64583333333)</f>
        <v>43404.64583</v>
      </c>
      <c r="B1490" s="1">
        <f>IFERROR(__xludf.DUMMYFUNCTION("""COMPUTED_VALUE"""),4530.0)</f>
        <v>4530</v>
      </c>
      <c r="C1490" s="1">
        <f>IFERROR(__xludf.DUMMYFUNCTION("""COMPUTED_VALUE"""),4650.0)</f>
        <v>4650</v>
      </c>
      <c r="D1490" s="1">
        <f>IFERROR(__xludf.DUMMYFUNCTION("""COMPUTED_VALUE"""),4310.0)</f>
        <v>4310</v>
      </c>
      <c r="E1490" s="1">
        <f>IFERROR(__xludf.DUMMYFUNCTION("""COMPUTED_VALUE"""),4440.0)</f>
        <v>4440</v>
      </c>
      <c r="F1490" s="1">
        <f>IFERROR(__xludf.DUMMYFUNCTION("""COMPUTED_VALUE"""),52244.0)</f>
        <v>52244</v>
      </c>
    </row>
    <row r="1491">
      <c r="A1491" s="2">
        <f>IFERROR(__xludf.DUMMYFUNCTION("""COMPUTED_VALUE"""),43405.64583333333)</f>
        <v>43405.64583</v>
      </c>
      <c r="B1491" s="1">
        <f>IFERROR(__xludf.DUMMYFUNCTION("""COMPUTED_VALUE"""),4450.0)</f>
        <v>4450</v>
      </c>
      <c r="C1491" s="1">
        <f>IFERROR(__xludf.DUMMYFUNCTION("""COMPUTED_VALUE"""),4780.0)</f>
        <v>4780</v>
      </c>
      <c r="D1491" s="1">
        <f>IFERROR(__xludf.DUMMYFUNCTION("""COMPUTED_VALUE"""),4450.0)</f>
        <v>4450</v>
      </c>
      <c r="E1491" s="1">
        <f>IFERROR(__xludf.DUMMYFUNCTION("""COMPUTED_VALUE"""),4700.0)</f>
        <v>4700</v>
      </c>
      <c r="F1491" s="1">
        <f>IFERROR(__xludf.DUMMYFUNCTION("""COMPUTED_VALUE"""),66520.0)</f>
        <v>66520</v>
      </c>
    </row>
    <row r="1492">
      <c r="A1492" s="2">
        <f>IFERROR(__xludf.DUMMYFUNCTION("""COMPUTED_VALUE"""),43406.64583333333)</f>
        <v>43406.64583</v>
      </c>
      <c r="B1492" s="1">
        <f>IFERROR(__xludf.DUMMYFUNCTION("""COMPUTED_VALUE"""),4790.0)</f>
        <v>4790</v>
      </c>
      <c r="C1492" s="1">
        <f>IFERROR(__xludf.DUMMYFUNCTION("""COMPUTED_VALUE"""),5050.0)</f>
        <v>5050</v>
      </c>
      <c r="D1492" s="1">
        <f>IFERROR(__xludf.DUMMYFUNCTION("""COMPUTED_VALUE"""),4755.0)</f>
        <v>4755</v>
      </c>
      <c r="E1492" s="1">
        <f>IFERROR(__xludf.DUMMYFUNCTION("""COMPUTED_VALUE"""),5050.0)</f>
        <v>5050</v>
      </c>
      <c r="F1492" s="1">
        <f>IFERROR(__xludf.DUMMYFUNCTION("""COMPUTED_VALUE"""),56873.0)</f>
        <v>56873</v>
      </c>
    </row>
    <row r="1493">
      <c r="A1493" s="2">
        <f>IFERROR(__xludf.DUMMYFUNCTION("""COMPUTED_VALUE"""),43409.64583333333)</f>
        <v>43409.64583</v>
      </c>
      <c r="B1493" s="1">
        <f>IFERROR(__xludf.DUMMYFUNCTION("""COMPUTED_VALUE"""),5110.0)</f>
        <v>5110</v>
      </c>
      <c r="C1493" s="1">
        <f>IFERROR(__xludf.DUMMYFUNCTION("""COMPUTED_VALUE"""),5200.0)</f>
        <v>5200</v>
      </c>
      <c r="D1493" s="1">
        <f>IFERROR(__xludf.DUMMYFUNCTION("""COMPUTED_VALUE"""),4960.0)</f>
        <v>4960</v>
      </c>
      <c r="E1493" s="1">
        <f>IFERROR(__xludf.DUMMYFUNCTION("""COMPUTED_VALUE"""),5060.0)</f>
        <v>5060</v>
      </c>
      <c r="F1493" s="1">
        <f>IFERROR(__xludf.DUMMYFUNCTION("""COMPUTED_VALUE"""),31339.0)</f>
        <v>31339</v>
      </c>
    </row>
    <row r="1494">
      <c r="A1494" s="2">
        <f>IFERROR(__xludf.DUMMYFUNCTION("""COMPUTED_VALUE"""),43410.64583333333)</f>
        <v>43410.64583</v>
      </c>
      <c r="B1494" s="1">
        <f>IFERROR(__xludf.DUMMYFUNCTION("""COMPUTED_VALUE"""),5130.0)</f>
        <v>5130</v>
      </c>
      <c r="C1494" s="1">
        <f>IFERROR(__xludf.DUMMYFUNCTION("""COMPUTED_VALUE"""),5180.0)</f>
        <v>5180</v>
      </c>
      <c r="D1494" s="1">
        <f>IFERROR(__xludf.DUMMYFUNCTION("""COMPUTED_VALUE"""),5000.0)</f>
        <v>5000</v>
      </c>
      <c r="E1494" s="1">
        <f>IFERROR(__xludf.DUMMYFUNCTION("""COMPUTED_VALUE"""),5100.0)</f>
        <v>5100</v>
      </c>
      <c r="F1494" s="1">
        <f>IFERROR(__xludf.DUMMYFUNCTION("""COMPUTED_VALUE"""),21774.0)</f>
        <v>21774</v>
      </c>
    </row>
    <row r="1495">
      <c r="A1495" s="2">
        <f>IFERROR(__xludf.DUMMYFUNCTION("""COMPUTED_VALUE"""),43411.64583333333)</f>
        <v>43411.64583</v>
      </c>
      <c r="B1495" s="1">
        <f>IFERROR(__xludf.DUMMYFUNCTION("""COMPUTED_VALUE"""),5090.0)</f>
        <v>5090</v>
      </c>
      <c r="C1495" s="1">
        <f>IFERROR(__xludf.DUMMYFUNCTION("""COMPUTED_VALUE"""),5200.0)</f>
        <v>5200</v>
      </c>
      <c r="D1495" s="1">
        <f>IFERROR(__xludf.DUMMYFUNCTION("""COMPUTED_VALUE"""),4825.0)</f>
        <v>4825</v>
      </c>
      <c r="E1495" s="1">
        <f>IFERROR(__xludf.DUMMYFUNCTION("""COMPUTED_VALUE"""),5000.0)</f>
        <v>5000</v>
      </c>
      <c r="F1495" s="1">
        <f>IFERROR(__xludf.DUMMYFUNCTION("""COMPUTED_VALUE"""),59281.0)</f>
        <v>59281</v>
      </c>
    </row>
    <row r="1496">
      <c r="A1496" s="2">
        <f>IFERROR(__xludf.DUMMYFUNCTION("""COMPUTED_VALUE"""),43412.64583333333)</f>
        <v>43412.64583</v>
      </c>
      <c r="B1496" s="1">
        <f>IFERROR(__xludf.DUMMYFUNCTION("""COMPUTED_VALUE"""),5130.0)</f>
        <v>5130</v>
      </c>
      <c r="C1496" s="1">
        <f>IFERROR(__xludf.DUMMYFUNCTION("""COMPUTED_VALUE"""),5130.0)</f>
        <v>5130</v>
      </c>
      <c r="D1496" s="1">
        <f>IFERROR(__xludf.DUMMYFUNCTION("""COMPUTED_VALUE"""),4960.0)</f>
        <v>4960</v>
      </c>
      <c r="E1496" s="1">
        <f>IFERROR(__xludf.DUMMYFUNCTION("""COMPUTED_VALUE"""),4965.0)</f>
        <v>4965</v>
      </c>
      <c r="F1496" s="1">
        <f>IFERROR(__xludf.DUMMYFUNCTION("""COMPUTED_VALUE"""),33216.0)</f>
        <v>33216</v>
      </c>
    </row>
    <row r="1497">
      <c r="A1497" s="2">
        <f>IFERROR(__xludf.DUMMYFUNCTION("""COMPUTED_VALUE"""),43413.64583333333)</f>
        <v>43413.64583</v>
      </c>
      <c r="B1497" s="1">
        <f>IFERROR(__xludf.DUMMYFUNCTION("""COMPUTED_VALUE"""),5020.0)</f>
        <v>5020</v>
      </c>
      <c r="C1497" s="1">
        <f>IFERROR(__xludf.DUMMYFUNCTION("""COMPUTED_VALUE"""),5040.0)</f>
        <v>5040</v>
      </c>
      <c r="D1497" s="1">
        <f>IFERROR(__xludf.DUMMYFUNCTION("""COMPUTED_VALUE"""),4800.0)</f>
        <v>4800</v>
      </c>
      <c r="E1497" s="1">
        <f>IFERROR(__xludf.DUMMYFUNCTION("""COMPUTED_VALUE"""),4895.0)</f>
        <v>4895</v>
      </c>
      <c r="F1497" s="1">
        <f>IFERROR(__xludf.DUMMYFUNCTION("""COMPUTED_VALUE"""),26272.0)</f>
        <v>26272</v>
      </c>
    </row>
    <row r="1498">
      <c r="A1498" s="2">
        <f>IFERROR(__xludf.DUMMYFUNCTION("""COMPUTED_VALUE"""),43416.64583333333)</f>
        <v>43416.64583</v>
      </c>
      <c r="B1498" s="1">
        <f>IFERROR(__xludf.DUMMYFUNCTION("""COMPUTED_VALUE"""),4850.0)</f>
        <v>4850</v>
      </c>
      <c r="C1498" s="1">
        <f>IFERROR(__xludf.DUMMYFUNCTION("""COMPUTED_VALUE"""),4850.0)</f>
        <v>4850</v>
      </c>
      <c r="D1498" s="1">
        <f>IFERROR(__xludf.DUMMYFUNCTION("""COMPUTED_VALUE"""),4580.0)</f>
        <v>4580</v>
      </c>
      <c r="E1498" s="1">
        <f>IFERROR(__xludf.DUMMYFUNCTION("""COMPUTED_VALUE"""),4700.0)</f>
        <v>4700</v>
      </c>
      <c r="F1498" s="1">
        <f>IFERROR(__xludf.DUMMYFUNCTION("""COMPUTED_VALUE"""),45597.0)</f>
        <v>45597</v>
      </c>
    </row>
    <row r="1499">
      <c r="A1499" s="2">
        <f>IFERROR(__xludf.DUMMYFUNCTION("""COMPUTED_VALUE"""),43417.64583333333)</f>
        <v>43417.64583</v>
      </c>
      <c r="B1499" s="1">
        <f>IFERROR(__xludf.DUMMYFUNCTION("""COMPUTED_VALUE"""),4700.0)</f>
        <v>4700</v>
      </c>
      <c r="C1499" s="1">
        <f>IFERROR(__xludf.DUMMYFUNCTION("""COMPUTED_VALUE"""),4760.0)</f>
        <v>4760</v>
      </c>
      <c r="D1499" s="1">
        <f>IFERROR(__xludf.DUMMYFUNCTION("""COMPUTED_VALUE"""),4460.0)</f>
        <v>4460</v>
      </c>
      <c r="E1499" s="1">
        <f>IFERROR(__xludf.DUMMYFUNCTION("""COMPUTED_VALUE"""),4705.0)</f>
        <v>4705</v>
      </c>
      <c r="F1499" s="1">
        <f>IFERROR(__xludf.DUMMYFUNCTION("""COMPUTED_VALUE"""),37647.0)</f>
        <v>37647</v>
      </c>
    </row>
    <row r="1500">
      <c r="A1500" s="2">
        <f>IFERROR(__xludf.DUMMYFUNCTION("""COMPUTED_VALUE"""),43418.64583333333)</f>
        <v>43418.64583</v>
      </c>
      <c r="B1500" s="1">
        <f>IFERROR(__xludf.DUMMYFUNCTION("""COMPUTED_VALUE"""),4700.0)</f>
        <v>4700</v>
      </c>
      <c r="C1500" s="1">
        <f>IFERROR(__xludf.DUMMYFUNCTION("""COMPUTED_VALUE"""),4895.0)</f>
        <v>4895</v>
      </c>
      <c r="D1500" s="1">
        <f>IFERROR(__xludf.DUMMYFUNCTION("""COMPUTED_VALUE"""),4605.0)</f>
        <v>4605</v>
      </c>
      <c r="E1500" s="1">
        <f>IFERROR(__xludf.DUMMYFUNCTION("""COMPUTED_VALUE"""),4750.0)</f>
        <v>4750</v>
      </c>
      <c r="F1500" s="1">
        <f>IFERROR(__xludf.DUMMYFUNCTION("""COMPUTED_VALUE"""),14931.0)</f>
        <v>14931</v>
      </c>
    </row>
    <row r="1501">
      <c r="A1501" s="2">
        <f>IFERROR(__xludf.DUMMYFUNCTION("""COMPUTED_VALUE"""),43419.6875)</f>
        <v>43419.6875</v>
      </c>
      <c r="B1501" s="1">
        <f>IFERROR(__xludf.DUMMYFUNCTION("""COMPUTED_VALUE"""),4610.0)</f>
        <v>4610</v>
      </c>
      <c r="C1501" s="1">
        <f>IFERROR(__xludf.DUMMYFUNCTION("""COMPUTED_VALUE"""),4800.0)</f>
        <v>4800</v>
      </c>
      <c r="D1501" s="1">
        <f>IFERROR(__xludf.DUMMYFUNCTION("""COMPUTED_VALUE"""),4590.0)</f>
        <v>4590</v>
      </c>
      <c r="E1501" s="1">
        <f>IFERROR(__xludf.DUMMYFUNCTION("""COMPUTED_VALUE"""),4730.0)</f>
        <v>4730</v>
      </c>
      <c r="F1501" s="1">
        <f>IFERROR(__xludf.DUMMYFUNCTION("""COMPUTED_VALUE"""),26764.0)</f>
        <v>26764</v>
      </c>
    </row>
    <row r="1502">
      <c r="A1502" s="2">
        <f>IFERROR(__xludf.DUMMYFUNCTION("""COMPUTED_VALUE"""),43420.64583333333)</f>
        <v>43420.64583</v>
      </c>
      <c r="B1502" s="1">
        <f>IFERROR(__xludf.DUMMYFUNCTION("""COMPUTED_VALUE"""),4700.0)</f>
        <v>4700</v>
      </c>
      <c r="C1502" s="1">
        <f>IFERROR(__xludf.DUMMYFUNCTION("""COMPUTED_VALUE"""),4855.0)</f>
        <v>4855</v>
      </c>
      <c r="D1502" s="1">
        <f>IFERROR(__xludf.DUMMYFUNCTION("""COMPUTED_VALUE"""),4700.0)</f>
        <v>4700</v>
      </c>
      <c r="E1502" s="1">
        <f>IFERROR(__xludf.DUMMYFUNCTION("""COMPUTED_VALUE"""),4805.0)</f>
        <v>4805</v>
      </c>
      <c r="F1502" s="1">
        <f>IFERROR(__xludf.DUMMYFUNCTION("""COMPUTED_VALUE"""),26952.0)</f>
        <v>26952</v>
      </c>
    </row>
    <row r="1503">
      <c r="A1503" s="2">
        <f>IFERROR(__xludf.DUMMYFUNCTION("""COMPUTED_VALUE"""),43423.64583333333)</f>
        <v>43423.64583</v>
      </c>
      <c r="B1503" s="1">
        <f>IFERROR(__xludf.DUMMYFUNCTION("""COMPUTED_VALUE"""),4800.0)</f>
        <v>4800</v>
      </c>
      <c r="C1503" s="1">
        <f>IFERROR(__xludf.DUMMYFUNCTION("""COMPUTED_VALUE"""),4840.0)</f>
        <v>4840</v>
      </c>
      <c r="D1503" s="1">
        <f>IFERROR(__xludf.DUMMYFUNCTION("""COMPUTED_VALUE"""),4730.0)</f>
        <v>4730</v>
      </c>
      <c r="E1503" s="1">
        <f>IFERROR(__xludf.DUMMYFUNCTION("""COMPUTED_VALUE"""),4805.0)</f>
        <v>4805</v>
      </c>
      <c r="F1503" s="1">
        <f>IFERROR(__xludf.DUMMYFUNCTION("""COMPUTED_VALUE"""),37889.0)</f>
        <v>37889</v>
      </c>
    </row>
    <row r="1504">
      <c r="A1504" s="2">
        <f>IFERROR(__xludf.DUMMYFUNCTION("""COMPUTED_VALUE"""),43424.64583333333)</f>
        <v>43424.64583</v>
      </c>
      <c r="B1504" s="1">
        <f>IFERROR(__xludf.DUMMYFUNCTION("""COMPUTED_VALUE"""),4795.0)</f>
        <v>4795</v>
      </c>
      <c r="C1504" s="1">
        <f>IFERROR(__xludf.DUMMYFUNCTION("""COMPUTED_VALUE"""),4805.0)</f>
        <v>4805</v>
      </c>
      <c r="D1504" s="1">
        <f>IFERROR(__xludf.DUMMYFUNCTION("""COMPUTED_VALUE"""),4700.0)</f>
        <v>4700</v>
      </c>
      <c r="E1504" s="1">
        <f>IFERROR(__xludf.DUMMYFUNCTION("""COMPUTED_VALUE"""),4765.0)</f>
        <v>4765</v>
      </c>
      <c r="F1504" s="1">
        <f>IFERROR(__xludf.DUMMYFUNCTION("""COMPUTED_VALUE"""),18778.0)</f>
        <v>18778</v>
      </c>
    </row>
    <row r="1505">
      <c r="A1505" s="2">
        <f>IFERROR(__xludf.DUMMYFUNCTION("""COMPUTED_VALUE"""),43426.64583333333)</f>
        <v>43426.64583</v>
      </c>
      <c r="B1505" s="1">
        <f>IFERROR(__xludf.DUMMYFUNCTION("""COMPUTED_VALUE"""),4670.0)</f>
        <v>4670</v>
      </c>
      <c r="C1505" s="1">
        <f>IFERROR(__xludf.DUMMYFUNCTION("""COMPUTED_VALUE"""),4800.0)</f>
        <v>4800</v>
      </c>
      <c r="D1505" s="1">
        <f>IFERROR(__xludf.DUMMYFUNCTION("""COMPUTED_VALUE"""),4630.0)</f>
        <v>4630</v>
      </c>
      <c r="E1505" s="1">
        <f>IFERROR(__xludf.DUMMYFUNCTION("""COMPUTED_VALUE"""),4730.0)</f>
        <v>4730</v>
      </c>
      <c r="F1505" s="1">
        <f>IFERROR(__xludf.DUMMYFUNCTION("""COMPUTED_VALUE"""),16807.0)</f>
        <v>16807</v>
      </c>
    </row>
    <row r="1506">
      <c r="A1506" s="2">
        <f>IFERROR(__xludf.DUMMYFUNCTION("""COMPUTED_VALUE"""),43427.64583333333)</f>
        <v>43427.64583</v>
      </c>
      <c r="B1506" s="1">
        <f>IFERROR(__xludf.DUMMYFUNCTION("""COMPUTED_VALUE"""),4815.0)</f>
        <v>4815</v>
      </c>
      <c r="C1506" s="1">
        <f>IFERROR(__xludf.DUMMYFUNCTION("""COMPUTED_VALUE"""),5620.0)</f>
        <v>5620</v>
      </c>
      <c r="D1506" s="1">
        <f>IFERROR(__xludf.DUMMYFUNCTION("""COMPUTED_VALUE"""),4815.0)</f>
        <v>4815</v>
      </c>
      <c r="E1506" s="1">
        <f>IFERROR(__xludf.DUMMYFUNCTION("""COMPUTED_VALUE"""),4950.0)</f>
        <v>4950</v>
      </c>
      <c r="F1506" s="1">
        <f>IFERROR(__xludf.DUMMYFUNCTION("""COMPUTED_VALUE"""),459285.0)</f>
        <v>459285</v>
      </c>
    </row>
    <row r="1507">
      <c r="A1507" s="2">
        <f>IFERROR(__xludf.DUMMYFUNCTION("""COMPUTED_VALUE"""),43430.64583333333)</f>
        <v>43430.64583</v>
      </c>
      <c r="B1507" s="1">
        <f>IFERROR(__xludf.DUMMYFUNCTION("""COMPUTED_VALUE"""),5140.0)</f>
        <v>5140</v>
      </c>
      <c r="C1507" s="1">
        <f>IFERROR(__xludf.DUMMYFUNCTION("""COMPUTED_VALUE"""),5140.0)</f>
        <v>5140</v>
      </c>
      <c r="D1507" s="1">
        <f>IFERROR(__xludf.DUMMYFUNCTION("""COMPUTED_VALUE"""),4955.0)</f>
        <v>4955</v>
      </c>
      <c r="E1507" s="1">
        <f>IFERROR(__xludf.DUMMYFUNCTION("""COMPUTED_VALUE"""),5040.0)</f>
        <v>5040</v>
      </c>
      <c r="F1507" s="1">
        <f>IFERROR(__xludf.DUMMYFUNCTION("""COMPUTED_VALUE"""),69769.0)</f>
        <v>69769</v>
      </c>
    </row>
    <row r="1508">
      <c r="A1508" s="2">
        <f>IFERROR(__xludf.DUMMYFUNCTION("""COMPUTED_VALUE"""),43431.64583333333)</f>
        <v>43431.64583</v>
      </c>
      <c r="B1508" s="1">
        <f>IFERROR(__xludf.DUMMYFUNCTION("""COMPUTED_VALUE"""),5140.0)</f>
        <v>5140</v>
      </c>
      <c r="C1508" s="1">
        <f>IFERROR(__xludf.DUMMYFUNCTION("""COMPUTED_VALUE"""),5140.0)</f>
        <v>5140</v>
      </c>
      <c r="D1508" s="1">
        <f>IFERROR(__xludf.DUMMYFUNCTION("""COMPUTED_VALUE"""),4895.0)</f>
        <v>4895</v>
      </c>
      <c r="E1508" s="1">
        <f>IFERROR(__xludf.DUMMYFUNCTION("""COMPUTED_VALUE"""),5000.0)</f>
        <v>5000</v>
      </c>
      <c r="F1508" s="1">
        <f>IFERROR(__xludf.DUMMYFUNCTION("""COMPUTED_VALUE"""),32706.0)</f>
        <v>32706</v>
      </c>
    </row>
    <row r="1509">
      <c r="A1509" s="2">
        <f>IFERROR(__xludf.DUMMYFUNCTION("""COMPUTED_VALUE"""),43432.64583333333)</f>
        <v>43432.64583</v>
      </c>
      <c r="B1509" s="1">
        <f>IFERROR(__xludf.DUMMYFUNCTION("""COMPUTED_VALUE"""),4985.0)</f>
        <v>4985</v>
      </c>
      <c r="C1509" s="1">
        <f>IFERROR(__xludf.DUMMYFUNCTION("""COMPUTED_VALUE"""),5050.0)</f>
        <v>5050</v>
      </c>
      <c r="D1509" s="1">
        <f>IFERROR(__xludf.DUMMYFUNCTION("""COMPUTED_VALUE"""),4935.0)</f>
        <v>4935</v>
      </c>
      <c r="E1509" s="1">
        <f>IFERROR(__xludf.DUMMYFUNCTION("""COMPUTED_VALUE"""),4990.0)</f>
        <v>4990</v>
      </c>
      <c r="F1509" s="1">
        <f>IFERROR(__xludf.DUMMYFUNCTION("""COMPUTED_VALUE"""),23507.0)</f>
        <v>23507</v>
      </c>
    </row>
    <row r="1510">
      <c r="A1510" s="2">
        <f>IFERROR(__xludf.DUMMYFUNCTION("""COMPUTED_VALUE"""),43433.64583333333)</f>
        <v>43433.64583</v>
      </c>
      <c r="B1510" s="1">
        <f>IFERROR(__xludf.DUMMYFUNCTION("""COMPUTED_VALUE"""),4990.0)</f>
        <v>4990</v>
      </c>
      <c r="C1510" s="1">
        <f>IFERROR(__xludf.DUMMYFUNCTION("""COMPUTED_VALUE"""),5060.0)</f>
        <v>5060</v>
      </c>
      <c r="D1510" s="1">
        <f>IFERROR(__xludf.DUMMYFUNCTION("""COMPUTED_VALUE"""),4950.0)</f>
        <v>4950</v>
      </c>
      <c r="E1510" s="1">
        <f>IFERROR(__xludf.DUMMYFUNCTION("""COMPUTED_VALUE"""),5050.0)</f>
        <v>5050</v>
      </c>
      <c r="F1510" s="1">
        <f>IFERROR(__xludf.DUMMYFUNCTION("""COMPUTED_VALUE"""),34876.0)</f>
        <v>34876</v>
      </c>
    </row>
    <row r="1511">
      <c r="A1511" s="2">
        <f>IFERROR(__xludf.DUMMYFUNCTION("""COMPUTED_VALUE"""),43434.64583333333)</f>
        <v>43434.64583</v>
      </c>
      <c r="B1511" s="1">
        <f>IFERROR(__xludf.DUMMYFUNCTION("""COMPUTED_VALUE"""),5000.0)</f>
        <v>5000</v>
      </c>
      <c r="C1511" s="1">
        <f>IFERROR(__xludf.DUMMYFUNCTION("""COMPUTED_VALUE"""),5060.0)</f>
        <v>5060</v>
      </c>
      <c r="D1511" s="1">
        <f>IFERROR(__xludf.DUMMYFUNCTION("""COMPUTED_VALUE"""),4750.0)</f>
        <v>4750</v>
      </c>
      <c r="E1511" s="1">
        <f>IFERROR(__xludf.DUMMYFUNCTION("""COMPUTED_VALUE"""),4890.0)</f>
        <v>4890</v>
      </c>
      <c r="F1511" s="1">
        <f>IFERROR(__xludf.DUMMYFUNCTION("""COMPUTED_VALUE"""),59160.0)</f>
        <v>59160</v>
      </c>
    </row>
    <row r="1512">
      <c r="A1512" s="2">
        <f>IFERROR(__xludf.DUMMYFUNCTION("""COMPUTED_VALUE"""),43437.64583333333)</f>
        <v>43437.64583</v>
      </c>
      <c r="B1512" s="1">
        <f>IFERROR(__xludf.DUMMYFUNCTION("""COMPUTED_VALUE"""),4940.0)</f>
        <v>4940</v>
      </c>
      <c r="C1512" s="1">
        <f>IFERROR(__xludf.DUMMYFUNCTION("""COMPUTED_VALUE"""),4975.0)</f>
        <v>4975</v>
      </c>
      <c r="D1512" s="1">
        <f>IFERROR(__xludf.DUMMYFUNCTION("""COMPUTED_VALUE"""),4710.0)</f>
        <v>4710</v>
      </c>
      <c r="E1512" s="1">
        <f>IFERROR(__xludf.DUMMYFUNCTION("""COMPUTED_VALUE"""),4890.0)</f>
        <v>4890</v>
      </c>
      <c r="F1512" s="1">
        <f>IFERROR(__xludf.DUMMYFUNCTION("""COMPUTED_VALUE"""),35300.0)</f>
        <v>35300</v>
      </c>
    </row>
    <row r="1513">
      <c r="A1513" s="2">
        <f>IFERROR(__xludf.DUMMYFUNCTION("""COMPUTED_VALUE"""),43438.64583333333)</f>
        <v>43438.64583</v>
      </c>
      <c r="B1513" s="1">
        <f>IFERROR(__xludf.DUMMYFUNCTION("""COMPUTED_VALUE"""),4990.0)</f>
        <v>4990</v>
      </c>
      <c r="C1513" s="1">
        <f>IFERROR(__xludf.DUMMYFUNCTION("""COMPUTED_VALUE"""),4990.0)</f>
        <v>4990</v>
      </c>
      <c r="D1513" s="1">
        <f>IFERROR(__xludf.DUMMYFUNCTION("""COMPUTED_VALUE"""),4800.0)</f>
        <v>4800</v>
      </c>
      <c r="E1513" s="1">
        <f>IFERROR(__xludf.DUMMYFUNCTION("""COMPUTED_VALUE"""),4890.0)</f>
        <v>4890</v>
      </c>
      <c r="F1513" s="1">
        <f>IFERROR(__xludf.DUMMYFUNCTION("""COMPUTED_VALUE"""),22317.0)</f>
        <v>22317</v>
      </c>
    </row>
    <row r="1514">
      <c r="A1514" s="2">
        <f>IFERROR(__xludf.DUMMYFUNCTION("""COMPUTED_VALUE"""),43439.64583333333)</f>
        <v>43439.64583</v>
      </c>
      <c r="B1514" s="1">
        <f>IFERROR(__xludf.DUMMYFUNCTION("""COMPUTED_VALUE"""),4730.0)</f>
        <v>4730</v>
      </c>
      <c r="C1514" s="1">
        <f>IFERROR(__xludf.DUMMYFUNCTION("""COMPUTED_VALUE"""),4880.0)</f>
        <v>4880</v>
      </c>
      <c r="D1514" s="1">
        <f>IFERROR(__xludf.DUMMYFUNCTION("""COMPUTED_VALUE"""),4730.0)</f>
        <v>4730</v>
      </c>
      <c r="E1514" s="1">
        <f>IFERROR(__xludf.DUMMYFUNCTION("""COMPUTED_VALUE"""),4805.0)</f>
        <v>4805</v>
      </c>
      <c r="F1514" s="1">
        <f>IFERROR(__xludf.DUMMYFUNCTION("""COMPUTED_VALUE"""),14913.0)</f>
        <v>14913</v>
      </c>
    </row>
    <row r="1515">
      <c r="A1515" s="2">
        <f>IFERROR(__xludf.DUMMYFUNCTION("""COMPUTED_VALUE"""),43440.64583333333)</f>
        <v>43440.64583</v>
      </c>
      <c r="B1515" s="1">
        <f>IFERROR(__xludf.DUMMYFUNCTION("""COMPUTED_VALUE"""),4805.0)</f>
        <v>4805</v>
      </c>
      <c r="C1515" s="1">
        <f>IFERROR(__xludf.DUMMYFUNCTION("""COMPUTED_VALUE"""),4880.0)</f>
        <v>4880</v>
      </c>
      <c r="D1515" s="1">
        <f>IFERROR(__xludf.DUMMYFUNCTION("""COMPUTED_VALUE"""),4700.0)</f>
        <v>4700</v>
      </c>
      <c r="E1515" s="1">
        <f>IFERROR(__xludf.DUMMYFUNCTION("""COMPUTED_VALUE"""),4770.0)</f>
        <v>4770</v>
      </c>
      <c r="F1515" s="1">
        <f>IFERROR(__xludf.DUMMYFUNCTION("""COMPUTED_VALUE"""),190734.0)</f>
        <v>190734</v>
      </c>
    </row>
    <row r="1516">
      <c r="A1516" s="2">
        <f>IFERROR(__xludf.DUMMYFUNCTION("""COMPUTED_VALUE"""),43441.64583333333)</f>
        <v>43441.64583</v>
      </c>
      <c r="B1516" s="1">
        <f>IFERROR(__xludf.DUMMYFUNCTION("""COMPUTED_VALUE"""),4870.0)</f>
        <v>4870</v>
      </c>
      <c r="C1516" s="1">
        <f>IFERROR(__xludf.DUMMYFUNCTION("""COMPUTED_VALUE"""),4870.0)</f>
        <v>4870</v>
      </c>
      <c r="D1516" s="1">
        <f>IFERROR(__xludf.DUMMYFUNCTION("""COMPUTED_VALUE"""),4720.0)</f>
        <v>4720</v>
      </c>
      <c r="E1516" s="1">
        <f>IFERROR(__xludf.DUMMYFUNCTION("""COMPUTED_VALUE"""),4750.0)</f>
        <v>4750</v>
      </c>
      <c r="F1516" s="1">
        <f>IFERROR(__xludf.DUMMYFUNCTION("""COMPUTED_VALUE"""),13095.0)</f>
        <v>13095</v>
      </c>
    </row>
    <row r="1517">
      <c r="A1517" s="2">
        <f>IFERROR(__xludf.DUMMYFUNCTION("""COMPUTED_VALUE"""),43444.64583333333)</f>
        <v>43444.64583</v>
      </c>
      <c r="B1517" s="1">
        <f>IFERROR(__xludf.DUMMYFUNCTION("""COMPUTED_VALUE"""),4750.0)</f>
        <v>4750</v>
      </c>
      <c r="C1517" s="1">
        <f>IFERROR(__xludf.DUMMYFUNCTION("""COMPUTED_VALUE"""),4890.0)</f>
        <v>4890</v>
      </c>
      <c r="D1517" s="1">
        <f>IFERROR(__xludf.DUMMYFUNCTION("""COMPUTED_VALUE"""),4680.0)</f>
        <v>4680</v>
      </c>
      <c r="E1517" s="1">
        <f>IFERROR(__xludf.DUMMYFUNCTION("""COMPUTED_VALUE"""),4780.0)</f>
        <v>4780</v>
      </c>
      <c r="F1517" s="1">
        <f>IFERROR(__xludf.DUMMYFUNCTION("""COMPUTED_VALUE"""),26034.0)</f>
        <v>26034</v>
      </c>
    </row>
    <row r="1518">
      <c r="A1518" s="2">
        <f>IFERROR(__xludf.DUMMYFUNCTION("""COMPUTED_VALUE"""),43445.64583333333)</f>
        <v>43445.64583</v>
      </c>
      <c r="B1518" s="1">
        <f>IFERROR(__xludf.DUMMYFUNCTION("""COMPUTED_VALUE"""),4825.0)</f>
        <v>4825</v>
      </c>
      <c r="C1518" s="1">
        <f>IFERROR(__xludf.DUMMYFUNCTION("""COMPUTED_VALUE"""),4825.0)</f>
        <v>4825</v>
      </c>
      <c r="D1518" s="1">
        <f>IFERROR(__xludf.DUMMYFUNCTION("""COMPUTED_VALUE"""),4685.0)</f>
        <v>4685</v>
      </c>
      <c r="E1518" s="1">
        <f>IFERROR(__xludf.DUMMYFUNCTION("""COMPUTED_VALUE"""),4700.0)</f>
        <v>4700</v>
      </c>
      <c r="F1518" s="1">
        <f>IFERROR(__xludf.DUMMYFUNCTION("""COMPUTED_VALUE"""),21486.0)</f>
        <v>21486</v>
      </c>
    </row>
    <row r="1519">
      <c r="A1519" s="2">
        <f>IFERROR(__xludf.DUMMYFUNCTION("""COMPUTED_VALUE"""),43446.64583333333)</f>
        <v>43446.64583</v>
      </c>
      <c r="B1519" s="1">
        <f>IFERROR(__xludf.DUMMYFUNCTION("""COMPUTED_VALUE"""),4700.0)</f>
        <v>4700</v>
      </c>
      <c r="C1519" s="1">
        <f>IFERROR(__xludf.DUMMYFUNCTION("""COMPUTED_VALUE"""),4845.0)</f>
        <v>4845</v>
      </c>
      <c r="D1519" s="1">
        <f>IFERROR(__xludf.DUMMYFUNCTION("""COMPUTED_VALUE"""),4620.0)</f>
        <v>4620</v>
      </c>
      <c r="E1519" s="1">
        <f>IFERROR(__xludf.DUMMYFUNCTION("""COMPUTED_VALUE"""),4730.0)</f>
        <v>4730</v>
      </c>
      <c r="F1519" s="1">
        <f>IFERROR(__xludf.DUMMYFUNCTION("""COMPUTED_VALUE"""),14941.0)</f>
        <v>14941</v>
      </c>
    </row>
    <row r="1520">
      <c r="A1520" s="2">
        <f>IFERROR(__xludf.DUMMYFUNCTION("""COMPUTED_VALUE"""),43447.64583333333)</f>
        <v>43447.64583</v>
      </c>
      <c r="B1520" s="1">
        <f>IFERROR(__xludf.DUMMYFUNCTION("""COMPUTED_VALUE"""),4725.0)</f>
        <v>4725</v>
      </c>
      <c r="C1520" s="1">
        <f>IFERROR(__xludf.DUMMYFUNCTION("""COMPUTED_VALUE"""),4895.0)</f>
        <v>4895</v>
      </c>
      <c r="D1520" s="1">
        <f>IFERROR(__xludf.DUMMYFUNCTION("""COMPUTED_VALUE"""),4705.0)</f>
        <v>4705</v>
      </c>
      <c r="E1520" s="1">
        <f>IFERROR(__xludf.DUMMYFUNCTION("""COMPUTED_VALUE"""),4865.0)</f>
        <v>4865</v>
      </c>
      <c r="F1520" s="1">
        <f>IFERROR(__xludf.DUMMYFUNCTION("""COMPUTED_VALUE"""),21364.0)</f>
        <v>21364</v>
      </c>
    </row>
    <row r="1521">
      <c r="A1521" s="2">
        <f>IFERROR(__xludf.DUMMYFUNCTION("""COMPUTED_VALUE"""),43448.64583333333)</f>
        <v>43448.64583</v>
      </c>
      <c r="B1521" s="1">
        <f>IFERROR(__xludf.DUMMYFUNCTION("""COMPUTED_VALUE"""),4865.0)</f>
        <v>4865</v>
      </c>
      <c r="C1521" s="1">
        <f>IFERROR(__xludf.DUMMYFUNCTION("""COMPUTED_VALUE"""),5000.0)</f>
        <v>5000</v>
      </c>
      <c r="D1521" s="1">
        <f>IFERROR(__xludf.DUMMYFUNCTION("""COMPUTED_VALUE"""),4795.0)</f>
        <v>4795</v>
      </c>
      <c r="E1521" s="1">
        <f>IFERROR(__xludf.DUMMYFUNCTION("""COMPUTED_VALUE"""),4825.0)</f>
        <v>4825</v>
      </c>
      <c r="F1521" s="1">
        <f>IFERROR(__xludf.DUMMYFUNCTION("""COMPUTED_VALUE"""),89640.0)</f>
        <v>89640</v>
      </c>
    </row>
    <row r="1522">
      <c r="A1522" s="2">
        <f>IFERROR(__xludf.DUMMYFUNCTION("""COMPUTED_VALUE"""),43451.64583333333)</f>
        <v>43451.64583</v>
      </c>
      <c r="B1522" s="1">
        <f>IFERROR(__xludf.DUMMYFUNCTION("""COMPUTED_VALUE"""),4750.0)</f>
        <v>4750</v>
      </c>
      <c r="C1522" s="1">
        <f>IFERROR(__xludf.DUMMYFUNCTION("""COMPUTED_VALUE"""),4820.0)</f>
        <v>4820</v>
      </c>
      <c r="D1522" s="1">
        <f>IFERROR(__xludf.DUMMYFUNCTION("""COMPUTED_VALUE"""),4500.0)</f>
        <v>4500</v>
      </c>
      <c r="E1522" s="1">
        <f>IFERROR(__xludf.DUMMYFUNCTION("""COMPUTED_VALUE"""),4660.0)</f>
        <v>4660</v>
      </c>
      <c r="F1522" s="1">
        <f>IFERROR(__xludf.DUMMYFUNCTION("""COMPUTED_VALUE"""),41387.0)</f>
        <v>41387</v>
      </c>
    </row>
    <row r="1523">
      <c r="A1523" s="2">
        <f>IFERROR(__xludf.DUMMYFUNCTION("""COMPUTED_VALUE"""),43452.64583333333)</f>
        <v>43452.64583</v>
      </c>
      <c r="B1523" s="1">
        <f>IFERROR(__xludf.DUMMYFUNCTION("""COMPUTED_VALUE"""),4600.0)</f>
        <v>4600</v>
      </c>
      <c r="C1523" s="1">
        <f>IFERROR(__xludf.DUMMYFUNCTION("""COMPUTED_VALUE"""),4680.0)</f>
        <v>4680</v>
      </c>
      <c r="D1523" s="1">
        <f>IFERROR(__xludf.DUMMYFUNCTION("""COMPUTED_VALUE"""),4465.0)</f>
        <v>4465</v>
      </c>
      <c r="E1523" s="1">
        <f>IFERROR(__xludf.DUMMYFUNCTION("""COMPUTED_VALUE"""),4605.0)</f>
        <v>4605</v>
      </c>
      <c r="F1523" s="1">
        <f>IFERROR(__xludf.DUMMYFUNCTION("""COMPUTED_VALUE"""),19992.0)</f>
        <v>19992</v>
      </c>
    </row>
    <row r="1524">
      <c r="A1524" s="2">
        <f>IFERROR(__xludf.DUMMYFUNCTION("""COMPUTED_VALUE"""),43453.64583333333)</f>
        <v>43453.64583</v>
      </c>
      <c r="B1524" s="1">
        <f>IFERROR(__xludf.DUMMYFUNCTION("""COMPUTED_VALUE"""),4605.0)</f>
        <v>4605</v>
      </c>
      <c r="C1524" s="1">
        <f>IFERROR(__xludf.DUMMYFUNCTION("""COMPUTED_VALUE"""),4690.0)</f>
        <v>4690</v>
      </c>
      <c r="D1524" s="1">
        <f>IFERROR(__xludf.DUMMYFUNCTION("""COMPUTED_VALUE"""),4495.0)</f>
        <v>4495</v>
      </c>
      <c r="E1524" s="1">
        <f>IFERROR(__xludf.DUMMYFUNCTION("""COMPUTED_VALUE"""),4650.0)</f>
        <v>4650</v>
      </c>
      <c r="F1524" s="1">
        <f>IFERROR(__xludf.DUMMYFUNCTION("""COMPUTED_VALUE"""),23066.0)</f>
        <v>23066</v>
      </c>
    </row>
    <row r="1525">
      <c r="A1525" s="2">
        <f>IFERROR(__xludf.DUMMYFUNCTION("""COMPUTED_VALUE"""),43454.64583333333)</f>
        <v>43454.64583</v>
      </c>
      <c r="B1525" s="1">
        <f>IFERROR(__xludf.DUMMYFUNCTION("""COMPUTED_VALUE"""),4600.0)</f>
        <v>4600</v>
      </c>
      <c r="C1525" s="1">
        <f>IFERROR(__xludf.DUMMYFUNCTION("""COMPUTED_VALUE"""),4685.0)</f>
        <v>4685</v>
      </c>
      <c r="D1525" s="1">
        <f>IFERROR(__xludf.DUMMYFUNCTION("""COMPUTED_VALUE"""),4525.0)</f>
        <v>4525</v>
      </c>
      <c r="E1525" s="1">
        <f>IFERROR(__xludf.DUMMYFUNCTION("""COMPUTED_VALUE"""),4620.0)</f>
        <v>4620</v>
      </c>
      <c r="F1525" s="1">
        <f>IFERROR(__xludf.DUMMYFUNCTION("""COMPUTED_VALUE"""),17442.0)</f>
        <v>17442</v>
      </c>
    </row>
    <row r="1526">
      <c r="A1526" s="2">
        <f>IFERROR(__xludf.DUMMYFUNCTION("""COMPUTED_VALUE"""),43455.64583333333)</f>
        <v>43455.64583</v>
      </c>
      <c r="B1526" s="1">
        <f>IFERROR(__xludf.DUMMYFUNCTION("""COMPUTED_VALUE"""),4600.0)</f>
        <v>4600</v>
      </c>
      <c r="C1526" s="1">
        <f>IFERROR(__xludf.DUMMYFUNCTION("""COMPUTED_VALUE"""),4620.0)</f>
        <v>4620</v>
      </c>
      <c r="D1526" s="1">
        <f>IFERROR(__xludf.DUMMYFUNCTION("""COMPUTED_VALUE"""),4500.0)</f>
        <v>4500</v>
      </c>
      <c r="E1526" s="1">
        <f>IFERROR(__xludf.DUMMYFUNCTION("""COMPUTED_VALUE"""),4505.0)</f>
        <v>4505</v>
      </c>
      <c r="F1526" s="1">
        <f>IFERROR(__xludf.DUMMYFUNCTION("""COMPUTED_VALUE"""),39834.0)</f>
        <v>39834</v>
      </c>
    </row>
    <row r="1527">
      <c r="A1527" s="2">
        <f>IFERROR(__xludf.DUMMYFUNCTION("""COMPUTED_VALUE"""),43458.64583333333)</f>
        <v>43458.64583</v>
      </c>
      <c r="B1527" s="1">
        <f>IFERROR(__xludf.DUMMYFUNCTION("""COMPUTED_VALUE"""),4495.0)</f>
        <v>4495</v>
      </c>
      <c r="C1527" s="1">
        <f>IFERROR(__xludf.DUMMYFUNCTION("""COMPUTED_VALUE"""),4545.0)</f>
        <v>4545</v>
      </c>
      <c r="D1527" s="1">
        <f>IFERROR(__xludf.DUMMYFUNCTION("""COMPUTED_VALUE"""),4400.0)</f>
        <v>4400</v>
      </c>
      <c r="E1527" s="1">
        <f>IFERROR(__xludf.DUMMYFUNCTION("""COMPUTED_VALUE"""),4485.0)</f>
        <v>4485</v>
      </c>
      <c r="F1527" s="1">
        <f>IFERROR(__xludf.DUMMYFUNCTION("""COMPUTED_VALUE"""),32504.0)</f>
        <v>32504</v>
      </c>
    </row>
    <row r="1528">
      <c r="A1528" s="2">
        <f>IFERROR(__xludf.DUMMYFUNCTION("""COMPUTED_VALUE"""),43460.64583333333)</f>
        <v>43460.64583</v>
      </c>
      <c r="B1528" s="1">
        <f>IFERROR(__xludf.DUMMYFUNCTION("""COMPUTED_VALUE"""),4350.0)</f>
        <v>4350</v>
      </c>
      <c r="C1528" s="1">
        <f>IFERROR(__xludf.DUMMYFUNCTION("""COMPUTED_VALUE"""),4485.0)</f>
        <v>4485</v>
      </c>
      <c r="D1528" s="1">
        <f>IFERROR(__xludf.DUMMYFUNCTION("""COMPUTED_VALUE"""),4100.0)</f>
        <v>4100</v>
      </c>
      <c r="E1528" s="1">
        <f>IFERROR(__xludf.DUMMYFUNCTION("""COMPUTED_VALUE"""),4260.0)</f>
        <v>4260</v>
      </c>
      <c r="F1528" s="1">
        <f>IFERROR(__xludf.DUMMYFUNCTION("""COMPUTED_VALUE"""),155524.0)</f>
        <v>155524</v>
      </c>
    </row>
    <row r="1529">
      <c r="A1529" s="2">
        <f>IFERROR(__xludf.DUMMYFUNCTION("""COMPUTED_VALUE"""),43461.64583333333)</f>
        <v>43461.64583</v>
      </c>
      <c r="B1529" s="1">
        <f>IFERROR(__xludf.DUMMYFUNCTION("""COMPUTED_VALUE"""),4330.0)</f>
        <v>4330</v>
      </c>
      <c r="C1529" s="1">
        <f>IFERROR(__xludf.DUMMYFUNCTION("""COMPUTED_VALUE"""),4440.0)</f>
        <v>4440</v>
      </c>
      <c r="D1529" s="1">
        <f>IFERROR(__xludf.DUMMYFUNCTION("""COMPUTED_VALUE"""),4205.0)</f>
        <v>4205</v>
      </c>
      <c r="E1529" s="1">
        <f>IFERROR(__xludf.DUMMYFUNCTION("""COMPUTED_VALUE"""),4370.0)</f>
        <v>4370</v>
      </c>
      <c r="F1529" s="1">
        <f>IFERROR(__xludf.DUMMYFUNCTION("""COMPUTED_VALUE"""),23478.0)</f>
        <v>23478</v>
      </c>
    </row>
    <row r="1530">
      <c r="A1530" s="2">
        <f>IFERROR(__xludf.DUMMYFUNCTION("""COMPUTED_VALUE"""),43462.64583333333)</f>
        <v>43462.64583</v>
      </c>
      <c r="B1530" s="1">
        <f>IFERROR(__xludf.DUMMYFUNCTION("""COMPUTED_VALUE"""),4435.0)</f>
        <v>4435</v>
      </c>
      <c r="C1530" s="1">
        <f>IFERROR(__xludf.DUMMYFUNCTION("""COMPUTED_VALUE"""),4590.0)</f>
        <v>4590</v>
      </c>
      <c r="D1530" s="1">
        <f>IFERROR(__xludf.DUMMYFUNCTION("""COMPUTED_VALUE"""),4330.0)</f>
        <v>4330</v>
      </c>
      <c r="E1530" s="1">
        <f>IFERROR(__xludf.DUMMYFUNCTION("""COMPUTED_VALUE"""),4545.0)</f>
        <v>4545</v>
      </c>
      <c r="F1530" s="1">
        <f>IFERROR(__xludf.DUMMYFUNCTION("""COMPUTED_VALUE"""),32366.0)</f>
        <v>32366</v>
      </c>
    </row>
    <row r="1531">
      <c r="A1531" s="2">
        <f>IFERROR(__xludf.DUMMYFUNCTION("""COMPUTED_VALUE"""),43467.64583333333)</f>
        <v>43467.64583</v>
      </c>
      <c r="B1531" s="1">
        <f>IFERROR(__xludf.DUMMYFUNCTION("""COMPUTED_VALUE"""),4590.0)</f>
        <v>4590</v>
      </c>
      <c r="C1531" s="1">
        <f>IFERROR(__xludf.DUMMYFUNCTION("""COMPUTED_VALUE"""),4595.0)</f>
        <v>4595</v>
      </c>
      <c r="D1531" s="1">
        <f>IFERROR(__xludf.DUMMYFUNCTION("""COMPUTED_VALUE"""),4400.0)</f>
        <v>4400</v>
      </c>
      <c r="E1531" s="1">
        <f>IFERROR(__xludf.DUMMYFUNCTION("""COMPUTED_VALUE"""),4475.0)</f>
        <v>4475</v>
      </c>
      <c r="F1531" s="1">
        <f>IFERROR(__xludf.DUMMYFUNCTION("""COMPUTED_VALUE"""),12976.0)</f>
        <v>12976</v>
      </c>
    </row>
    <row r="1532">
      <c r="A1532" s="2">
        <f>IFERROR(__xludf.DUMMYFUNCTION("""COMPUTED_VALUE"""),43468.64583333333)</f>
        <v>43468.64583</v>
      </c>
      <c r="B1532" s="1">
        <f>IFERROR(__xludf.DUMMYFUNCTION("""COMPUTED_VALUE"""),4420.0)</f>
        <v>4420</v>
      </c>
      <c r="C1532" s="1">
        <f>IFERROR(__xludf.DUMMYFUNCTION("""COMPUTED_VALUE"""),4480.0)</f>
        <v>4480</v>
      </c>
      <c r="D1532" s="1">
        <f>IFERROR(__xludf.DUMMYFUNCTION("""COMPUTED_VALUE"""),4345.0)</f>
        <v>4345</v>
      </c>
      <c r="E1532" s="1">
        <f>IFERROR(__xludf.DUMMYFUNCTION("""COMPUTED_VALUE"""),4380.0)</f>
        <v>4380</v>
      </c>
      <c r="F1532" s="1">
        <f>IFERROR(__xludf.DUMMYFUNCTION("""COMPUTED_VALUE"""),41295.0)</f>
        <v>41295</v>
      </c>
    </row>
    <row r="1533">
      <c r="A1533" s="2">
        <f>IFERROR(__xludf.DUMMYFUNCTION("""COMPUTED_VALUE"""),43469.64583333333)</f>
        <v>43469.64583</v>
      </c>
      <c r="B1533" s="1">
        <f>IFERROR(__xludf.DUMMYFUNCTION("""COMPUTED_VALUE"""),4380.0)</f>
        <v>4380</v>
      </c>
      <c r="C1533" s="1">
        <f>IFERROR(__xludf.DUMMYFUNCTION("""COMPUTED_VALUE"""),4525.0)</f>
        <v>4525</v>
      </c>
      <c r="D1533" s="1">
        <f>IFERROR(__xludf.DUMMYFUNCTION("""COMPUTED_VALUE"""),4255.0)</f>
        <v>4255</v>
      </c>
      <c r="E1533" s="1">
        <f>IFERROR(__xludf.DUMMYFUNCTION("""COMPUTED_VALUE"""),4505.0)</f>
        <v>4505</v>
      </c>
      <c r="F1533" s="1">
        <f>IFERROR(__xludf.DUMMYFUNCTION("""COMPUTED_VALUE"""),38880.0)</f>
        <v>38880</v>
      </c>
    </row>
    <row r="1534">
      <c r="A1534" s="2">
        <f>IFERROR(__xludf.DUMMYFUNCTION("""COMPUTED_VALUE"""),43472.64583333333)</f>
        <v>43472.64583</v>
      </c>
      <c r="B1534" s="1">
        <f>IFERROR(__xludf.DUMMYFUNCTION("""COMPUTED_VALUE"""),4600.0)</f>
        <v>4600</v>
      </c>
      <c r="C1534" s="1">
        <f>IFERROR(__xludf.DUMMYFUNCTION("""COMPUTED_VALUE"""),4775.0)</f>
        <v>4775</v>
      </c>
      <c r="D1534" s="1">
        <f>IFERROR(__xludf.DUMMYFUNCTION("""COMPUTED_VALUE"""),4580.0)</f>
        <v>4580</v>
      </c>
      <c r="E1534" s="1">
        <f>IFERROR(__xludf.DUMMYFUNCTION("""COMPUTED_VALUE"""),4665.0)</f>
        <v>4665</v>
      </c>
      <c r="F1534" s="1">
        <f>IFERROR(__xludf.DUMMYFUNCTION("""COMPUTED_VALUE"""),35410.0)</f>
        <v>35410</v>
      </c>
    </row>
    <row r="1535">
      <c r="A1535" s="2">
        <f>IFERROR(__xludf.DUMMYFUNCTION("""COMPUTED_VALUE"""),43473.64583333333)</f>
        <v>43473.64583</v>
      </c>
      <c r="B1535" s="1">
        <f>IFERROR(__xludf.DUMMYFUNCTION("""COMPUTED_VALUE"""),4670.0)</f>
        <v>4670</v>
      </c>
      <c r="C1535" s="1">
        <f>IFERROR(__xludf.DUMMYFUNCTION("""COMPUTED_VALUE"""),4790.0)</f>
        <v>4790</v>
      </c>
      <c r="D1535" s="1">
        <f>IFERROR(__xludf.DUMMYFUNCTION("""COMPUTED_VALUE"""),4560.0)</f>
        <v>4560</v>
      </c>
      <c r="E1535" s="1">
        <f>IFERROR(__xludf.DUMMYFUNCTION("""COMPUTED_VALUE"""),4600.0)</f>
        <v>4600</v>
      </c>
      <c r="F1535" s="1">
        <f>IFERROR(__xludf.DUMMYFUNCTION("""COMPUTED_VALUE"""),21745.0)</f>
        <v>21745</v>
      </c>
    </row>
    <row r="1536">
      <c r="A1536" s="2">
        <f>IFERROR(__xludf.DUMMYFUNCTION("""COMPUTED_VALUE"""),43474.64583333333)</f>
        <v>43474.64583</v>
      </c>
      <c r="B1536" s="1">
        <f>IFERROR(__xludf.DUMMYFUNCTION("""COMPUTED_VALUE"""),4690.0)</f>
        <v>4690</v>
      </c>
      <c r="C1536" s="1">
        <f>IFERROR(__xludf.DUMMYFUNCTION("""COMPUTED_VALUE"""),4690.0)</f>
        <v>4690</v>
      </c>
      <c r="D1536" s="1">
        <f>IFERROR(__xludf.DUMMYFUNCTION("""COMPUTED_VALUE"""),4580.0)</f>
        <v>4580</v>
      </c>
      <c r="E1536" s="1">
        <f>IFERROR(__xludf.DUMMYFUNCTION("""COMPUTED_VALUE"""),4645.0)</f>
        <v>4645</v>
      </c>
      <c r="F1536" s="1">
        <f>IFERROR(__xludf.DUMMYFUNCTION("""COMPUTED_VALUE"""),22473.0)</f>
        <v>22473</v>
      </c>
    </row>
    <row r="1537">
      <c r="A1537" s="2">
        <f>IFERROR(__xludf.DUMMYFUNCTION("""COMPUTED_VALUE"""),43475.64583333333)</f>
        <v>43475.64583</v>
      </c>
      <c r="B1537" s="1">
        <f>IFERROR(__xludf.DUMMYFUNCTION("""COMPUTED_VALUE"""),4590.0)</f>
        <v>4590</v>
      </c>
      <c r="C1537" s="1">
        <f>IFERROR(__xludf.DUMMYFUNCTION("""COMPUTED_VALUE"""),4750.0)</f>
        <v>4750</v>
      </c>
      <c r="D1537" s="1">
        <f>IFERROR(__xludf.DUMMYFUNCTION("""COMPUTED_VALUE"""),4550.0)</f>
        <v>4550</v>
      </c>
      <c r="E1537" s="1">
        <f>IFERROR(__xludf.DUMMYFUNCTION("""COMPUTED_VALUE"""),4565.0)</f>
        <v>4565</v>
      </c>
      <c r="F1537" s="1">
        <f>IFERROR(__xludf.DUMMYFUNCTION("""COMPUTED_VALUE"""),17703.0)</f>
        <v>17703</v>
      </c>
    </row>
    <row r="1538">
      <c r="A1538" s="2">
        <f>IFERROR(__xludf.DUMMYFUNCTION("""COMPUTED_VALUE"""),43476.64583333333)</f>
        <v>43476.64583</v>
      </c>
      <c r="B1538" s="1">
        <f>IFERROR(__xludf.DUMMYFUNCTION("""COMPUTED_VALUE"""),4555.0)</f>
        <v>4555</v>
      </c>
      <c r="C1538" s="1">
        <f>IFERROR(__xludf.DUMMYFUNCTION("""COMPUTED_VALUE"""),4720.0)</f>
        <v>4720</v>
      </c>
      <c r="D1538" s="1">
        <f>IFERROR(__xludf.DUMMYFUNCTION("""COMPUTED_VALUE"""),4555.0)</f>
        <v>4555</v>
      </c>
      <c r="E1538" s="1">
        <f>IFERROR(__xludf.DUMMYFUNCTION("""COMPUTED_VALUE"""),4590.0)</f>
        <v>4590</v>
      </c>
      <c r="F1538" s="1">
        <f>IFERROR(__xludf.DUMMYFUNCTION("""COMPUTED_VALUE"""),19830.0)</f>
        <v>19830</v>
      </c>
    </row>
    <row r="1539">
      <c r="A1539" s="2">
        <f>IFERROR(__xludf.DUMMYFUNCTION("""COMPUTED_VALUE"""),43479.64583333333)</f>
        <v>43479.64583</v>
      </c>
      <c r="B1539" s="1">
        <f>IFERROR(__xludf.DUMMYFUNCTION("""COMPUTED_VALUE"""),4600.0)</f>
        <v>4600</v>
      </c>
      <c r="C1539" s="1">
        <f>IFERROR(__xludf.DUMMYFUNCTION("""COMPUTED_VALUE"""),4675.0)</f>
        <v>4675</v>
      </c>
      <c r="D1539" s="1">
        <f>IFERROR(__xludf.DUMMYFUNCTION("""COMPUTED_VALUE"""),4475.0)</f>
        <v>4475</v>
      </c>
      <c r="E1539" s="1">
        <f>IFERROR(__xludf.DUMMYFUNCTION("""COMPUTED_VALUE"""),4500.0)</f>
        <v>4500</v>
      </c>
      <c r="F1539" s="1">
        <f>IFERROR(__xludf.DUMMYFUNCTION("""COMPUTED_VALUE"""),26534.0)</f>
        <v>26534</v>
      </c>
    </row>
    <row r="1540">
      <c r="A1540" s="2">
        <f>IFERROR(__xludf.DUMMYFUNCTION("""COMPUTED_VALUE"""),43480.64583333333)</f>
        <v>43480.64583</v>
      </c>
      <c r="B1540" s="1">
        <f>IFERROR(__xludf.DUMMYFUNCTION("""COMPUTED_VALUE"""),4500.0)</f>
        <v>4500</v>
      </c>
      <c r="C1540" s="1">
        <f>IFERROR(__xludf.DUMMYFUNCTION("""COMPUTED_VALUE"""),4715.0)</f>
        <v>4715</v>
      </c>
      <c r="D1540" s="1">
        <f>IFERROR(__xludf.DUMMYFUNCTION("""COMPUTED_VALUE"""),4500.0)</f>
        <v>4500</v>
      </c>
      <c r="E1540" s="1">
        <f>IFERROR(__xludf.DUMMYFUNCTION("""COMPUTED_VALUE"""),4595.0)</f>
        <v>4595</v>
      </c>
      <c r="F1540" s="1">
        <f>IFERROR(__xludf.DUMMYFUNCTION("""COMPUTED_VALUE"""),34455.0)</f>
        <v>34455</v>
      </c>
    </row>
    <row r="1541">
      <c r="A1541" s="2">
        <f>IFERROR(__xludf.DUMMYFUNCTION("""COMPUTED_VALUE"""),43481.64583333333)</f>
        <v>43481.64583</v>
      </c>
      <c r="B1541" s="1">
        <f>IFERROR(__xludf.DUMMYFUNCTION("""COMPUTED_VALUE"""),4650.0)</f>
        <v>4650</v>
      </c>
      <c r="C1541" s="1">
        <f>IFERROR(__xludf.DUMMYFUNCTION("""COMPUTED_VALUE"""),4690.0)</f>
        <v>4690</v>
      </c>
      <c r="D1541" s="1">
        <f>IFERROR(__xludf.DUMMYFUNCTION("""COMPUTED_VALUE"""),4575.0)</f>
        <v>4575</v>
      </c>
      <c r="E1541" s="1">
        <f>IFERROR(__xludf.DUMMYFUNCTION("""COMPUTED_VALUE"""),4635.0)</f>
        <v>4635</v>
      </c>
      <c r="F1541" s="1">
        <f>IFERROR(__xludf.DUMMYFUNCTION("""COMPUTED_VALUE"""),19785.0)</f>
        <v>19785</v>
      </c>
    </row>
    <row r="1542">
      <c r="A1542" s="2">
        <f>IFERROR(__xludf.DUMMYFUNCTION("""COMPUTED_VALUE"""),43482.64583333333)</f>
        <v>43482.64583</v>
      </c>
      <c r="B1542" s="1">
        <f>IFERROR(__xludf.DUMMYFUNCTION("""COMPUTED_VALUE"""),4650.0)</f>
        <v>4650</v>
      </c>
      <c r="C1542" s="1">
        <f>IFERROR(__xludf.DUMMYFUNCTION("""COMPUTED_VALUE"""),4705.0)</f>
        <v>4705</v>
      </c>
      <c r="D1542" s="1">
        <f>IFERROR(__xludf.DUMMYFUNCTION("""COMPUTED_VALUE"""),4600.0)</f>
        <v>4600</v>
      </c>
      <c r="E1542" s="1">
        <f>IFERROR(__xludf.DUMMYFUNCTION("""COMPUTED_VALUE"""),4660.0)</f>
        <v>4660</v>
      </c>
      <c r="F1542" s="1">
        <f>IFERROR(__xludf.DUMMYFUNCTION("""COMPUTED_VALUE"""),28521.0)</f>
        <v>28521</v>
      </c>
    </row>
    <row r="1543">
      <c r="A1543" s="2">
        <f>IFERROR(__xludf.DUMMYFUNCTION("""COMPUTED_VALUE"""),43483.64583333333)</f>
        <v>43483.64583</v>
      </c>
      <c r="B1543" s="1">
        <f>IFERROR(__xludf.DUMMYFUNCTION("""COMPUTED_VALUE"""),4700.0)</f>
        <v>4700</v>
      </c>
      <c r="C1543" s="1">
        <f>IFERROR(__xludf.DUMMYFUNCTION("""COMPUTED_VALUE"""),4765.0)</f>
        <v>4765</v>
      </c>
      <c r="D1543" s="1">
        <f>IFERROR(__xludf.DUMMYFUNCTION("""COMPUTED_VALUE"""),4680.0)</f>
        <v>4680</v>
      </c>
      <c r="E1543" s="1">
        <f>IFERROR(__xludf.DUMMYFUNCTION("""COMPUTED_VALUE"""),4755.0)</f>
        <v>4755</v>
      </c>
      <c r="F1543" s="1">
        <f>IFERROR(__xludf.DUMMYFUNCTION("""COMPUTED_VALUE"""),56638.0)</f>
        <v>56638</v>
      </c>
    </row>
    <row r="1544">
      <c r="A1544" s="2">
        <f>IFERROR(__xludf.DUMMYFUNCTION("""COMPUTED_VALUE"""),43486.64583333333)</f>
        <v>43486.64583</v>
      </c>
      <c r="B1544" s="1">
        <f>IFERROR(__xludf.DUMMYFUNCTION("""COMPUTED_VALUE"""),4795.0)</f>
        <v>4795</v>
      </c>
      <c r="C1544" s="1">
        <f>IFERROR(__xludf.DUMMYFUNCTION("""COMPUTED_VALUE"""),4795.0)</f>
        <v>4795</v>
      </c>
      <c r="D1544" s="1">
        <f>IFERROR(__xludf.DUMMYFUNCTION("""COMPUTED_VALUE"""),4630.0)</f>
        <v>4630</v>
      </c>
      <c r="E1544" s="1">
        <f>IFERROR(__xludf.DUMMYFUNCTION("""COMPUTED_VALUE"""),4670.0)</f>
        <v>4670</v>
      </c>
      <c r="F1544" s="1">
        <f>IFERROR(__xludf.DUMMYFUNCTION("""COMPUTED_VALUE"""),17277.0)</f>
        <v>17277</v>
      </c>
    </row>
    <row r="1545">
      <c r="A1545" s="2">
        <f>IFERROR(__xludf.DUMMYFUNCTION("""COMPUTED_VALUE"""),43487.64583333333)</f>
        <v>43487.64583</v>
      </c>
      <c r="B1545" s="1">
        <f>IFERROR(__xludf.DUMMYFUNCTION("""COMPUTED_VALUE"""),4660.0)</f>
        <v>4660</v>
      </c>
      <c r="C1545" s="1">
        <f>IFERROR(__xludf.DUMMYFUNCTION("""COMPUTED_VALUE"""),4695.0)</f>
        <v>4695</v>
      </c>
      <c r="D1545" s="1">
        <f>IFERROR(__xludf.DUMMYFUNCTION("""COMPUTED_VALUE"""),4630.0)</f>
        <v>4630</v>
      </c>
      <c r="E1545" s="1">
        <f>IFERROR(__xludf.DUMMYFUNCTION("""COMPUTED_VALUE"""),4680.0)</f>
        <v>4680</v>
      </c>
      <c r="F1545" s="1">
        <f>IFERROR(__xludf.DUMMYFUNCTION("""COMPUTED_VALUE"""),23517.0)</f>
        <v>23517</v>
      </c>
    </row>
    <row r="1546">
      <c r="A1546" s="2">
        <f>IFERROR(__xludf.DUMMYFUNCTION("""COMPUTED_VALUE"""),43488.64583333333)</f>
        <v>43488.64583</v>
      </c>
      <c r="B1546" s="1">
        <f>IFERROR(__xludf.DUMMYFUNCTION("""COMPUTED_VALUE"""),4620.0)</f>
        <v>4620</v>
      </c>
      <c r="C1546" s="1">
        <f>IFERROR(__xludf.DUMMYFUNCTION("""COMPUTED_VALUE"""),4725.0)</f>
        <v>4725</v>
      </c>
      <c r="D1546" s="1">
        <f>IFERROR(__xludf.DUMMYFUNCTION("""COMPUTED_VALUE"""),4605.0)</f>
        <v>4605</v>
      </c>
      <c r="E1546" s="1">
        <f>IFERROR(__xludf.DUMMYFUNCTION("""COMPUTED_VALUE"""),4605.0)</f>
        <v>4605</v>
      </c>
      <c r="F1546" s="1">
        <f>IFERROR(__xludf.DUMMYFUNCTION("""COMPUTED_VALUE"""),64436.0)</f>
        <v>64436</v>
      </c>
    </row>
    <row r="1547">
      <c r="A1547" s="2">
        <f>IFERROR(__xludf.DUMMYFUNCTION("""COMPUTED_VALUE"""),43489.64583333333)</f>
        <v>43489.64583</v>
      </c>
      <c r="B1547" s="1">
        <f>IFERROR(__xludf.DUMMYFUNCTION("""COMPUTED_VALUE"""),4730.0)</f>
        <v>4730</v>
      </c>
      <c r="C1547" s="1">
        <f>IFERROR(__xludf.DUMMYFUNCTION("""COMPUTED_VALUE"""),5180.0)</f>
        <v>5180</v>
      </c>
      <c r="D1547" s="1">
        <f>IFERROR(__xludf.DUMMYFUNCTION("""COMPUTED_VALUE"""),4620.0)</f>
        <v>4620</v>
      </c>
      <c r="E1547" s="1">
        <f>IFERROR(__xludf.DUMMYFUNCTION("""COMPUTED_VALUE"""),4985.0)</f>
        <v>4985</v>
      </c>
      <c r="F1547" s="1">
        <f>IFERROR(__xludf.DUMMYFUNCTION("""COMPUTED_VALUE"""),177436.0)</f>
        <v>177436</v>
      </c>
    </row>
    <row r="1548">
      <c r="A1548" s="2">
        <f>IFERROR(__xludf.DUMMYFUNCTION("""COMPUTED_VALUE"""),43490.64583333333)</f>
        <v>43490.64583</v>
      </c>
      <c r="B1548" s="1">
        <f>IFERROR(__xludf.DUMMYFUNCTION("""COMPUTED_VALUE"""),4960.0)</f>
        <v>4960</v>
      </c>
      <c r="C1548" s="1">
        <f>IFERROR(__xludf.DUMMYFUNCTION("""COMPUTED_VALUE"""),5100.0)</f>
        <v>5100</v>
      </c>
      <c r="D1548" s="1">
        <f>IFERROR(__xludf.DUMMYFUNCTION("""COMPUTED_VALUE"""),4835.0)</f>
        <v>4835</v>
      </c>
      <c r="E1548" s="1">
        <f>IFERROR(__xludf.DUMMYFUNCTION("""COMPUTED_VALUE"""),5020.0)</f>
        <v>5020</v>
      </c>
      <c r="F1548" s="1">
        <f>IFERROR(__xludf.DUMMYFUNCTION("""COMPUTED_VALUE"""),70398.0)</f>
        <v>70398</v>
      </c>
    </row>
    <row r="1549">
      <c r="A1549" s="2">
        <f>IFERROR(__xludf.DUMMYFUNCTION("""COMPUTED_VALUE"""),43493.64583333333)</f>
        <v>43493.64583</v>
      </c>
      <c r="B1549" s="1">
        <f>IFERROR(__xludf.DUMMYFUNCTION("""COMPUTED_VALUE"""),5000.0)</f>
        <v>5000</v>
      </c>
      <c r="C1549" s="1">
        <f>IFERROR(__xludf.DUMMYFUNCTION("""COMPUTED_VALUE"""),5130.0)</f>
        <v>5130</v>
      </c>
      <c r="D1549" s="1">
        <f>IFERROR(__xludf.DUMMYFUNCTION("""COMPUTED_VALUE"""),4980.0)</f>
        <v>4980</v>
      </c>
      <c r="E1549" s="1">
        <f>IFERROR(__xludf.DUMMYFUNCTION("""COMPUTED_VALUE"""),5080.0)</f>
        <v>5080</v>
      </c>
      <c r="F1549" s="1">
        <f>IFERROR(__xludf.DUMMYFUNCTION("""COMPUTED_VALUE"""),55961.0)</f>
        <v>55961</v>
      </c>
    </row>
    <row r="1550">
      <c r="A1550" s="2">
        <f>IFERROR(__xludf.DUMMYFUNCTION("""COMPUTED_VALUE"""),43494.64583333333)</f>
        <v>43494.64583</v>
      </c>
      <c r="B1550" s="1">
        <f>IFERROR(__xludf.DUMMYFUNCTION("""COMPUTED_VALUE"""),5140.0)</f>
        <v>5140</v>
      </c>
      <c r="C1550" s="1">
        <f>IFERROR(__xludf.DUMMYFUNCTION("""COMPUTED_VALUE"""),5140.0)</f>
        <v>5140</v>
      </c>
      <c r="D1550" s="1">
        <f>IFERROR(__xludf.DUMMYFUNCTION("""COMPUTED_VALUE"""),4980.0)</f>
        <v>4980</v>
      </c>
      <c r="E1550" s="1">
        <f>IFERROR(__xludf.DUMMYFUNCTION("""COMPUTED_VALUE"""),5000.0)</f>
        <v>5000</v>
      </c>
      <c r="F1550" s="1">
        <f>IFERROR(__xludf.DUMMYFUNCTION("""COMPUTED_VALUE"""),37541.0)</f>
        <v>37541</v>
      </c>
    </row>
    <row r="1551">
      <c r="A1551" s="2">
        <f>IFERROR(__xludf.DUMMYFUNCTION("""COMPUTED_VALUE"""),43495.64583333333)</f>
        <v>43495.64583</v>
      </c>
      <c r="B1551" s="1">
        <f>IFERROR(__xludf.DUMMYFUNCTION("""COMPUTED_VALUE"""),5000.0)</f>
        <v>5000</v>
      </c>
      <c r="C1551" s="1">
        <f>IFERROR(__xludf.DUMMYFUNCTION("""COMPUTED_VALUE"""),5050.0)</f>
        <v>5050</v>
      </c>
      <c r="D1551" s="1">
        <f>IFERROR(__xludf.DUMMYFUNCTION("""COMPUTED_VALUE"""),4935.0)</f>
        <v>4935</v>
      </c>
      <c r="E1551" s="1">
        <f>IFERROR(__xludf.DUMMYFUNCTION("""COMPUTED_VALUE"""),5000.0)</f>
        <v>5000</v>
      </c>
      <c r="F1551" s="1">
        <f>IFERROR(__xludf.DUMMYFUNCTION("""COMPUTED_VALUE"""),37397.0)</f>
        <v>37397</v>
      </c>
    </row>
    <row r="1552">
      <c r="A1552" s="2">
        <f>IFERROR(__xludf.DUMMYFUNCTION("""COMPUTED_VALUE"""),43496.64583333333)</f>
        <v>43496.64583</v>
      </c>
      <c r="B1552" s="1">
        <f>IFERROR(__xludf.DUMMYFUNCTION("""COMPUTED_VALUE"""),5100.0)</f>
        <v>5100</v>
      </c>
      <c r="C1552" s="1">
        <f>IFERROR(__xludf.DUMMYFUNCTION("""COMPUTED_VALUE"""),5100.0)</f>
        <v>5100</v>
      </c>
      <c r="D1552" s="1">
        <f>IFERROR(__xludf.DUMMYFUNCTION("""COMPUTED_VALUE"""),4950.0)</f>
        <v>4950</v>
      </c>
      <c r="E1552" s="1">
        <f>IFERROR(__xludf.DUMMYFUNCTION("""COMPUTED_VALUE"""),5040.0)</f>
        <v>5040</v>
      </c>
      <c r="F1552" s="1">
        <f>IFERROR(__xludf.DUMMYFUNCTION("""COMPUTED_VALUE"""),34511.0)</f>
        <v>34511</v>
      </c>
    </row>
    <row r="1553">
      <c r="A1553" s="2">
        <f>IFERROR(__xludf.DUMMYFUNCTION("""COMPUTED_VALUE"""),43497.64583333333)</f>
        <v>43497.64583</v>
      </c>
      <c r="B1553" s="1">
        <f>IFERROR(__xludf.DUMMYFUNCTION("""COMPUTED_VALUE"""),5040.0)</f>
        <v>5040</v>
      </c>
      <c r="C1553" s="1">
        <f>IFERROR(__xludf.DUMMYFUNCTION("""COMPUTED_VALUE"""),5050.0)</f>
        <v>5050</v>
      </c>
      <c r="D1553" s="1">
        <f>IFERROR(__xludf.DUMMYFUNCTION("""COMPUTED_VALUE"""),4955.0)</f>
        <v>4955</v>
      </c>
      <c r="E1553" s="1">
        <f>IFERROR(__xludf.DUMMYFUNCTION("""COMPUTED_VALUE"""),5010.0)</f>
        <v>5010</v>
      </c>
      <c r="F1553" s="1">
        <f>IFERROR(__xludf.DUMMYFUNCTION("""COMPUTED_VALUE"""),13140.0)</f>
        <v>13140</v>
      </c>
    </row>
    <row r="1554">
      <c r="A1554" s="2">
        <f>IFERROR(__xludf.DUMMYFUNCTION("""COMPUTED_VALUE"""),43503.64583333333)</f>
        <v>43503.64583</v>
      </c>
      <c r="B1554" s="1">
        <f>IFERROR(__xludf.DUMMYFUNCTION("""COMPUTED_VALUE"""),5000.0)</f>
        <v>5000</v>
      </c>
      <c r="C1554" s="1">
        <f>IFERROR(__xludf.DUMMYFUNCTION("""COMPUTED_VALUE"""),5130.0)</f>
        <v>5130</v>
      </c>
      <c r="D1554" s="1">
        <f>IFERROR(__xludf.DUMMYFUNCTION("""COMPUTED_VALUE"""),4870.0)</f>
        <v>4870</v>
      </c>
      <c r="E1554" s="1">
        <f>IFERROR(__xludf.DUMMYFUNCTION("""COMPUTED_VALUE"""),5110.0)</f>
        <v>5110</v>
      </c>
      <c r="F1554" s="1">
        <f>IFERROR(__xludf.DUMMYFUNCTION("""COMPUTED_VALUE"""),57429.0)</f>
        <v>57429</v>
      </c>
    </row>
    <row r="1555">
      <c r="A1555" s="2">
        <f>IFERROR(__xludf.DUMMYFUNCTION("""COMPUTED_VALUE"""),43504.64583333333)</f>
        <v>43504.64583</v>
      </c>
      <c r="B1555" s="1">
        <f>IFERROR(__xludf.DUMMYFUNCTION("""COMPUTED_VALUE"""),5110.0)</f>
        <v>5110</v>
      </c>
      <c r="C1555" s="1">
        <f>IFERROR(__xludf.DUMMYFUNCTION("""COMPUTED_VALUE"""),5130.0)</f>
        <v>5130</v>
      </c>
      <c r="D1555" s="1">
        <f>IFERROR(__xludf.DUMMYFUNCTION("""COMPUTED_VALUE"""),4975.0)</f>
        <v>4975</v>
      </c>
      <c r="E1555" s="1">
        <f>IFERROR(__xludf.DUMMYFUNCTION("""COMPUTED_VALUE"""),5050.0)</f>
        <v>5050</v>
      </c>
      <c r="F1555" s="1">
        <f>IFERROR(__xludf.DUMMYFUNCTION("""COMPUTED_VALUE"""),28617.0)</f>
        <v>28617</v>
      </c>
    </row>
    <row r="1556">
      <c r="A1556" s="2">
        <f>IFERROR(__xludf.DUMMYFUNCTION("""COMPUTED_VALUE"""),43507.64583333333)</f>
        <v>43507.64583</v>
      </c>
      <c r="B1556" s="1">
        <f>IFERROR(__xludf.DUMMYFUNCTION("""COMPUTED_VALUE"""),5020.0)</f>
        <v>5020</v>
      </c>
      <c r="C1556" s="1">
        <f>IFERROR(__xludf.DUMMYFUNCTION("""COMPUTED_VALUE"""),5110.0)</f>
        <v>5110</v>
      </c>
      <c r="D1556" s="1">
        <f>IFERROR(__xludf.DUMMYFUNCTION("""COMPUTED_VALUE"""),5000.0)</f>
        <v>5000</v>
      </c>
      <c r="E1556" s="1">
        <f>IFERROR(__xludf.DUMMYFUNCTION("""COMPUTED_VALUE"""),5030.0)</f>
        <v>5030</v>
      </c>
      <c r="F1556" s="1">
        <f>IFERROR(__xludf.DUMMYFUNCTION("""COMPUTED_VALUE"""),32240.0)</f>
        <v>32240</v>
      </c>
    </row>
    <row r="1557">
      <c r="A1557" s="2">
        <f>IFERROR(__xludf.DUMMYFUNCTION("""COMPUTED_VALUE"""),43508.64583333333)</f>
        <v>43508.64583</v>
      </c>
      <c r="B1557" s="1">
        <f>IFERROR(__xludf.DUMMYFUNCTION("""COMPUTED_VALUE"""),5100.0)</f>
        <v>5100</v>
      </c>
      <c r="C1557" s="1">
        <f>IFERROR(__xludf.DUMMYFUNCTION("""COMPUTED_VALUE"""),5350.0)</f>
        <v>5350</v>
      </c>
      <c r="D1557" s="1">
        <f>IFERROR(__xludf.DUMMYFUNCTION("""COMPUTED_VALUE"""),5030.0)</f>
        <v>5030</v>
      </c>
      <c r="E1557" s="1">
        <f>IFERROR(__xludf.DUMMYFUNCTION("""COMPUTED_VALUE"""),5240.0)</f>
        <v>5240</v>
      </c>
      <c r="F1557" s="1">
        <f>IFERROR(__xludf.DUMMYFUNCTION("""COMPUTED_VALUE"""),88652.0)</f>
        <v>88652</v>
      </c>
    </row>
    <row r="1558">
      <c r="A1558" s="2">
        <f>IFERROR(__xludf.DUMMYFUNCTION("""COMPUTED_VALUE"""),43509.64583333333)</f>
        <v>43509.64583</v>
      </c>
      <c r="B1558" s="1">
        <f>IFERROR(__xludf.DUMMYFUNCTION("""COMPUTED_VALUE"""),5340.0)</f>
        <v>5340</v>
      </c>
      <c r="C1558" s="1">
        <f>IFERROR(__xludf.DUMMYFUNCTION("""COMPUTED_VALUE"""),5340.0)</f>
        <v>5340</v>
      </c>
      <c r="D1558" s="1">
        <f>IFERROR(__xludf.DUMMYFUNCTION("""COMPUTED_VALUE"""),5230.0)</f>
        <v>5230</v>
      </c>
      <c r="E1558" s="1">
        <f>IFERROR(__xludf.DUMMYFUNCTION("""COMPUTED_VALUE"""),5310.0)</f>
        <v>5310</v>
      </c>
      <c r="F1558" s="1">
        <f>IFERROR(__xludf.DUMMYFUNCTION("""COMPUTED_VALUE"""),43459.0)</f>
        <v>43459</v>
      </c>
    </row>
    <row r="1559">
      <c r="A1559" s="2">
        <f>IFERROR(__xludf.DUMMYFUNCTION("""COMPUTED_VALUE"""),43510.64583333333)</f>
        <v>43510.64583</v>
      </c>
      <c r="B1559" s="1">
        <f>IFERROR(__xludf.DUMMYFUNCTION("""COMPUTED_VALUE"""),5250.0)</f>
        <v>5250</v>
      </c>
      <c r="C1559" s="1">
        <f>IFERROR(__xludf.DUMMYFUNCTION("""COMPUTED_VALUE"""),5330.0)</f>
        <v>5330</v>
      </c>
      <c r="D1559" s="1">
        <f>IFERROR(__xludf.DUMMYFUNCTION("""COMPUTED_VALUE"""),5170.0)</f>
        <v>5170</v>
      </c>
      <c r="E1559" s="1">
        <f>IFERROR(__xludf.DUMMYFUNCTION("""COMPUTED_VALUE"""),5320.0)</f>
        <v>5320</v>
      </c>
      <c r="F1559" s="1">
        <f>IFERROR(__xludf.DUMMYFUNCTION("""COMPUTED_VALUE"""),53749.0)</f>
        <v>53749</v>
      </c>
    </row>
    <row r="1560">
      <c r="A1560" s="2">
        <f>IFERROR(__xludf.DUMMYFUNCTION("""COMPUTED_VALUE"""),43511.64583333333)</f>
        <v>43511.64583</v>
      </c>
      <c r="B1560" s="1">
        <f>IFERROR(__xludf.DUMMYFUNCTION("""COMPUTED_VALUE"""),5300.0)</f>
        <v>5300</v>
      </c>
      <c r="C1560" s="1">
        <f>IFERROR(__xludf.DUMMYFUNCTION("""COMPUTED_VALUE"""),5300.0)</f>
        <v>5300</v>
      </c>
      <c r="D1560" s="1">
        <f>IFERROR(__xludf.DUMMYFUNCTION("""COMPUTED_VALUE"""),5170.0)</f>
        <v>5170</v>
      </c>
      <c r="E1560" s="1">
        <f>IFERROR(__xludf.DUMMYFUNCTION("""COMPUTED_VALUE"""),5220.0)</f>
        <v>5220</v>
      </c>
      <c r="F1560" s="1">
        <f>IFERROR(__xludf.DUMMYFUNCTION("""COMPUTED_VALUE"""),36766.0)</f>
        <v>36766</v>
      </c>
    </row>
    <row r="1561">
      <c r="A1561" s="2">
        <f>IFERROR(__xludf.DUMMYFUNCTION("""COMPUTED_VALUE"""),43514.64583333333)</f>
        <v>43514.64583</v>
      </c>
      <c r="B1561" s="1">
        <f>IFERROR(__xludf.DUMMYFUNCTION("""COMPUTED_VALUE"""),5220.0)</f>
        <v>5220</v>
      </c>
      <c r="C1561" s="1">
        <f>IFERROR(__xludf.DUMMYFUNCTION("""COMPUTED_VALUE"""),5290.0)</f>
        <v>5290</v>
      </c>
      <c r="D1561" s="1">
        <f>IFERROR(__xludf.DUMMYFUNCTION("""COMPUTED_VALUE"""),5160.0)</f>
        <v>5160</v>
      </c>
      <c r="E1561" s="1">
        <f>IFERROR(__xludf.DUMMYFUNCTION("""COMPUTED_VALUE"""),5290.0)</f>
        <v>5290</v>
      </c>
      <c r="F1561" s="1">
        <f>IFERROR(__xludf.DUMMYFUNCTION("""COMPUTED_VALUE"""),36975.0)</f>
        <v>36975</v>
      </c>
    </row>
    <row r="1562">
      <c r="A1562" s="2">
        <f>IFERROR(__xludf.DUMMYFUNCTION("""COMPUTED_VALUE"""),43515.64583333333)</f>
        <v>43515.64583</v>
      </c>
      <c r="B1562" s="1">
        <f>IFERROR(__xludf.DUMMYFUNCTION("""COMPUTED_VALUE"""),5290.0)</f>
        <v>5290</v>
      </c>
      <c r="C1562" s="1">
        <f>IFERROR(__xludf.DUMMYFUNCTION("""COMPUTED_VALUE"""),5340.0)</f>
        <v>5340</v>
      </c>
      <c r="D1562" s="1">
        <f>IFERROR(__xludf.DUMMYFUNCTION("""COMPUTED_VALUE"""),5190.0)</f>
        <v>5190</v>
      </c>
      <c r="E1562" s="1">
        <f>IFERROR(__xludf.DUMMYFUNCTION("""COMPUTED_VALUE"""),5270.0)</f>
        <v>5270</v>
      </c>
      <c r="F1562" s="1">
        <f>IFERROR(__xludf.DUMMYFUNCTION("""COMPUTED_VALUE"""),14784.0)</f>
        <v>14784</v>
      </c>
    </row>
    <row r="1563">
      <c r="A1563" s="2">
        <f>IFERROR(__xludf.DUMMYFUNCTION("""COMPUTED_VALUE"""),43516.64583333333)</f>
        <v>43516.64583</v>
      </c>
      <c r="B1563" s="1">
        <f>IFERROR(__xludf.DUMMYFUNCTION("""COMPUTED_VALUE"""),5270.0)</f>
        <v>5270</v>
      </c>
      <c r="C1563" s="1">
        <f>IFERROR(__xludf.DUMMYFUNCTION("""COMPUTED_VALUE"""),5270.0)</f>
        <v>5270</v>
      </c>
      <c r="D1563" s="1">
        <f>IFERROR(__xludf.DUMMYFUNCTION("""COMPUTED_VALUE"""),5170.0)</f>
        <v>5170</v>
      </c>
      <c r="E1563" s="1">
        <f>IFERROR(__xludf.DUMMYFUNCTION("""COMPUTED_VALUE"""),5220.0)</f>
        <v>5220</v>
      </c>
      <c r="F1563" s="1">
        <f>IFERROR(__xludf.DUMMYFUNCTION("""COMPUTED_VALUE"""),34160.0)</f>
        <v>34160</v>
      </c>
    </row>
    <row r="1564">
      <c r="A1564" s="2">
        <f>IFERROR(__xludf.DUMMYFUNCTION("""COMPUTED_VALUE"""),43517.64583333333)</f>
        <v>43517.64583</v>
      </c>
      <c r="B1564" s="1">
        <f>IFERROR(__xludf.DUMMYFUNCTION("""COMPUTED_VALUE"""),5220.0)</f>
        <v>5220</v>
      </c>
      <c r="C1564" s="1">
        <f>IFERROR(__xludf.DUMMYFUNCTION("""COMPUTED_VALUE"""),5320.0)</f>
        <v>5320</v>
      </c>
      <c r="D1564" s="1">
        <f>IFERROR(__xludf.DUMMYFUNCTION("""COMPUTED_VALUE"""),5220.0)</f>
        <v>5220</v>
      </c>
      <c r="E1564" s="1">
        <f>IFERROR(__xludf.DUMMYFUNCTION("""COMPUTED_VALUE"""),5280.0)</f>
        <v>5280</v>
      </c>
      <c r="F1564" s="1">
        <f>IFERROR(__xludf.DUMMYFUNCTION("""COMPUTED_VALUE"""),23713.0)</f>
        <v>23713</v>
      </c>
    </row>
    <row r="1565">
      <c r="A1565" s="2">
        <f>IFERROR(__xludf.DUMMYFUNCTION("""COMPUTED_VALUE"""),43518.64583333333)</f>
        <v>43518.64583</v>
      </c>
      <c r="B1565" s="1">
        <f>IFERROR(__xludf.DUMMYFUNCTION("""COMPUTED_VALUE"""),5280.0)</f>
        <v>5280</v>
      </c>
      <c r="C1565" s="1">
        <f>IFERROR(__xludf.DUMMYFUNCTION("""COMPUTED_VALUE"""),5330.0)</f>
        <v>5330</v>
      </c>
      <c r="D1565" s="1">
        <f>IFERROR(__xludf.DUMMYFUNCTION("""COMPUTED_VALUE"""),5220.0)</f>
        <v>5220</v>
      </c>
      <c r="E1565" s="1">
        <f>IFERROR(__xludf.DUMMYFUNCTION("""COMPUTED_VALUE"""),5300.0)</f>
        <v>5300</v>
      </c>
      <c r="F1565" s="1">
        <f>IFERROR(__xludf.DUMMYFUNCTION("""COMPUTED_VALUE"""),28788.0)</f>
        <v>28788</v>
      </c>
    </row>
    <row r="1566">
      <c r="A1566" s="2">
        <f>IFERROR(__xludf.DUMMYFUNCTION("""COMPUTED_VALUE"""),43521.64583333333)</f>
        <v>43521.64583</v>
      </c>
      <c r="B1566" s="1">
        <f>IFERROR(__xludf.DUMMYFUNCTION("""COMPUTED_VALUE"""),5500.0)</f>
        <v>5500</v>
      </c>
      <c r="C1566" s="1">
        <f>IFERROR(__xludf.DUMMYFUNCTION("""COMPUTED_VALUE"""),6040.0)</f>
        <v>6040</v>
      </c>
      <c r="D1566" s="1">
        <f>IFERROR(__xludf.DUMMYFUNCTION("""COMPUTED_VALUE"""),5310.0)</f>
        <v>5310</v>
      </c>
      <c r="E1566" s="1">
        <f>IFERROR(__xludf.DUMMYFUNCTION("""COMPUTED_VALUE"""),5650.0)</f>
        <v>5650</v>
      </c>
      <c r="F1566" s="1">
        <f>IFERROR(__xludf.DUMMYFUNCTION("""COMPUTED_VALUE"""),492854.0)</f>
        <v>492854</v>
      </c>
    </row>
    <row r="1567">
      <c r="A1567" s="2">
        <f>IFERROR(__xludf.DUMMYFUNCTION("""COMPUTED_VALUE"""),43522.64583333333)</f>
        <v>43522.64583</v>
      </c>
      <c r="B1567" s="1">
        <f>IFERROR(__xludf.DUMMYFUNCTION("""COMPUTED_VALUE"""),5620.0)</f>
        <v>5620</v>
      </c>
      <c r="C1567" s="1">
        <f>IFERROR(__xludf.DUMMYFUNCTION("""COMPUTED_VALUE"""),5650.0)</f>
        <v>5650</v>
      </c>
      <c r="D1567" s="1">
        <f>IFERROR(__xludf.DUMMYFUNCTION("""COMPUTED_VALUE"""),5340.0)</f>
        <v>5340</v>
      </c>
      <c r="E1567" s="1">
        <f>IFERROR(__xludf.DUMMYFUNCTION("""COMPUTED_VALUE"""),5490.0)</f>
        <v>5490</v>
      </c>
      <c r="F1567" s="1">
        <f>IFERROR(__xludf.DUMMYFUNCTION("""COMPUTED_VALUE"""),153694.0)</f>
        <v>153694</v>
      </c>
    </row>
    <row r="1568">
      <c r="A1568" s="2">
        <f>IFERROR(__xludf.DUMMYFUNCTION("""COMPUTED_VALUE"""),43523.64583333333)</f>
        <v>43523.64583</v>
      </c>
      <c r="B1568" s="1">
        <f>IFERROR(__xludf.DUMMYFUNCTION("""COMPUTED_VALUE"""),5770.0)</f>
        <v>5770</v>
      </c>
      <c r="C1568" s="1">
        <f>IFERROR(__xludf.DUMMYFUNCTION("""COMPUTED_VALUE"""),5770.0)</f>
        <v>5770</v>
      </c>
      <c r="D1568" s="1">
        <f>IFERROR(__xludf.DUMMYFUNCTION("""COMPUTED_VALUE"""),5420.0)</f>
        <v>5420</v>
      </c>
      <c r="E1568" s="1">
        <f>IFERROR(__xludf.DUMMYFUNCTION("""COMPUTED_VALUE"""),5560.0)</f>
        <v>5560</v>
      </c>
      <c r="F1568" s="1">
        <f>IFERROR(__xludf.DUMMYFUNCTION("""COMPUTED_VALUE"""),199346.0)</f>
        <v>199346</v>
      </c>
    </row>
    <row r="1569">
      <c r="A1569" s="2">
        <f>IFERROR(__xludf.DUMMYFUNCTION("""COMPUTED_VALUE"""),43524.64583333333)</f>
        <v>43524.64583</v>
      </c>
      <c r="B1569" s="1">
        <f>IFERROR(__xludf.DUMMYFUNCTION("""COMPUTED_VALUE"""),5560.0)</f>
        <v>5560</v>
      </c>
      <c r="C1569" s="1">
        <f>IFERROR(__xludf.DUMMYFUNCTION("""COMPUTED_VALUE"""),5620.0)</f>
        <v>5620</v>
      </c>
      <c r="D1569" s="1">
        <f>IFERROR(__xludf.DUMMYFUNCTION("""COMPUTED_VALUE"""),5210.0)</f>
        <v>5210</v>
      </c>
      <c r="E1569" s="1">
        <f>IFERROR(__xludf.DUMMYFUNCTION("""COMPUTED_VALUE"""),5250.0)</f>
        <v>5250</v>
      </c>
      <c r="F1569" s="1">
        <f>IFERROR(__xludf.DUMMYFUNCTION("""COMPUTED_VALUE"""),105601.0)</f>
        <v>105601</v>
      </c>
    </row>
    <row r="1570">
      <c r="A1570" s="2">
        <f>IFERROR(__xludf.DUMMYFUNCTION("""COMPUTED_VALUE"""),43528.64583333333)</f>
        <v>43528.64583</v>
      </c>
      <c r="B1570" s="1">
        <f>IFERROR(__xludf.DUMMYFUNCTION("""COMPUTED_VALUE"""),5320.0)</f>
        <v>5320</v>
      </c>
      <c r="C1570" s="1">
        <f>IFERROR(__xludf.DUMMYFUNCTION("""COMPUTED_VALUE"""),5440.0)</f>
        <v>5440</v>
      </c>
      <c r="D1570" s="1">
        <f>IFERROR(__xludf.DUMMYFUNCTION("""COMPUTED_VALUE"""),5200.0)</f>
        <v>5200</v>
      </c>
      <c r="E1570" s="1">
        <f>IFERROR(__xludf.DUMMYFUNCTION("""COMPUTED_VALUE"""),5350.0)</f>
        <v>5350</v>
      </c>
      <c r="F1570" s="1">
        <f>IFERROR(__xludf.DUMMYFUNCTION("""COMPUTED_VALUE"""),88042.0)</f>
        <v>88042</v>
      </c>
    </row>
    <row r="1571">
      <c r="A1571" s="2">
        <f>IFERROR(__xludf.DUMMYFUNCTION("""COMPUTED_VALUE"""),43529.64583333333)</f>
        <v>43529.64583</v>
      </c>
      <c r="B1571" s="1">
        <f>IFERROR(__xludf.DUMMYFUNCTION("""COMPUTED_VALUE"""),5350.0)</f>
        <v>5350</v>
      </c>
      <c r="C1571" s="1">
        <f>IFERROR(__xludf.DUMMYFUNCTION("""COMPUTED_VALUE"""),5420.0)</f>
        <v>5420</v>
      </c>
      <c r="D1571" s="1">
        <f>IFERROR(__xludf.DUMMYFUNCTION("""COMPUTED_VALUE"""),5290.0)</f>
        <v>5290</v>
      </c>
      <c r="E1571" s="1">
        <f>IFERROR(__xludf.DUMMYFUNCTION("""COMPUTED_VALUE"""),5310.0)</f>
        <v>5310</v>
      </c>
      <c r="F1571" s="1">
        <f>IFERROR(__xludf.DUMMYFUNCTION("""COMPUTED_VALUE"""),28267.0)</f>
        <v>28267</v>
      </c>
    </row>
    <row r="1572">
      <c r="A1572" s="2">
        <f>IFERROR(__xludf.DUMMYFUNCTION("""COMPUTED_VALUE"""),43530.64583333333)</f>
        <v>43530.64583</v>
      </c>
      <c r="B1572" s="1">
        <f>IFERROR(__xludf.DUMMYFUNCTION("""COMPUTED_VALUE"""),5380.0)</f>
        <v>5380</v>
      </c>
      <c r="C1572" s="1">
        <f>IFERROR(__xludf.DUMMYFUNCTION("""COMPUTED_VALUE"""),5380.0)</f>
        <v>5380</v>
      </c>
      <c r="D1572" s="1">
        <f>IFERROR(__xludf.DUMMYFUNCTION("""COMPUTED_VALUE"""),5120.0)</f>
        <v>5120</v>
      </c>
      <c r="E1572" s="1">
        <f>IFERROR(__xludf.DUMMYFUNCTION("""COMPUTED_VALUE"""),5260.0)</f>
        <v>5260</v>
      </c>
      <c r="F1572" s="1">
        <f>IFERROR(__xludf.DUMMYFUNCTION("""COMPUTED_VALUE"""),56308.0)</f>
        <v>56308</v>
      </c>
    </row>
    <row r="1573">
      <c r="A1573" s="2">
        <f>IFERROR(__xludf.DUMMYFUNCTION("""COMPUTED_VALUE"""),43531.64583333333)</f>
        <v>43531.64583</v>
      </c>
      <c r="B1573" s="1">
        <f>IFERROR(__xludf.DUMMYFUNCTION("""COMPUTED_VALUE"""),5240.0)</f>
        <v>5240</v>
      </c>
      <c r="C1573" s="1">
        <f>IFERROR(__xludf.DUMMYFUNCTION("""COMPUTED_VALUE"""),5250.0)</f>
        <v>5250</v>
      </c>
      <c r="D1573" s="1">
        <f>IFERROR(__xludf.DUMMYFUNCTION("""COMPUTED_VALUE"""),5000.0)</f>
        <v>5000</v>
      </c>
      <c r="E1573" s="1">
        <f>IFERROR(__xludf.DUMMYFUNCTION("""COMPUTED_VALUE"""),5070.0)</f>
        <v>5070</v>
      </c>
      <c r="F1573" s="1">
        <f>IFERROR(__xludf.DUMMYFUNCTION("""COMPUTED_VALUE"""),66871.0)</f>
        <v>66871</v>
      </c>
    </row>
    <row r="1574">
      <c r="A1574" s="2">
        <f>IFERROR(__xludf.DUMMYFUNCTION("""COMPUTED_VALUE"""),43532.64583333333)</f>
        <v>43532.64583</v>
      </c>
      <c r="B1574" s="1">
        <f>IFERROR(__xludf.DUMMYFUNCTION("""COMPUTED_VALUE"""),5100.0)</f>
        <v>5100</v>
      </c>
      <c r="C1574" s="1">
        <f>IFERROR(__xludf.DUMMYFUNCTION("""COMPUTED_VALUE"""),5120.0)</f>
        <v>5120</v>
      </c>
      <c r="D1574" s="1">
        <f>IFERROR(__xludf.DUMMYFUNCTION("""COMPUTED_VALUE"""),4925.0)</f>
        <v>4925</v>
      </c>
      <c r="E1574" s="1">
        <f>IFERROR(__xludf.DUMMYFUNCTION("""COMPUTED_VALUE"""),5000.0)</f>
        <v>5000</v>
      </c>
      <c r="F1574" s="1">
        <f>IFERROR(__xludf.DUMMYFUNCTION("""COMPUTED_VALUE"""),23452.0)</f>
        <v>23452</v>
      </c>
    </row>
    <row r="1575">
      <c r="A1575" s="2">
        <f>IFERROR(__xludf.DUMMYFUNCTION("""COMPUTED_VALUE"""),43535.64583333333)</f>
        <v>43535.64583</v>
      </c>
      <c r="B1575" s="1">
        <f>IFERROR(__xludf.DUMMYFUNCTION("""COMPUTED_VALUE"""),4995.0)</f>
        <v>4995</v>
      </c>
      <c r="C1575" s="1">
        <f>IFERROR(__xludf.DUMMYFUNCTION("""COMPUTED_VALUE"""),5070.0)</f>
        <v>5070</v>
      </c>
      <c r="D1575" s="1">
        <f>IFERROR(__xludf.DUMMYFUNCTION("""COMPUTED_VALUE"""),4865.0)</f>
        <v>4865</v>
      </c>
      <c r="E1575" s="1">
        <f>IFERROR(__xludf.DUMMYFUNCTION("""COMPUTED_VALUE"""),4920.0)</f>
        <v>4920</v>
      </c>
      <c r="F1575" s="1">
        <f>IFERROR(__xludf.DUMMYFUNCTION("""COMPUTED_VALUE"""),44710.0)</f>
        <v>44710</v>
      </c>
    </row>
    <row r="1576">
      <c r="A1576" s="2">
        <f>IFERROR(__xludf.DUMMYFUNCTION("""COMPUTED_VALUE"""),43536.64583333333)</f>
        <v>43536.64583</v>
      </c>
      <c r="B1576" s="1">
        <f>IFERROR(__xludf.DUMMYFUNCTION("""COMPUTED_VALUE"""),4970.0)</f>
        <v>4970</v>
      </c>
      <c r="C1576" s="1">
        <f>IFERROR(__xludf.DUMMYFUNCTION("""COMPUTED_VALUE"""),5950.0)</f>
        <v>5950</v>
      </c>
      <c r="D1576" s="1">
        <f>IFERROR(__xludf.DUMMYFUNCTION("""COMPUTED_VALUE"""),4970.0)</f>
        <v>4970</v>
      </c>
      <c r="E1576" s="1">
        <f>IFERROR(__xludf.DUMMYFUNCTION("""COMPUTED_VALUE"""),5350.0)</f>
        <v>5350</v>
      </c>
      <c r="F1576" s="1">
        <f>IFERROR(__xludf.DUMMYFUNCTION("""COMPUTED_VALUE"""),1564732.0)</f>
        <v>1564732</v>
      </c>
    </row>
    <row r="1577">
      <c r="A1577" s="2">
        <f>IFERROR(__xludf.DUMMYFUNCTION("""COMPUTED_VALUE"""),43537.64583333333)</f>
        <v>43537.64583</v>
      </c>
      <c r="B1577" s="1">
        <f>IFERROR(__xludf.DUMMYFUNCTION("""COMPUTED_VALUE"""),5300.0)</f>
        <v>5300</v>
      </c>
      <c r="C1577" s="1">
        <f>IFERROR(__xludf.DUMMYFUNCTION("""COMPUTED_VALUE"""),5340.0)</f>
        <v>5340</v>
      </c>
      <c r="D1577" s="1">
        <f>IFERROR(__xludf.DUMMYFUNCTION("""COMPUTED_VALUE"""),5160.0)</f>
        <v>5160</v>
      </c>
      <c r="E1577" s="1">
        <f>IFERROR(__xludf.DUMMYFUNCTION("""COMPUTED_VALUE"""),5220.0)</f>
        <v>5220</v>
      </c>
      <c r="F1577" s="1">
        <f>IFERROR(__xludf.DUMMYFUNCTION("""COMPUTED_VALUE"""),121805.0)</f>
        <v>121805</v>
      </c>
    </row>
    <row r="1578">
      <c r="A1578" s="2">
        <f>IFERROR(__xludf.DUMMYFUNCTION("""COMPUTED_VALUE"""),43538.64583333333)</f>
        <v>43538.64583</v>
      </c>
      <c r="B1578" s="1">
        <f>IFERROR(__xludf.DUMMYFUNCTION("""COMPUTED_VALUE"""),5180.0)</f>
        <v>5180</v>
      </c>
      <c r="C1578" s="1">
        <f>IFERROR(__xludf.DUMMYFUNCTION("""COMPUTED_VALUE"""),5250.0)</f>
        <v>5250</v>
      </c>
      <c r="D1578" s="1">
        <f>IFERROR(__xludf.DUMMYFUNCTION("""COMPUTED_VALUE"""),5100.0)</f>
        <v>5100</v>
      </c>
      <c r="E1578" s="1">
        <f>IFERROR(__xludf.DUMMYFUNCTION("""COMPUTED_VALUE"""),5230.0)</f>
        <v>5230</v>
      </c>
      <c r="F1578" s="1">
        <f>IFERROR(__xludf.DUMMYFUNCTION("""COMPUTED_VALUE"""),69572.0)</f>
        <v>69572</v>
      </c>
    </row>
    <row r="1579">
      <c r="A1579" s="2">
        <f>IFERROR(__xludf.DUMMYFUNCTION("""COMPUTED_VALUE"""),43539.64583333333)</f>
        <v>43539.64583</v>
      </c>
      <c r="B1579" s="1">
        <f>IFERROR(__xludf.DUMMYFUNCTION("""COMPUTED_VALUE"""),5220.0)</f>
        <v>5220</v>
      </c>
      <c r="C1579" s="1">
        <f>IFERROR(__xludf.DUMMYFUNCTION("""COMPUTED_VALUE"""),5250.0)</f>
        <v>5250</v>
      </c>
      <c r="D1579" s="1">
        <f>IFERROR(__xludf.DUMMYFUNCTION("""COMPUTED_VALUE"""),5060.0)</f>
        <v>5060</v>
      </c>
      <c r="E1579" s="1">
        <f>IFERROR(__xludf.DUMMYFUNCTION("""COMPUTED_VALUE"""),5090.0)</f>
        <v>5090</v>
      </c>
      <c r="F1579" s="1">
        <f>IFERROR(__xludf.DUMMYFUNCTION("""COMPUTED_VALUE"""),59865.0)</f>
        <v>59865</v>
      </c>
    </row>
    <row r="1580">
      <c r="A1580" s="2">
        <f>IFERROR(__xludf.DUMMYFUNCTION("""COMPUTED_VALUE"""),43542.64583333333)</f>
        <v>43542.64583</v>
      </c>
      <c r="B1580" s="1">
        <f>IFERROR(__xludf.DUMMYFUNCTION("""COMPUTED_VALUE"""),5080.0)</f>
        <v>5080</v>
      </c>
      <c r="C1580" s="1">
        <f>IFERROR(__xludf.DUMMYFUNCTION("""COMPUTED_VALUE"""),5140.0)</f>
        <v>5140</v>
      </c>
      <c r="D1580" s="1">
        <f>IFERROR(__xludf.DUMMYFUNCTION("""COMPUTED_VALUE"""),5050.0)</f>
        <v>5050</v>
      </c>
      <c r="E1580" s="1">
        <f>IFERROR(__xludf.DUMMYFUNCTION("""COMPUTED_VALUE"""),5090.0)</f>
        <v>5090</v>
      </c>
      <c r="F1580" s="1">
        <f>IFERROR(__xludf.DUMMYFUNCTION("""COMPUTED_VALUE"""),35920.0)</f>
        <v>35920</v>
      </c>
    </row>
    <row r="1581">
      <c r="A1581" s="2">
        <f>IFERROR(__xludf.DUMMYFUNCTION("""COMPUTED_VALUE"""),43543.64583333333)</f>
        <v>43543.64583</v>
      </c>
      <c r="B1581" s="1">
        <f>IFERROR(__xludf.DUMMYFUNCTION("""COMPUTED_VALUE"""),5090.0)</f>
        <v>5090</v>
      </c>
      <c r="C1581" s="1">
        <f>IFERROR(__xludf.DUMMYFUNCTION("""COMPUTED_VALUE"""),5130.0)</f>
        <v>5130</v>
      </c>
      <c r="D1581" s="1">
        <f>IFERROR(__xludf.DUMMYFUNCTION("""COMPUTED_VALUE"""),4950.0)</f>
        <v>4950</v>
      </c>
      <c r="E1581" s="1">
        <f>IFERROR(__xludf.DUMMYFUNCTION("""COMPUTED_VALUE"""),4965.0)</f>
        <v>4965</v>
      </c>
      <c r="F1581" s="1">
        <f>IFERROR(__xludf.DUMMYFUNCTION("""COMPUTED_VALUE"""),87760.0)</f>
        <v>87760</v>
      </c>
    </row>
    <row r="1582">
      <c r="A1582" s="2">
        <f>IFERROR(__xludf.DUMMYFUNCTION("""COMPUTED_VALUE"""),43544.64583333333)</f>
        <v>43544.64583</v>
      </c>
      <c r="B1582" s="1">
        <f>IFERROR(__xludf.DUMMYFUNCTION("""COMPUTED_VALUE"""),4970.0)</f>
        <v>4970</v>
      </c>
      <c r="C1582" s="1">
        <f>IFERROR(__xludf.DUMMYFUNCTION("""COMPUTED_VALUE"""),5060.0)</f>
        <v>5060</v>
      </c>
      <c r="D1582" s="1">
        <f>IFERROR(__xludf.DUMMYFUNCTION("""COMPUTED_VALUE"""),4955.0)</f>
        <v>4955</v>
      </c>
      <c r="E1582" s="1">
        <f>IFERROR(__xludf.DUMMYFUNCTION("""COMPUTED_VALUE"""),4990.0)</f>
        <v>4990</v>
      </c>
      <c r="F1582" s="1">
        <f>IFERROR(__xludf.DUMMYFUNCTION("""COMPUTED_VALUE"""),41171.0)</f>
        <v>41171</v>
      </c>
    </row>
    <row r="1583">
      <c r="A1583" s="2">
        <f>IFERROR(__xludf.DUMMYFUNCTION("""COMPUTED_VALUE"""),43545.64583333333)</f>
        <v>43545.64583</v>
      </c>
      <c r="B1583" s="1">
        <f>IFERROR(__xludf.DUMMYFUNCTION("""COMPUTED_VALUE"""),5100.0)</f>
        <v>5100</v>
      </c>
      <c r="C1583" s="1">
        <f>IFERROR(__xludf.DUMMYFUNCTION("""COMPUTED_VALUE"""),5100.0)</f>
        <v>5100</v>
      </c>
      <c r="D1583" s="1">
        <f>IFERROR(__xludf.DUMMYFUNCTION("""COMPUTED_VALUE"""),4945.0)</f>
        <v>4945</v>
      </c>
      <c r="E1583" s="1">
        <f>IFERROR(__xludf.DUMMYFUNCTION("""COMPUTED_VALUE"""),4945.0)</f>
        <v>4945</v>
      </c>
      <c r="F1583" s="1">
        <f>IFERROR(__xludf.DUMMYFUNCTION("""COMPUTED_VALUE"""),29266.0)</f>
        <v>29266</v>
      </c>
    </row>
    <row r="1584">
      <c r="A1584" s="2">
        <f>IFERROR(__xludf.DUMMYFUNCTION("""COMPUTED_VALUE"""),43546.64583333333)</f>
        <v>43546.64583</v>
      </c>
      <c r="B1584" s="1">
        <f>IFERROR(__xludf.DUMMYFUNCTION("""COMPUTED_VALUE"""),4985.0)</f>
        <v>4985</v>
      </c>
      <c r="C1584" s="1">
        <f>IFERROR(__xludf.DUMMYFUNCTION("""COMPUTED_VALUE"""),5010.0)</f>
        <v>5010</v>
      </c>
      <c r="D1584" s="1">
        <f>IFERROR(__xludf.DUMMYFUNCTION("""COMPUTED_VALUE"""),4885.0)</f>
        <v>4885</v>
      </c>
      <c r="E1584" s="1">
        <f>IFERROR(__xludf.DUMMYFUNCTION("""COMPUTED_VALUE"""),4885.0)</f>
        <v>4885</v>
      </c>
      <c r="F1584" s="1">
        <f>IFERROR(__xludf.DUMMYFUNCTION("""COMPUTED_VALUE"""),99107.0)</f>
        <v>99107</v>
      </c>
    </row>
    <row r="1585">
      <c r="A1585" s="2">
        <f>IFERROR(__xludf.DUMMYFUNCTION("""COMPUTED_VALUE"""),43549.64583333333)</f>
        <v>43549.64583</v>
      </c>
      <c r="B1585" s="1">
        <f>IFERROR(__xludf.DUMMYFUNCTION("""COMPUTED_VALUE"""),5140.0)</f>
        <v>5140</v>
      </c>
      <c r="C1585" s="1">
        <f>IFERROR(__xludf.DUMMYFUNCTION("""COMPUTED_VALUE"""),5340.0)</f>
        <v>5340</v>
      </c>
      <c r="D1585" s="1">
        <f>IFERROR(__xludf.DUMMYFUNCTION("""COMPUTED_VALUE"""),4720.0)</f>
        <v>4720</v>
      </c>
      <c r="E1585" s="1">
        <f>IFERROR(__xludf.DUMMYFUNCTION("""COMPUTED_VALUE"""),4720.0)</f>
        <v>4720</v>
      </c>
      <c r="F1585" s="1">
        <f>IFERROR(__xludf.DUMMYFUNCTION("""COMPUTED_VALUE"""),269115.0)</f>
        <v>269115</v>
      </c>
    </row>
    <row r="1586">
      <c r="A1586" s="2">
        <f>IFERROR(__xludf.DUMMYFUNCTION("""COMPUTED_VALUE"""),43550.64583333333)</f>
        <v>43550.64583</v>
      </c>
      <c r="B1586" s="1">
        <f>IFERROR(__xludf.DUMMYFUNCTION("""COMPUTED_VALUE"""),4795.0)</f>
        <v>4795</v>
      </c>
      <c r="C1586" s="1">
        <f>IFERROR(__xludf.DUMMYFUNCTION("""COMPUTED_VALUE"""),4795.0)</f>
        <v>4795</v>
      </c>
      <c r="D1586" s="1">
        <f>IFERROR(__xludf.DUMMYFUNCTION("""COMPUTED_VALUE"""),4715.0)</f>
        <v>4715</v>
      </c>
      <c r="E1586" s="1">
        <f>IFERROR(__xludf.DUMMYFUNCTION("""COMPUTED_VALUE"""),4750.0)</f>
        <v>4750</v>
      </c>
      <c r="F1586" s="1">
        <f>IFERROR(__xludf.DUMMYFUNCTION("""COMPUTED_VALUE"""),20519.0)</f>
        <v>20519</v>
      </c>
    </row>
    <row r="1587">
      <c r="A1587" s="2">
        <f>IFERROR(__xludf.DUMMYFUNCTION("""COMPUTED_VALUE"""),43551.64583333333)</f>
        <v>43551.64583</v>
      </c>
      <c r="B1587" s="1">
        <f>IFERROR(__xludf.DUMMYFUNCTION("""COMPUTED_VALUE"""),4715.0)</f>
        <v>4715</v>
      </c>
      <c r="C1587" s="1">
        <f>IFERROR(__xludf.DUMMYFUNCTION("""COMPUTED_VALUE"""),4800.0)</f>
        <v>4800</v>
      </c>
      <c r="D1587" s="1">
        <f>IFERROR(__xludf.DUMMYFUNCTION("""COMPUTED_VALUE"""),4630.0)</f>
        <v>4630</v>
      </c>
      <c r="E1587" s="1">
        <f>IFERROR(__xludf.DUMMYFUNCTION("""COMPUTED_VALUE"""),4800.0)</f>
        <v>4800</v>
      </c>
      <c r="F1587" s="1">
        <f>IFERROR(__xludf.DUMMYFUNCTION("""COMPUTED_VALUE"""),63028.0)</f>
        <v>63028</v>
      </c>
    </row>
    <row r="1588">
      <c r="A1588" s="2">
        <f>IFERROR(__xludf.DUMMYFUNCTION("""COMPUTED_VALUE"""),43552.64583333333)</f>
        <v>43552.64583</v>
      </c>
      <c r="B1588" s="1">
        <f>IFERROR(__xludf.DUMMYFUNCTION("""COMPUTED_VALUE"""),4800.0)</f>
        <v>4800</v>
      </c>
      <c r="C1588" s="1">
        <f>IFERROR(__xludf.DUMMYFUNCTION("""COMPUTED_VALUE"""),4820.0)</f>
        <v>4820</v>
      </c>
      <c r="D1588" s="1">
        <f>IFERROR(__xludf.DUMMYFUNCTION("""COMPUTED_VALUE"""),4700.0)</f>
        <v>4700</v>
      </c>
      <c r="E1588" s="1">
        <f>IFERROR(__xludf.DUMMYFUNCTION("""COMPUTED_VALUE"""),4750.0)</f>
        <v>4750</v>
      </c>
      <c r="F1588" s="1">
        <f>IFERROR(__xludf.DUMMYFUNCTION("""COMPUTED_VALUE"""),28431.0)</f>
        <v>28431</v>
      </c>
    </row>
    <row r="1589">
      <c r="A1589" s="2">
        <f>IFERROR(__xludf.DUMMYFUNCTION("""COMPUTED_VALUE"""),43553.64583333333)</f>
        <v>43553.64583</v>
      </c>
      <c r="B1589" s="1">
        <f>IFERROR(__xludf.DUMMYFUNCTION("""COMPUTED_VALUE"""),4705.0)</f>
        <v>4705</v>
      </c>
      <c r="C1589" s="1">
        <f>IFERROR(__xludf.DUMMYFUNCTION("""COMPUTED_VALUE"""),4815.0)</f>
        <v>4815</v>
      </c>
      <c r="D1589" s="1">
        <f>IFERROR(__xludf.DUMMYFUNCTION("""COMPUTED_VALUE"""),4655.0)</f>
        <v>4655</v>
      </c>
      <c r="E1589" s="1">
        <f>IFERROR(__xludf.DUMMYFUNCTION("""COMPUTED_VALUE"""),4780.0)</f>
        <v>4780</v>
      </c>
      <c r="F1589" s="1">
        <f>IFERROR(__xludf.DUMMYFUNCTION("""COMPUTED_VALUE"""),19524.0)</f>
        <v>19524</v>
      </c>
    </row>
    <row r="1590">
      <c r="A1590" s="2">
        <f>IFERROR(__xludf.DUMMYFUNCTION("""COMPUTED_VALUE"""),43556.64583333333)</f>
        <v>43556.64583</v>
      </c>
      <c r="B1590" s="1">
        <f>IFERROR(__xludf.DUMMYFUNCTION("""COMPUTED_VALUE"""),4860.0)</f>
        <v>4860</v>
      </c>
      <c r="C1590" s="1">
        <f>IFERROR(__xludf.DUMMYFUNCTION("""COMPUTED_VALUE"""),4860.0)</f>
        <v>4860</v>
      </c>
      <c r="D1590" s="1">
        <f>IFERROR(__xludf.DUMMYFUNCTION("""COMPUTED_VALUE"""),4735.0)</f>
        <v>4735</v>
      </c>
      <c r="E1590" s="1">
        <f>IFERROR(__xludf.DUMMYFUNCTION("""COMPUTED_VALUE"""),4790.0)</f>
        <v>4790</v>
      </c>
      <c r="F1590" s="1">
        <f>IFERROR(__xludf.DUMMYFUNCTION("""COMPUTED_VALUE"""),33260.0)</f>
        <v>33260</v>
      </c>
    </row>
    <row r="1591">
      <c r="A1591" s="2">
        <f>IFERROR(__xludf.DUMMYFUNCTION("""COMPUTED_VALUE"""),43557.64583333333)</f>
        <v>43557.64583</v>
      </c>
      <c r="B1591" s="1">
        <f>IFERROR(__xludf.DUMMYFUNCTION("""COMPUTED_VALUE"""),4845.0)</f>
        <v>4845</v>
      </c>
      <c r="C1591" s="1">
        <f>IFERROR(__xludf.DUMMYFUNCTION("""COMPUTED_VALUE"""),4845.0)</f>
        <v>4845</v>
      </c>
      <c r="D1591" s="1">
        <f>IFERROR(__xludf.DUMMYFUNCTION("""COMPUTED_VALUE"""),4740.0)</f>
        <v>4740</v>
      </c>
      <c r="E1591" s="1">
        <f>IFERROR(__xludf.DUMMYFUNCTION("""COMPUTED_VALUE"""),4800.0)</f>
        <v>4800</v>
      </c>
      <c r="F1591" s="1">
        <f>IFERROR(__xludf.DUMMYFUNCTION("""COMPUTED_VALUE"""),15925.0)</f>
        <v>15925</v>
      </c>
    </row>
    <row r="1592">
      <c r="A1592" s="2">
        <f>IFERROR(__xludf.DUMMYFUNCTION("""COMPUTED_VALUE"""),43558.64583333333)</f>
        <v>43558.64583</v>
      </c>
      <c r="B1592" s="1">
        <f>IFERROR(__xludf.DUMMYFUNCTION("""COMPUTED_VALUE"""),4810.0)</f>
        <v>4810</v>
      </c>
      <c r="C1592" s="1">
        <f>IFERROR(__xludf.DUMMYFUNCTION("""COMPUTED_VALUE"""),4900.0)</f>
        <v>4900</v>
      </c>
      <c r="D1592" s="1">
        <f>IFERROR(__xludf.DUMMYFUNCTION("""COMPUTED_VALUE"""),4755.0)</f>
        <v>4755</v>
      </c>
      <c r="E1592" s="1">
        <f>IFERROR(__xludf.DUMMYFUNCTION("""COMPUTED_VALUE"""),4825.0)</f>
        <v>4825</v>
      </c>
      <c r="F1592" s="1">
        <f>IFERROR(__xludf.DUMMYFUNCTION("""COMPUTED_VALUE"""),35331.0)</f>
        <v>35331</v>
      </c>
    </row>
    <row r="1593">
      <c r="A1593" s="2">
        <f>IFERROR(__xludf.DUMMYFUNCTION("""COMPUTED_VALUE"""),43559.64583333333)</f>
        <v>43559.64583</v>
      </c>
      <c r="B1593" s="1">
        <f>IFERROR(__xludf.DUMMYFUNCTION("""COMPUTED_VALUE"""),4860.0)</f>
        <v>4860</v>
      </c>
      <c r="C1593" s="1">
        <f>IFERROR(__xludf.DUMMYFUNCTION("""COMPUTED_VALUE"""),4900.0)</f>
        <v>4900</v>
      </c>
      <c r="D1593" s="1">
        <f>IFERROR(__xludf.DUMMYFUNCTION("""COMPUTED_VALUE"""),4830.0)</f>
        <v>4830</v>
      </c>
      <c r="E1593" s="1">
        <f>IFERROR(__xludf.DUMMYFUNCTION("""COMPUTED_VALUE"""),4900.0)</f>
        <v>4900</v>
      </c>
      <c r="F1593" s="1">
        <f>IFERROR(__xludf.DUMMYFUNCTION("""COMPUTED_VALUE"""),24588.0)</f>
        <v>24588</v>
      </c>
    </row>
    <row r="1594">
      <c r="A1594" s="2">
        <f>IFERROR(__xludf.DUMMYFUNCTION("""COMPUTED_VALUE"""),43560.64583333333)</f>
        <v>43560.64583</v>
      </c>
      <c r="B1594" s="1">
        <f>IFERROR(__xludf.DUMMYFUNCTION("""COMPUTED_VALUE"""),4915.0)</f>
        <v>4915</v>
      </c>
      <c r="C1594" s="1">
        <f>IFERROR(__xludf.DUMMYFUNCTION("""COMPUTED_VALUE"""),4930.0)</f>
        <v>4930</v>
      </c>
      <c r="D1594" s="1">
        <f>IFERROR(__xludf.DUMMYFUNCTION("""COMPUTED_VALUE"""),4810.0)</f>
        <v>4810</v>
      </c>
      <c r="E1594" s="1">
        <f>IFERROR(__xludf.DUMMYFUNCTION("""COMPUTED_VALUE"""),4850.0)</f>
        <v>4850</v>
      </c>
      <c r="F1594" s="1">
        <f>IFERROR(__xludf.DUMMYFUNCTION("""COMPUTED_VALUE"""),28581.0)</f>
        <v>28581</v>
      </c>
    </row>
    <row r="1595">
      <c r="A1595" s="2">
        <f>IFERROR(__xludf.DUMMYFUNCTION("""COMPUTED_VALUE"""),43563.64583333333)</f>
        <v>43563.64583</v>
      </c>
      <c r="B1595" s="1">
        <f>IFERROR(__xludf.DUMMYFUNCTION("""COMPUTED_VALUE"""),4850.0)</f>
        <v>4850</v>
      </c>
      <c r="C1595" s="1">
        <f>IFERROR(__xludf.DUMMYFUNCTION("""COMPUTED_VALUE"""),4880.0)</f>
        <v>4880</v>
      </c>
      <c r="D1595" s="1">
        <f>IFERROR(__xludf.DUMMYFUNCTION("""COMPUTED_VALUE"""),4760.0)</f>
        <v>4760</v>
      </c>
      <c r="E1595" s="1">
        <f>IFERROR(__xludf.DUMMYFUNCTION("""COMPUTED_VALUE"""),4835.0)</f>
        <v>4835</v>
      </c>
      <c r="F1595" s="1">
        <f>IFERROR(__xludf.DUMMYFUNCTION("""COMPUTED_VALUE"""),32306.0)</f>
        <v>32306</v>
      </c>
    </row>
    <row r="1596">
      <c r="A1596" s="2">
        <f>IFERROR(__xludf.DUMMYFUNCTION("""COMPUTED_VALUE"""),43564.64583333333)</f>
        <v>43564.64583</v>
      </c>
      <c r="B1596" s="1">
        <f>IFERROR(__xludf.DUMMYFUNCTION("""COMPUTED_VALUE"""),4850.0)</f>
        <v>4850</v>
      </c>
      <c r="C1596" s="1">
        <f>IFERROR(__xludf.DUMMYFUNCTION("""COMPUTED_VALUE"""),4865.0)</f>
        <v>4865</v>
      </c>
      <c r="D1596" s="1">
        <f>IFERROR(__xludf.DUMMYFUNCTION("""COMPUTED_VALUE"""),4760.0)</f>
        <v>4760</v>
      </c>
      <c r="E1596" s="1">
        <f>IFERROR(__xludf.DUMMYFUNCTION("""COMPUTED_VALUE"""),4815.0)</f>
        <v>4815</v>
      </c>
      <c r="F1596" s="1">
        <f>IFERROR(__xludf.DUMMYFUNCTION("""COMPUTED_VALUE"""),24098.0)</f>
        <v>24098</v>
      </c>
    </row>
    <row r="1597">
      <c r="A1597" s="2">
        <f>IFERROR(__xludf.DUMMYFUNCTION("""COMPUTED_VALUE"""),43565.64583333333)</f>
        <v>43565.64583</v>
      </c>
      <c r="B1597" s="1">
        <f>IFERROR(__xludf.DUMMYFUNCTION("""COMPUTED_VALUE"""),4845.0)</f>
        <v>4845</v>
      </c>
      <c r="C1597" s="1">
        <f>IFERROR(__xludf.DUMMYFUNCTION("""COMPUTED_VALUE"""),4845.0)</f>
        <v>4845</v>
      </c>
      <c r="D1597" s="1">
        <f>IFERROR(__xludf.DUMMYFUNCTION("""COMPUTED_VALUE"""),4760.0)</f>
        <v>4760</v>
      </c>
      <c r="E1597" s="1">
        <f>IFERROR(__xludf.DUMMYFUNCTION("""COMPUTED_VALUE"""),4815.0)</f>
        <v>4815</v>
      </c>
      <c r="F1597" s="1">
        <f>IFERROR(__xludf.DUMMYFUNCTION("""COMPUTED_VALUE"""),23290.0)</f>
        <v>23290</v>
      </c>
    </row>
    <row r="1598">
      <c r="A1598" s="2">
        <f>IFERROR(__xludf.DUMMYFUNCTION("""COMPUTED_VALUE"""),43566.64583333333)</f>
        <v>43566.64583</v>
      </c>
      <c r="B1598" s="1">
        <f>IFERROR(__xludf.DUMMYFUNCTION("""COMPUTED_VALUE"""),4815.0)</f>
        <v>4815</v>
      </c>
      <c r="C1598" s="1">
        <f>IFERROR(__xludf.DUMMYFUNCTION("""COMPUTED_VALUE"""),4900.0)</f>
        <v>4900</v>
      </c>
      <c r="D1598" s="1">
        <f>IFERROR(__xludf.DUMMYFUNCTION("""COMPUTED_VALUE"""),4780.0)</f>
        <v>4780</v>
      </c>
      <c r="E1598" s="1">
        <f>IFERROR(__xludf.DUMMYFUNCTION("""COMPUTED_VALUE"""),4875.0)</f>
        <v>4875</v>
      </c>
      <c r="F1598" s="1">
        <f>IFERROR(__xludf.DUMMYFUNCTION("""COMPUTED_VALUE"""),57362.0)</f>
        <v>57362</v>
      </c>
    </row>
    <row r="1599">
      <c r="A1599" s="2">
        <f>IFERROR(__xludf.DUMMYFUNCTION("""COMPUTED_VALUE"""),43567.64583333333)</f>
        <v>43567.64583</v>
      </c>
      <c r="B1599" s="1">
        <f>IFERROR(__xludf.DUMMYFUNCTION("""COMPUTED_VALUE"""),4910.0)</f>
        <v>4910</v>
      </c>
      <c r="C1599" s="1">
        <f>IFERROR(__xludf.DUMMYFUNCTION("""COMPUTED_VALUE"""),4915.0)</f>
        <v>4915</v>
      </c>
      <c r="D1599" s="1">
        <f>IFERROR(__xludf.DUMMYFUNCTION("""COMPUTED_VALUE"""),4795.0)</f>
        <v>4795</v>
      </c>
      <c r="E1599" s="1">
        <f>IFERROR(__xludf.DUMMYFUNCTION("""COMPUTED_VALUE"""),4870.0)</f>
        <v>4870</v>
      </c>
      <c r="F1599" s="1">
        <f>IFERROR(__xludf.DUMMYFUNCTION("""COMPUTED_VALUE"""),65918.0)</f>
        <v>65918</v>
      </c>
    </row>
    <row r="1600">
      <c r="A1600" s="2">
        <f>IFERROR(__xludf.DUMMYFUNCTION("""COMPUTED_VALUE"""),43570.64583333333)</f>
        <v>43570.64583</v>
      </c>
      <c r="B1600" s="1">
        <f>IFERROR(__xludf.DUMMYFUNCTION("""COMPUTED_VALUE"""),4870.0)</f>
        <v>4870</v>
      </c>
      <c r="C1600" s="1">
        <f>IFERROR(__xludf.DUMMYFUNCTION("""COMPUTED_VALUE"""),4895.0)</f>
        <v>4895</v>
      </c>
      <c r="D1600" s="1">
        <f>IFERROR(__xludf.DUMMYFUNCTION("""COMPUTED_VALUE"""),4730.0)</f>
        <v>4730</v>
      </c>
      <c r="E1600" s="1">
        <f>IFERROR(__xludf.DUMMYFUNCTION("""COMPUTED_VALUE"""),4730.0)</f>
        <v>4730</v>
      </c>
      <c r="F1600" s="1">
        <f>IFERROR(__xludf.DUMMYFUNCTION("""COMPUTED_VALUE"""),44257.0)</f>
        <v>44257</v>
      </c>
    </row>
    <row r="1601">
      <c r="A1601" s="2">
        <f>IFERROR(__xludf.DUMMYFUNCTION("""COMPUTED_VALUE"""),43571.64583333333)</f>
        <v>43571.64583</v>
      </c>
      <c r="B1601" s="1">
        <f>IFERROR(__xludf.DUMMYFUNCTION("""COMPUTED_VALUE"""),4735.0)</f>
        <v>4735</v>
      </c>
      <c r="C1601" s="1">
        <f>IFERROR(__xludf.DUMMYFUNCTION("""COMPUTED_VALUE"""),4755.0)</f>
        <v>4755</v>
      </c>
      <c r="D1601" s="1">
        <f>IFERROR(__xludf.DUMMYFUNCTION("""COMPUTED_VALUE"""),4580.0)</f>
        <v>4580</v>
      </c>
      <c r="E1601" s="1">
        <f>IFERROR(__xludf.DUMMYFUNCTION("""COMPUTED_VALUE"""),4650.0)</f>
        <v>4650</v>
      </c>
      <c r="F1601" s="1">
        <f>IFERROR(__xludf.DUMMYFUNCTION("""COMPUTED_VALUE"""),63457.0)</f>
        <v>63457</v>
      </c>
    </row>
    <row r="1602">
      <c r="A1602" s="2">
        <f>IFERROR(__xludf.DUMMYFUNCTION("""COMPUTED_VALUE"""),43572.64583333333)</f>
        <v>43572.64583</v>
      </c>
      <c r="B1602" s="1">
        <f>IFERROR(__xludf.DUMMYFUNCTION("""COMPUTED_VALUE"""),4650.0)</f>
        <v>4650</v>
      </c>
      <c r="C1602" s="1">
        <f>IFERROR(__xludf.DUMMYFUNCTION("""COMPUTED_VALUE"""),4650.0)</f>
        <v>4650</v>
      </c>
      <c r="D1602" s="1">
        <f>IFERROR(__xludf.DUMMYFUNCTION("""COMPUTED_VALUE"""),4370.0)</f>
        <v>4370</v>
      </c>
      <c r="E1602" s="1">
        <f>IFERROR(__xludf.DUMMYFUNCTION("""COMPUTED_VALUE"""),4505.0)</f>
        <v>4505</v>
      </c>
      <c r="F1602" s="1">
        <f>IFERROR(__xludf.DUMMYFUNCTION("""COMPUTED_VALUE"""),75392.0)</f>
        <v>75392</v>
      </c>
    </row>
    <row r="1603">
      <c r="A1603" s="2">
        <f>IFERROR(__xludf.DUMMYFUNCTION("""COMPUTED_VALUE"""),43573.64583333333)</f>
        <v>43573.64583</v>
      </c>
      <c r="B1603" s="1">
        <f>IFERROR(__xludf.DUMMYFUNCTION("""COMPUTED_VALUE"""),4575.0)</f>
        <v>4575</v>
      </c>
      <c r="C1603" s="1">
        <f>IFERROR(__xludf.DUMMYFUNCTION("""COMPUTED_VALUE"""),4575.0)</f>
        <v>4575</v>
      </c>
      <c r="D1603" s="1">
        <f>IFERROR(__xludf.DUMMYFUNCTION("""COMPUTED_VALUE"""),4410.0)</f>
        <v>4410</v>
      </c>
      <c r="E1603" s="1">
        <f>IFERROR(__xludf.DUMMYFUNCTION("""COMPUTED_VALUE"""),4505.0)</f>
        <v>4505</v>
      </c>
      <c r="F1603" s="1">
        <f>IFERROR(__xludf.DUMMYFUNCTION("""COMPUTED_VALUE"""),50251.0)</f>
        <v>50251</v>
      </c>
    </row>
    <row r="1604">
      <c r="A1604" s="2">
        <f>IFERROR(__xludf.DUMMYFUNCTION("""COMPUTED_VALUE"""),43574.64583333333)</f>
        <v>43574.64583</v>
      </c>
      <c r="B1604" s="1">
        <f>IFERROR(__xludf.DUMMYFUNCTION("""COMPUTED_VALUE"""),4505.0)</f>
        <v>4505</v>
      </c>
      <c r="C1604" s="1">
        <f>IFERROR(__xludf.DUMMYFUNCTION("""COMPUTED_VALUE"""),4580.0)</f>
        <v>4580</v>
      </c>
      <c r="D1604" s="1">
        <f>IFERROR(__xludf.DUMMYFUNCTION("""COMPUTED_VALUE"""),4395.0)</f>
        <v>4395</v>
      </c>
      <c r="E1604" s="1">
        <f>IFERROR(__xludf.DUMMYFUNCTION("""COMPUTED_VALUE"""),4500.0)</f>
        <v>4500</v>
      </c>
      <c r="F1604" s="1">
        <f>IFERROR(__xludf.DUMMYFUNCTION("""COMPUTED_VALUE"""),65017.0)</f>
        <v>65017</v>
      </c>
    </row>
    <row r="1605">
      <c r="A1605" s="2">
        <f>IFERROR(__xludf.DUMMYFUNCTION("""COMPUTED_VALUE"""),43577.64583333333)</f>
        <v>43577.64583</v>
      </c>
      <c r="B1605" s="1">
        <f>IFERROR(__xludf.DUMMYFUNCTION("""COMPUTED_VALUE"""),4540.0)</f>
        <v>4540</v>
      </c>
      <c r="C1605" s="1">
        <f>IFERROR(__xludf.DUMMYFUNCTION("""COMPUTED_VALUE"""),4540.0)</f>
        <v>4540</v>
      </c>
      <c r="D1605" s="1">
        <f>IFERROR(__xludf.DUMMYFUNCTION("""COMPUTED_VALUE"""),4345.0)</f>
        <v>4345</v>
      </c>
      <c r="E1605" s="1">
        <f>IFERROR(__xludf.DUMMYFUNCTION("""COMPUTED_VALUE"""),4410.0)</f>
        <v>4410</v>
      </c>
      <c r="F1605" s="1">
        <f>IFERROR(__xludf.DUMMYFUNCTION("""COMPUTED_VALUE"""),94261.0)</f>
        <v>94261</v>
      </c>
    </row>
    <row r="1606">
      <c r="A1606" s="2">
        <f>IFERROR(__xludf.DUMMYFUNCTION("""COMPUTED_VALUE"""),43578.64583333333)</f>
        <v>43578.64583</v>
      </c>
      <c r="B1606" s="1">
        <f>IFERROR(__xludf.DUMMYFUNCTION("""COMPUTED_VALUE"""),4430.0)</f>
        <v>4430</v>
      </c>
      <c r="C1606" s="1">
        <f>IFERROR(__xludf.DUMMYFUNCTION("""COMPUTED_VALUE"""),4430.0)</f>
        <v>4430</v>
      </c>
      <c r="D1606" s="1">
        <f>IFERROR(__xludf.DUMMYFUNCTION("""COMPUTED_VALUE"""),4320.0)</f>
        <v>4320</v>
      </c>
      <c r="E1606" s="1">
        <f>IFERROR(__xludf.DUMMYFUNCTION("""COMPUTED_VALUE"""),4430.0)</f>
        <v>4430</v>
      </c>
      <c r="F1606" s="1">
        <f>IFERROR(__xludf.DUMMYFUNCTION("""COMPUTED_VALUE"""),41582.0)</f>
        <v>41582</v>
      </c>
    </row>
    <row r="1607">
      <c r="A1607" s="2">
        <f>IFERROR(__xludf.DUMMYFUNCTION("""COMPUTED_VALUE"""),43579.64583333333)</f>
        <v>43579.64583</v>
      </c>
      <c r="B1607" s="1">
        <f>IFERROR(__xludf.DUMMYFUNCTION("""COMPUTED_VALUE"""),4440.0)</f>
        <v>4440</v>
      </c>
      <c r="C1607" s="1">
        <f>IFERROR(__xludf.DUMMYFUNCTION("""COMPUTED_VALUE"""),4980.0)</f>
        <v>4980</v>
      </c>
      <c r="D1607" s="1">
        <f>IFERROR(__xludf.DUMMYFUNCTION("""COMPUTED_VALUE"""),4440.0)</f>
        <v>4440</v>
      </c>
      <c r="E1607" s="1">
        <f>IFERROR(__xludf.DUMMYFUNCTION("""COMPUTED_VALUE"""),4515.0)</f>
        <v>4515</v>
      </c>
      <c r="F1607" s="1">
        <f>IFERROR(__xludf.DUMMYFUNCTION("""COMPUTED_VALUE"""),311571.0)</f>
        <v>311571</v>
      </c>
    </row>
    <row r="1608">
      <c r="A1608" s="2">
        <f>IFERROR(__xludf.DUMMYFUNCTION("""COMPUTED_VALUE"""),43580.64583333333)</f>
        <v>43580.64583</v>
      </c>
      <c r="B1608" s="1">
        <f>IFERROR(__xludf.DUMMYFUNCTION("""COMPUTED_VALUE"""),4505.0)</f>
        <v>4505</v>
      </c>
      <c r="C1608" s="1">
        <f>IFERROR(__xludf.DUMMYFUNCTION("""COMPUTED_VALUE"""),4580.0)</f>
        <v>4580</v>
      </c>
      <c r="D1608" s="1">
        <f>IFERROR(__xludf.DUMMYFUNCTION("""COMPUTED_VALUE"""),4450.0)</f>
        <v>4450</v>
      </c>
      <c r="E1608" s="1">
        <f>IFERROR(__xludf.DUMMYFUNCTION("""COMPUTED_VALUE"""),4570.0)</f>
        <v>4570</v>
      </c>
      <c r="F1608" s="1">
        <f>IFERROR(__xludf.DUMMYFUNCTION("""COMPUTED_VALUE"""),42887.0)</f>
        <v>42887</v>
      </c>
    </row>
    <row r="1609">
      <c r="A1609" s="2">
        <f>IFERROR(__xludf.DUMMYFUNCTION("""COMPUTED_VALUE"""),43581.64583333333)</f>
        <v>43581.64583</v>
      </c>
      <c r="B1609" s="1">
        <f>IFERROR(__xludf.DUMMYFUNCTION("""COMPUTED_VALUE"""),4620.0)</f>
        <v>4620</v>
      </c>
      <c r="C1609" s="1">
        <f>IFERROR(__xludf.DUMMYFUNCTION("""COMPUTED_VALUE"""),4650.0)</f>
        <v>4650</v>
      </c>
      <c r="D1609" s="1">
        <f>IFERROR(__xludf.DUMMYFUNCTION("""COMPUTED_VALUE"""),4500.0)</f>
        <v>4500</v>
      </c>
      <c r="E1609" s="1">
        <f>IFERROR(__xludf.DUMMYFUNCTION("""COMPUTED_VALUE"""),4575.0)</f>
        <v>4575</v>
      </c>
      <c r="F1609" s="1">
        <f>IFERROR(__xludf.DUMMYFUNCTION("""COMPUTED_VALUE"""),49289.0)</f>
        <v>49289</v>
      </c>
    </row>
    <row r="1610">
      <c r="A1610" s="2">
        <f>IFERROR(__xludf.DUMMYFUNCTION("""COMPUTED_VALUE"""),43584.64583333333)</f>
        <v>43584.64583</v>
      </c>
      <c r="B1610" s="1">
        <f>IFERROR(__xludf.DUMMYFUNCTION("""COMPUTED_VALUE"""),4630.0)</f>
        <v>4630</v>
      </c>
      <c r="C1610" s="1">
        <f>IFERROR(__xludf.DUMMYFUNCTION("""COMPUTED_VALUE"""),4630.0)</f>
        <v>4630</v>
      </c>
      <c r="D1610" s="1">
        <f>IFERROR(__xludf.DUMMYFUNCTION("""COMPUTED_VALUE"""),4500.0)</f>
        <v>4500</v>
      </c>
      <c r="E1610" s="1">
        <f>IFERROR(__xludf.DUMMYFUNCTION("""COMPUTED_VALUE"""),4555.0)</f>
        <v>4555</v>
      </c>
      <c r="F1610" s="1">
        <f>IFERROR(__xludf.DUMMYFUNCTION("""COMPUTED_VALUE"""),19850.0)</f>
        <v>19850</v>
      </c>
    </row>
    <row r="1611">
      <c r="A1611" s="2">
        <f>IFERROR(__xludf.DUMMYFUNCTION("""COMPUTED_VALUE"""),43585.64583333333)</f>
        <v>43585.64583</v>
      </c>
      <c r="B1611" s="1">
        <f>IFERROR(__xludf.DUMMYFUNCTION("""COMPUTED_VALUE"""),4555.0)</f>
        <v>4555</v>
      </c>
      <c r="C1611" s="1">
        <f>IFERROR(__xludf.DUMMYFUNCTION("""COMPUTED_VALUE"""),4650.0)</f>
        <v>4650</v>
      </c>
      <c r="D1611" s="1">
        <f>IFERROR(__xludf.DUMMYFUNCTION("""COMPUTED_VALUE"""),4555.0)</f>
        <v>4555</v>
      </c>
      <c r="E1611" s="1">
        <f>IFERROR(__xludf.DUMMYFUNCTION("""COMPUTED_VALUE"""),4595.0)</f>
        <v>4595</v>
      </c>
      <c r="F1611" s="1">
        <f>IFERROR(__xludf.DUMMYFUNCTION("""COMPUTED_VALUE"""),22035.0)</f>
        <v>22035</v>
      </c>
    </row>
    <row r="1612">
      <c r="A1612" s="2">
        <f>IFERROR(__xludf.DUMMYFUNCTION("""COMPUTED_VALUE"""),43587.64583333333)</f>
        <v>43587.64583</v>
      </c>
      <c r="B1612" s="1">
        <f>IFERROR(__xludf.DUMMYFUNCTION("""COMPUTED_VALUE"""),4595.0)</f>
        <v>4595</v>
      </c>
      <c r="C1612" s="1">
        <f>IFERROR(__xludf.DUMMYFUNCTION("""COMPUTED_VALUE"""),4645.0)</f>
        <v>4645</v>
      </c>
      <c r="D1612" s="1">
        <f>IFERROR(__xludf.DUMMYFUNCTION("""COMPUTED_VALUE"""),4460.0)</f>
        <v>4460</v>
      </c>
      <c r="E1612" s="1">
        <f>IFERROR(__xludf.DUMMYFUNCTION("""COMPUTED_VALUE"""),4600.0)</f>
        <v>4600</v>
      </c>
      <c r="F1612" s="1">
        <f>IFERROR(__xludf.DUMMYFUNCTION("""COMPUTED_VALUE"""),163958.0)</f>
        <v>163958</v>
      </c>
    </row>
    <row r="1613">
      <c r="A1613" s="2">
        <f>IFERROR(__xludf.DUMMYFUNCTION("""COMPUTED_VALUE"""),43588.64583333333)</f>
        <v>43588.64583</v>
      </c>
      <c r="B1613" s="1">
        <f>IFERROR(__xludf.DUMMYFUNCTION("""COMPUTED_VALUE"""),4600.0)</f>
        <v>4600</v>
      </c>
      <c r="C1613" s="1">
        <f>IFERROR(__xludf.DUMMYFUNCTION("""COMPUTED_VALUE"""),4600.0)</f>
        <v>4600</v>
      </c>
      <c r="D1613" s="1">
        <f>IFERROR(__xludf.DUMMYFUNCTION("""COMPUTED_VALUE"""),4515.0)</f>
        <v>4515</v>
      </c>
      <c r="E1613" s="1">
        <f>IFERROR(__xludf.DUMMYFUNCTION("""COMPUTED_VALUE"""),4520.0)</f>
        <v>4520</v>
      </c>
      <c r="F1613" s="1">
        <f>IFERROR(__xludf.DUMMYFUNCTION("""COMPUTED_VALUE"""),28487.0)</f>
        <v>28487</v>
      </c>
    </row>
    <row r="1614">
      <c r="A1614" s="2">
        <f>IFERROR(__xludf.DUMMYFUNCTION("""COMPUTED_VALUE"""),43592.64583333333)</f>
        <v>43592.64583</v>
      </c>
      <c r="B1614" s="1">
        <f>IFERROR(__xludf.DUMMYFUNCTION("""COMPUTED_VALUE"""),4495.0)</f>
        <v>4495</v>
      </c>
      <c r="C1614" s="1">
        <f>IFERROR(__xludf.DUMMYFUNCTION("""COMPUTED_VALUE"""),4520.0)</f>
        <v>4520</v>
      </c>
      <c r="D1614" s="1">
        <f>IFERROR(__xludf.DUMMYFUNCTION("""COMPUTED_VALUE"""),4400.0)</f>
        <v>4400</v>
      </c>
      <c r="E1614" s="1">
        <f>IFERROR(__xludf.DUMMYFUNCTION("""COMPUTED_VALUE"""),4475.0)</f>
        <v>4475</v>
      </c>
      <c r="F1614" s="1">
        <f>IFERROR(__xludf.DUMMYFUNCTION("""COMPUTED_VALUE"""),27411.0)</f>
        <v>27411</v>
      </c>
    </row>
    <row r="1615">
      <c r="A1615" s="2">
        <f>IFERROR(__xludf.DUMMYFUNCTION("""COMPUTED_VALUE"""),43593.64583333333)</f>
        <v>43593.64583</v>
      </c>
      <c r="B1615" s="1">
        <f>IFERROR(__xludf.DUMMYFUNCTION("""COMPUTED_VALUE"""),4475.0)</f>
        <v>4475</v>
      </c>
      <c r="C1615" s="1">
        <f>IFERROR(__xludf.DUMMYFUNCTION("""COMPUTED_VALUE"""),4500.0)</f>
        <v>4500</v>
      </c>
      <c r="D1615" s="1">
        <f>IFERROR(__xludf.DUMMYFUNCTION("""COMPUTED_VALUE"""),4395.0)</f>
        <v>4395</v>
      </c>
      <c r="E1615" s="1">
        <f>IFERROR(__xludf.DUMMYFUNCTION("""COMPUTED_VALUE"""),4500.0)</f>
        <v>4500</v>
      </c>
      <c r="F1615" s="1">
        <f>IFERROR(__xludf.DUMMYFUNCTION("""COMPUTED_VALUE"""),35195.0)</f>
        <v>35195</v>
      </c>
    </row>
    <row r="1616">
      <c r="A1616" s="2">
        <f>IFERROR(__xludf.DUMMYFUNCTION("""COMPUTED_VALUE"""),43594.64583333333)</f>
        <v>43594.64583</v>
      </c>
      <c r="B1616" s="1">
        <f>IFERROR(__xludf.DUMMYFUNCTION("""COMPUTED_VALUE"""),4510.0)</f>
        <v>4510</v>
      </c>
      <c r="C1616" s="1">
        <f>IFERROR(__xludf.DUMMYFUNCTION("""COMPUTED_VALUE"""),4525.0)</f>
        <v>4525</v>
      </c>
      <c r="D1616" s="1">
        <f>IFERROR(__xludf.DUMMYFUNCTION("""COMPUTED_VALUE"""),4320.0)</f>
        <v>4320</v>
      </c>
      <c r="E1616" s="1">
        <f>IFERROR(__xludf.DUMMYFUNCTION("""COMPUTED_VALUE"""),4405.0)</f>
        <v>4405</v>
      </c>
      <c r="F1616" s="1">
        <f>IFERROR(__xludf.DUMMYFUNCTION("""COMPUTED_VALUE"""),33061.0)</f>
        <v>33061</v>
      </c>
    </row>
    <row r="1617">
      <c r="A1617" s="2">
        <f>IFERROR(__xludf.DUMMYFUNCTION("""COMPUTED_VALUE"""),43595.64583333333)</f>
        <v>43595.64583</v>
      </c>
      <c r="B1617" s="1">
        <f>IFERROR(__xludf.DUMMYFUNCTION("""COMPUTED_VALUE"""),4400.0)</f>
        <v>4400</v>
      </c>
      <c r="C1617" s="1">
        <f>IFERROR(__xludf.DUMMYFUNCTION("""COMPUTED_VALUE"""),4440.0)</f>
        <v>4440</v>
      </c>
      <c r="D1617" s="1">
        <f>IFERROR(__xludf.DUMMYFUNCTION("""COMPUTED_VALUE"""),4225.0)</f>
        <v>4225</v>
      </c>
      <c r="E1617" s="1">
        <f>IFERROR(__xludf.DUMMYFUNCTION("""COMPUTED_VALUE"""),4390.0)</f>
        <v>4390</v>
      </c>
      <c r="F1617" s="1">
        <f>IFERROR(__xludf.DUMMYFUNCTION("""COMPUTED_VALUE"""),47943.0)</f>
        <v>47943</v>
      </c>
    </row>
    <row r="1618">
      <c r="A1618" s="2">
        <f>IFERROR(__xludf.DUMMYFUNCTION("""COMPUTED_VALUE"""),43598.64583333333)</f>
        <v>43598.64583</v>
      </c>
      <c r="B1618" s="1">
        <f>IFERROR(__xludf.DUMMYFUNCTION("""COMPUTED_VALUE"""),4285.0)</f>
        <v>4285</v>
      </c>
      <c r="C1618" s="1">
        <f>IFERROR(__xludf.DUMMYFUNCTION("""COMPUTED_VALUE"""),4375.0)</f>
        <v>4375</v>
      </c>
      <c r="D1618" s="1">
        <f>IFERROR(__xludf.DUMMYFUNCTION("""COMPUTED_VALUE"""),4170.0)</f>
        <v>4170</v>
      </c>
      <c r="E1618" s="1">
        <f>IFERROR(__xludf.DUMMYFUNCTION("""COMPUTED_VALUE"""),4300.0)</f>
        <v>4300</v>
      </c>
      <c r="F1618" s="1">
        <f>IFERROR(__xludf.DUMMYFUNCTION("""COMPUTED_VALUE"""),62762.0)</f>
        <v>62762</v>
      </c>
    </row>
    <row r="1619">
      <c r="A1619" s="2">
        <f>IFERROR(__xludf.DUMMYFUNCTION("""COMPUTED_VALUE"""),43599.64583333333)</f>
        <v>43599.64583</v>
      </c>
      <c r="B1619" s="1">
        <f>IFERROR(__xludf.DUMMYFUNCTION("""COMPUTED_VALUE"""),4200.0)</f>
        <v>4200</v>
      </c>
      <c r="C1619" s="1">
        <f>IFERROR(__xludf.DUMMYFUNCTION("""COMPUTED_VALUE"""),4200.0)</f>
        <v>4200</v>
      </c>
      <c r="D1619" s="1">
        <f>IFERROR(__xludf.DUMMYFUNCTION("""COMPUTED_VALUE"""),4075.0)</f>
        <v>4075</v>
      </c>
      <c r="E1619" s="1">
        <f>IFERROR(__xludf.DUMMYFUNCTION("""COMPUTED_VALUE"""),4150.0)</f>
        <v>4150</v>
      </c>
      <c r="F1619" s="1">
        <f>IFERROR(__xludf.DUMMYFUNCTION("""COMPUTED_VALUE"""),83407.0)</f>
        <v>83407</v>
      </c>
    </row>
    <row r="1620">
      <c r="A1620" s="2">
        <f>IFERROR(__xludf.DUMMYFUNCTION("""COMPUTED_VALUE"""),43600.64583333333)</f>
        <v>43600.64583</v>
      </c>
      <c r="B1620" s="1">
        <f>IFERROR(__xludf.DUMMYFUNCTION("""COMPUTED_VALUE"""),4150.0)</f>
        <v>4150</v>
      </c>
      <c r="C1620" s="1">
        <f>IFERROR(__xludf.DUMMYFUNCTION("""COMPUTED_VALUE"""),4230.0)</f>
        <v>4230</v>
      </c>
      <c r="D1620" s="1">
        <f>IFERROR(__xludf.DUMMYFUNCTION("""COMPUTED_VALUE"""),4125.0)</f>
        <v>4125</v>
      </c>
      <c r="E1620" s="1">
        <f>IFERROR(__xludf.DUMMYFUNCTION("""COMPUTED_VALUE"""),4170.0)</f>
        <v>4170</v>
      </c>
      <c r="F1620" s="1">
        <f>IFERROR(__xludf.DUMMYFUNCTION("""COMPUTED_VALUE"""),26440.0)</f>
        <v>26440</v>
      </c>
    </row>
    <row r="1621">
      <c r="A1621" s="2">
        <f>IFERROR(__xludf.DUMMYFUNCTION("""COMPUTED_VALUE"""),43601.64583333333)</f>
        <v>43601.64583</v>
      </c>
      <c r="B1621" s="1">
        <f>IFERROR(__xludf.DUMMYFUNCTION("""COMPUTED_VALUE"""),4255.0)</f>
        <v>4255</v>
      </c>
      <c r="C1621" s="1">
        <f>IFERROR(__xludf.DUMMYFUNCTION("""COMPUTED_VALUE"""),4440.0)</f>
        <v>4440</v>
      </c>
      <c r="D1621" s="1">
        <f>IFERROR(__xludf.DUMMYFUNCTION("""COMPUTED_VALUE"""),4170.0)</f>
        <v>4170</v>
      </c>
      <c r="E1621" s="1">
        <f>IFERROR(__xludf.DUMMYFUNCTION("""COMPUTED_VALUE"""),4240.0)</f>
        <v>4240</v>
      </c>
      <c r="F1621" s="1">
        <f>IFERROR(__xludf.DUMMYFUNCTION("""COMPUTED_VALUE"""),90103.0)</f>
        <v>90103</v>
      </c>
    </row>
    <row r="1622">
      <c r="A1622" s="2">
        <f>IFERROR(__xludf.DUMMYFUNCTION("""COMPUTED_VALUE"""),43602.64583333333)</f>
        <v>43602.64583</v>
      </c>
      <c r="B1622" s="1">
        <f>IFERROR(__xludf.DUMMYFUNCTION("""COMPUTED_VALUE"""),4325.0)</f>
        <v>4325</v>
      </c>
      <c r="C1622" s="1">
        <f>IFERROR(__xludf.DUMMYFUNCTION("""COMPUTED_VALUE"""),4330.0)</f>
        <v>4330</v>
      </c>
      <c r="D1622" s="1">
        <f>IFERROR(__xludf.DUMMYFUNCTION("""COMPUTED_VALUE"""),4150.0)</f>
        <v>4150</v>
      </c>
      <c r="E1622" s="1">
        <f>IFERROR(__xludf.DUMMYFUNCTION("""COMPUTED_VALUE"""),4230.0)</f>
        <v>4230</v>
      </c>
      <c r="F1622" s="1">
        <f>IFERROR(__xludf.DUMMYFUNCTION("""COMPUTED_VALUE"""),22737.0)</f>
        <v>22737</v>
      </c>
    </row>
    <row r="1623">
      <c r="A1623" s="2">
        <f>IFERROR(__xludf.DUMMYFUNCTION("""COMPUTED_VALUE"""),43605.64583333333)</f>
        <v>43605.64583</v>
      </c>
      <c r="B1623" s="1">
        <f>IFERROR(__xludf.DUMMYFUNCTION("""COMPUTED_VALUE"""),4300.0)</f>
        <v>4300</v>
      </c>
      <c r="C1623" s="1">
        <f>IFERROR(__xludf.DUMMYFUNCTION("""COMPUTED_VALUE"""),4360.0)</f>
        <v>4360</v>
      </c>
      <c r="D1623" s="1">
        <f>IFERROR(__xludf.DUMMYFUNCTION("""COMPUTED_VALUE"""),4015.0)</f>
        <v>4015</v>
      </c>
      <c r="E1623" s="1">
        <f>IFERROR(__xludf.DUMMYFUNCTION("""COMPUTED_VALUE"""),4160.0)</f>
        <v>4160</v>
      </c>
      <c r="F1623" s="1">
        <f>IFERROR(__xludf.DUMMYFUNCTION("""COMPUTED_VALUE"""),65659.0)</f>
        <v>65659</v>
      </c>
    </row>
    <row r="1624">
      <c r="A1624" s="2">
        <f>IFERROR(__xludf.DUMMYFUNCTION("""COMPUTED_VALUE"""),43606.64583333333)</f>
        <v>43606.64583</v>
      </c>
      <c r="B1624" s="1">
        <f>IFERROR(__xludf.DUMMYFUNCTION("""COMPUTED_VALUE"""),4125.0)</f>
        <v>4125</v>
      </c>
      <c r="C1624" s="1">
        <f>IFERROR(__xludf.DUMMYFUNCTION("""COMPUTED_VALUE"""),4135.0)</f>
        <v>4135</v>
      </c>
      <c r="D1624" s="1">
        <f>IFERROR(__xludf.DUMMYFUNCTION("""COMPUTED_VALUE"""),4000.0)</f>
        <v>4000</v>
      </c>
      <c r="E1624" s="1">
        <f>IFERROR(__xludf.DUMMYFUNCTION("""COMPUTED_VALUE"""),4050.0)</f>
        <v>4050</v>
      </c>
      <c r="F1624" s="1">
        <f>IFERROR(__xludf.DUMMYFUNCTION("""COMPUTED_VALUE"""),44171.0)</f>
        <v>44171</v>
      </c>
    </row>
    <row r="1625">
      <c r="A1625" s="2">
        <f>IFERROR(__xludf.DUMMYFUNCTION("""COMPUTED_VALUE"""),43607.64583333333)</f>
        <v>43607.64583</v>
      </c>
      <c r="B1625" s="1">
        <f>IFERROR(__xludf.DUMMYFUNCTION("""COMPUTED_VALUE"""),4030.0)</f>
        <v>4030</v>
      </c>
      <c r="C1625" s="1">
        <f>IFERROR(__xludf.DUMMYFUNCTION("""COMPUTED_VALUE"""),4095.0)</f>
        <v>4095</v>
      </c>
      <c r="D1625" s="1">
        <f>IFERROR(__xludf.DUMMYFUNCTION("""COMPUTED_VALUE"""),3800.0)</f>
        <v>3800</v>
      </c>
      <c r="E1625" s="1">
        <f>IFERROR(__xludf.DUMMYFUNCTION("""COMPUTED_VALUE"""),4050.0)</f>
        <v>4050</v>
      </c>
      <c r="F1625" s="1">
        <f>IFERROR(__xludf.DUMMYFUNCTION("""COMPUTED_VALUE"""),129506.0)</f>
        <v>129506</v>
      </c>
    </row>
    <row r="1626">
      <c r="A1626" s="2">
        <f>IFERROR(__xludf.DUMMYFUNCTION("""COMPUTED_VALUE"""),43608.64583333333)</f>
        <v>43608.64583</v>
      </c>
      <c r="B1626" s="1">
        <f>IFERROR(__xludf.DUMMYFUNCTION("""COMPUTED_VALUE"""),4055.0)</f>
        <v>4055</v>
      </c>
      <c r="C1626" s="1">
        <f>IFERROR(__xludf.DUMMYFUNCTION("""COMPUTED_VALUE"""),4060.0)</f>
        <v>4060</v>
      </c>
      <c r="D1626" s="1">
        <f>IFERROR(__xludf.DUMMYFUNCTION("""COMPUTED_VALUE"""),3875.0)</f>
        <v>3875</v>
      </c>
      <c r="E1626" s="1">
        <f>IFERROR(__xludf.DUMMYFUNCTION("""COMPUTED_VALUE"""),3950.0)</f>
        <v>3950</v>
      </c>
      <c r="F1626" s="1">
        <f>IFERROR(__xludf.DUMMYFUNCTION("""COMPUTED_VALUE"""),39073.0)</f>
        <v>39073</v>
      </c>
    </row>
    <row r="1627">
      <c r="A1627" s="2">
        <f>IFERROR(__xludf.DUMMYFUNCTION("""COMPUTED_VALUE"""),43609.64583333333)</f>
        <v>43609.64583</v>
      </c>
      <c r="B1627" s="1">
        <f>IFERROR(__xludf.DUMMYFUNCTION("""COMPUTED_VALUE"""),3870.0)</f>
        <v>3870</v>
      </c>
      <c r="C1627" s="1">
        <f>IFERROR(__xludf.DUMMYFUNCTION("""COMPUTED_VALUE"""),3960.0)</f>
        <v>3960</v>
      </c>
      <c r="D1627" s="1">
        <f>IFERROR(__xludf.DUMMYFUNCTION("""COMPUTED_VALUE"""),3845.0)</f>
        <v>3845</v>
      </c>
      <c r="E1627" s="1">
        <f>IFERROR(__xludf.DUMMYFUNCTION("""COMPUTED_VALUE"""),3960.0)</f>
        <v>3960</v>
      </c>
      <c r="F1627" s="1">
        <f>IFERROR(__xludf.DUMMYFUNCTION("""COMPUTED_VALUE"""),29918.0)</f>
        <v>29918</v>
      </c>
    </row>
    <row r="1628">
      <c r="A1628" s="2">
        <f>IFERROR(__xludf.DUMMYFUNCTION("""COMPUTED_VALUE"""),43612.64583333333)</f>
        <v>43612.64583</v>
      </c>
      <c r="B1628" s="1">
        <f>IFERROR(__xludf.DUMMYFUNCTION("""COMPUTED_VALUE"""),4000.0)</f>
        <v>4000</v>
      </c>
      <c r="C1628" s="1">
        <f>IFERROR(__xludf.DUMMYFUNCTION("""COMPUTED_VALUE"""),4950.0)</f>
        <v>4950</v>
      </c>
      <c r="D1628" s="1">
        <f>IFERROR(__xludf.DUMMYFUNCTION("""COMPUTED_VALUE"""),3780.0)</f>
        <v>3780</v>
      </c>
      <c r="E1628" s="1">
        <f>IFERROR(__xludf.DUMMYFUNCTION("""COMPUTED_VALUE"""),4000.0)</f>
        <v>4000</v>
      </c>
      <c r="F1628" s="1">
        <f>IFERROR(__xludf.DUMMYFUNCTION("""COMPUTED_VALUE"""),864459.0)</f>
        <v>864459</v>
      </c>
    </row>
    <row r="1629">
      <c r="A1629" s="2">
        <f>IFERROR(__xludf.DUMMYFUNCTION("""COMPUTED_VALUE"""),43613.64583333333)</f>
        <v>43613.64583</v>
      </c>
      <c r="B1629" s="1">
        <f>IFERROR(__xludf.DUMMYFUNCTION("""COMPUTED_VALUE"""),4025.0)</f>
        <v>4025</v>
      </c>
      <c r="C1629" s="1">
        <f>IFERROR(__xludf.DUMMYFUNCTION("""COMPUTED_VALUE"""),4030.0)</f>
        <v>4030</v>
      </c>
      <c r="D1629" s="1">
        <f>IFERROR(__xludf.DUMMYFUNCTION("""COMPUTED_VALUE"""),3900.0)</f>
        <v>3900</v>
      </c>
      <c r="E1629" s="1">
        <f>IFERROR(__xludf.DUMMYFUNCTION("""COMPUTED_VALUE"""),3970.0)</f>
        <v>3970</v>
      </c>
      <c r="F1629" s="1">
        <f>IFERROR(__xludf.DUMMYFUNCTION("""COMPUTED_VALUE"""),83662.0)</f>
        <v>83662</v>
      </c>
    </row>
    <row r="1630">
      <c r="A1630" s="2">
        <f>IFERROR(__xludf.DUMMYFUNCTION("""COMPUTED_VALUE"""),43614.64583333333)</f>
        <v>43614.64583</v>
      </c>
      <c r="B1630" s="1">
        <f>IFERROR(__xludf.DUMMYFUNCTION("""COMPUTED_VALUE"""),3970.0)</f>
        <v>3970</v>
      </c>
      <c r="C1630" s="1">
        <f>IFERROR(__xludf.DUMMYFUNCTION("""COMPUTED_VALUE"""),3985.0)</f>
        <v>3985</v>
      </c>
      <c r="D1630" s="1">
        <f>IFERROR(__xludf.DUMMYFUNCTION("""COMPUTED_VALUE"""),3805.0)</f>
        <v>3805</v>
      </c>
      <c r="E1630" s="1">
        <f>IFERROR(__xludf.DUMMYFUNCTION("""COMPUTED_VALUE"""),3965.0)</f>
        <v>3965</v>
      </c>
      <c r="F1630" s="1">
        <f>IFERROR(__xludf.DUMMYFUNCTION("""COMPUTED_VALUE"""),50620.0)</f>
        <v>50620</v>
      </c>
    </row>
    <row r="1631">
      <c r="A1631" s="2">
        <f>IFERROR(__xludf.DUMMYFUNCTION("""COMPUTED_VALUE"""),43615.64583333333)</f>
        <v>43615.64583</v>
      </c>
      <c r="B1631" s="1">
        <f>IFERROR(__xludf.DUMMYFUNCTION("""COMPUTED_VALUE"""),3960.0)</f>
        <v>3960</v>
      </c>
      <c r="C1631" s="1">
        <f>IFERROR(__xludf.DUMMYFUNCTION("""COMPUTED_VALUE"""),3960.0)</f>
        <v>3960</v>
      </c>
      <c r="D1631" s="1">
        <f>IFERROR(__xludf.DUMMYFUNCTION("""COMPUTED_VALUE"""),3850.0)</f>
        <v>3850</v>
      </c>
      <c r="E1631" s="1">
        <f>IFERROR(__xludf.DUMMYFUNCTION("""COMPUTED_VALUE"""),3905.0)</f>
        <v>3905</v>
      </c>
      <c r="F1631" s="1">
        <f>IFERROR(__xludf.DUMMYFUNCTION("""COMPUTED_VALUE"""),27803.0)</f>
        <v>27803</v>
      </c>
    </row>
    <row r="1632">
      <c r="A1632" s="2">
        <f>IFERROR(__xludf.DUMMYFUNCTION("""COMPUTED_VALUE"""),43616.64583333333)</f>
        <v>43616.64583</v>
      </c>
      <c r="B1632" s="1">
        <f>IFERROR(__xludf.DUMMYFUNCTION("""COMPUTED_VALUE"""),3905.0)</f>
        <v>3905</v>
      </c>
      <c r="C1632" s="1">
        <f>IFERROR(__xludf.DUMMYFUNCTION("""COMPUTED_VALUE"""),3965.0)</f>
        <v>3965</v>
      </c>
      <c r="D1632" s="1">
        <f>IFERROR(__xludf.DUMMYFUNCTION("""COMPUTED_VALUE"""),3840.0)</f>
        <v>3840</v>
      </c>
      <c r="E1632" s="1">
        <f>IFERROR(__xludf.DUMMYFUNCTION("""COMPUTED_VALUE"""),3940.0)</f>
        <v>3940</v>
      </c>
      <c r="F1632" s="1">
        <f>IFERROR(__xludf.DUMMYFUNCTION("""COMPUTED_VALUE"""),22831.0)</f>
        <v>22831</v>
      </c>
    </row>
    <row r="1633">
      <c r="A1633" s="2">
        <f>IFERROR(__xludf.DUMMYFUNCTION("""COMPUTED_VALUE"""),43619.64583333333)</f>
        <v>43619.64583</v>
      </c>
      <c r="B1633" s="1">
        <f>IFERROR(__xludf.DUMMYFUNCTION("""COMPUTED_VALUE"""),3955.0)</f>
        <v>3955</v>
      </c>
      <c r="C1633" s="1">
        <f>IFERROR(__xludf.DUMMYFUNCTION("""COMPUTED_VALUE"""),3960.0)</f>
        <v>3960</v>
      </c>
      <c r="D1633" s="1">
        <f>IFERROR(__xludf.DUMMYFUNCTION("""COMPUTED_VALUE"""),3845.0)</f>
        <v>3845</v>
      </c>
      <c r="E1633" s="1">
        <f>IFERROR(__xludf.DUMMYFUNCTION("""COMPUTED_VALUE"""),3955.0)</f>
        <v>3955</v>
      </c>
      <c r="F1633" s="1">
        <f>IFERROR(__xludf.DUMMYFUNCTION("""COMPUTED_VALUE"""),19550.0)</f>
        <v>19550</v>
      </c>
    </row>
    <row r="1634">
      <c r="A1634" s="2">
        <f>IFERROR(__xludf.DUMMYFUNCTION("""COMPUTED_VALUE"""),43620.64583333333)</f>
        <v>43620.64583</v>
      </c>
      <c r="B1634" s="1">
        <f>IFERROR(__xludf.DUMMYFUNCTION("""COMPUTED_VALUE"""),3955.0)</f>
        <v>3955</v>
      </c>
      <c r="C1634" s="1">
        <f>IFERROR(__xludf.DUMMYFUNCTION("""COMPUTED_VALUE"""),3985.0)</f>
        <v>3985</v>
      </c>
      <c r="D1634" s="1">
        <f>IFERROR(__xludf.DUMMYFUNCTION("""COMPUTED_VALUE"""),3900.0)</f>
        <v>3900</v>
      </c>
      <c r="E1634" s="1">
        <f>IFERROR(__xludf.DUMMYFUNCTION("""COMPUTED_VALUE"""),3980.0)</f>
        <v>3980</v>
      </c>
      <c r="F1634" s="1">
        <f>IFERROR(__xludf.DUMMYFUNCTION("""COMPUTED_VALUE"""),23561.0)</f>
        <v>23561</v>
      </c>
    </row>
    <row r="1635">
      <c r="A1635" s="2">
        <f>IFERROR(__xludf.DUMMYFUNCTION("""COMPUTED_VALUE"""),43621.64583333333)</f>
        <v>43621.64583</v>
      </c>
      <c r="B1635" s="1">
        <f>IFERROR(__xludf.DUMMYFUNCTION("""COMPUTED_VALUE"""),3980.0)</f>
        <v>3980</v>
      </c>
      <c r="C1635" s="1">
        <f>IFERROR(__xludf.DUMMYFUNCTION("""COMPUTED_VALUE"""),4035.0)</f>
        <v>4035</v>
      </c>
      <c r="D1635" s="1">
        <f>IFERROR(__xludf.DUMMYFUNCTION("""COMPUTED_VALUE"""),3930.0)</f>
        <v>3930</v>
      </c>
      <c r="E1635" s="1">
        <f>IFERROR(__xludf.DUMMYFUNCTION("""COMPUTED_VALUE"""),4000.0)</f>
        <v>4000</v>
      </c>
      <c r="F1635" s="1">
        <f>IFERROR(__xludf.DUMMYFUNCTION("""COMPUTED_VALUE"""),10105.0)</f>
        <v>10105</v>
      </c>
    </row>
    <row r="1636">
      <c r="A1636" s="2">
        <f>IFERROR(__xludf.DUMMYFUNCTION("""COMPUTED_VALUE"""),43623.64583333333)</f>
        <v>43623.64583</v>
      </c>
      <c r="B1636" s="1">
        <f>IFERROR(__xludf.DUMMYFUNCTION("""COMPUTED_VALUE"""),4000.0)</f>
        <v>4000</v>
      </c>
      <c r="C1636" s="1">
        <f>IFERROR(__xludf.DUMMYFUNCTION("""COMPUTED_VALUE"""),4000.0)</f>
        <v>4000</v>
      </c>
      <c r="D1636" s="1">
        <f>IFERROR(__xludf.DUMMYFUNCTION("""COMPUTED_VALUE"""),3955.0)</f>
        <v>3955</v>
      </c>
      <c r="E1636" s="1">
        <f>IFERROR(__xludf.DUMMYFUNCTION("""COMPUTED_VALUE"""),3995.0)</f>
        <v>3995</v>
      </c>
      <c r="F1636" s="1">
        <f>IFERROR(__xludf.DUMMYFUNCTION("""COMPUTED_VALUE"""),12194.0)</f>
        <v>12194</v>
      </c>
    </row>
    <row r="1637">
      <c r="A1637" s="2">
        <f>IFERROR(__xludf.DUMMYFUNCTION("""COMPUTED_VALUE"""),43626.64583333333)</f>
        <v>43626.64583</v>
      </c>
      <c r="B1637" s="1">
        <f>IFERROR(__xludf.DUMMYFUNCTION("""COMPUTED_VALUE"""),4030.0)</f>
        <v>4030</v>
      </c>
      <c r="C1637" s="1">
        <f>IFERROR(__xludf.DUMMYFUNCTION("""COMPUTED_VALUE"""),4030.0)</f>
        <v>4030</v>
      </c>
      <c r="D1637" s="1">
        <f>IFERROR(__xludf.DUMMYFUNCTION("""COMPUTED_VALUE"""),3950.0)</f>
        <v>3950</v>
      </c>
      <c r="E1637" s="1">
        <f>IFERROR(__xludf.DUMMYFUNCTION("""COMPUTED_VALUE"""),3995.0)</f>
        <v>3995</v>
      </c>
      <c r="F1637" s="1">
        <f>IFERROR(__xludf.DUMMYFUNCTION("""COMPUTED_VALUE"""),13783.0)</f>
        <v>13783</v>
      </c>
    </row>
    <row r="1638">
      <c r="A1638" s="2">
        <f>IFERROR(__xludf.DUMMYFUNCTION("""COMPUTED_VALUE"""),43627.64583333333)</f>
        <v>43627.64583</v>
      </c>
      <c r="B1638" s="1">
        <f>IFERROR(__xludf.DUMMYFUNCTION("""COMPUTED_VALUE"""),4040.0)</f>
        <v>4040</v>
      </c>
      <c r="C1638" s="1">
        <f>IFERROR(__xludf.DUMMYFUNCTION("""COMPUTED_VALUE"""),4040.0)</f>
        <v>4040</v>
      </c>
      <c r="D1638" s="1">
        <f>IFERROR(__xludf.DUMMYFUNCTION("""COMPUTED_VALUE"""),3950.0)</f>
        <v>3950</v>
      </c>
      <c r="E1638" s="1">
        <f>IFERROR(__xludf.DUMMYFUNCTION("""COMPUTED_VALUE"""),4015.0)</f>
        <v>4015</v>
      </c>
      <c r="F1638" s="1">
        <f>IFERROR(__xludf.DUMMYFUNCTION("""COMPUTED_VALUE"""),20844.0)</f>
        <v>20844</v>
      </c>
    </row>
    <row r="1639">
      <c r="A1639" s="2">
        <f>IFERROR(__xludf.DUMMYFUNCTION("""COMPUTED_VALUE"""),43628.64583333333)</f>
        <v>43628.64583</v>
      </c>
      <c r="B1639" s="1">
        <f>IFERROR(__xludf.DUMMYFUNCTION("""COMPUTED_VALUE"""),4025.0)</f>
        <v>4025</v>
      </c>
      <c r="C1639" s="1">
        <f>IFERROR(__xludf.DUMMYFUNCTION("""COMPUTED_VALUE"""),4035.0)</f>
        <v>4035</v>
      </c>
      <c r="D1639" s="1">
        <f>IFERROR(__xludf.DUMMYFUNCTION("""COMPUTED_VALUE"""),3955.0)</f>
        <v>3955</v>
      </c>
      <c r="E1639" s="1">
        <f>IFERROR(__xludf.DUMMYFUNCTION("""COMPUTED_VALUE"""),4015.0)</f>
        <v>4015</v>
      </c>
      <c r="F1639" s="1">
        <f>IFERROR(__xludf.DUMMYFUNCTION("""COMPUTED_VALUE"""),27851.0)</f>
        <v>27851</v>
      </c>
    </row>
    <row r="1640">
      <c r="A1640" s="2">
        <f>IFERROR(__xludf.DUMMYFUNCTION("""COMPUTED_VALUE"""),43629.64583333333)</f>
        <v>43629.64583</v>
      </c>
      <c r="B1640" s="1">
        <f>IFERROR(__xludf.DUMMYFUNCTION("""COMPUTED_VALUE"""),3965.0)</f>
        <v>3965</v>
      </c>
      <c r="C1640" s="1">
        <f>IFERROR(__xludf.DUMMYFUNCTION("""COMPUTED_VALUE"""),4150.0)</f>
        <v>4150</v>
      </c>
      <c r="D1640" s="1">
        <f>IFERROR(__xludf.DUMMYFUNCTION("""COMPUTED_VALUE"""),3950.0)</f>
        <v>3950</v>
      </c>
      <c r="E1640" s="1">
        <f>IFERROR(__xludf.DUMMYFUNCTION("""COMPUTED_VALUE"""),4060.0)</f>
        <v>4060</v>
      </c>
      <c r="F1640" s="1">
        <f>IFERROR(__xludf.DUMMYFUNCTION("""COMPUTED_VALUE"""),49627.0)</f>
        <v>49627</v>
      </c>
    </row>
    <row r="1641">
      <c r="A1641" s="2">
        <f>IFERROR(__xludf.DUMMYFUNCTION("""COMPUTED_VALUE"""),43630.64583333333)</f>
        <v>43630.64583</v>
      </c>
      <c r="B1641" s="1">
        <f>IFERROR(__xludf.DUMMYFUNCTION("""COMPUTED_VALUE"""),4065.0)</f>
        <v>4065</v>
      </c>
      <c r="C1641" s="1">
        <f>IFERROR(__xludf.DUMMYFUNCTION("""COMPUTED_VALUE"""),4070.0)</f>
        <v>4070</v>
      </c>
      <c r="D1641" s="1">
        <f>IFERROR(__xludf.DUMMYFUNCTION("""COMPUTED_VALUE"""),3985.0)</f>
        <v>3985</v>
      </c>
      <c r="E1641" s="1">
        <f>IFERROR(__xludf.DUMMYFUNCTION("""COMPUTED_VALUE"""),4040.0)</f>
        <v>4040</v>
      </c>
      <c r="F1641" s="1">
        <f>IFERROR(__xludf.DUMMYFUNCTION("""COMPUTED_VALUE"""),25124.0)</f>
        <v>25124</v>
      </c>
    </row>
    <row r="1642">
      <c r="A1642" s="2">
        <f>IFERROR(__xludf.DUMMYFUNCTION("""COMPUTED_VALUE"""),43633.64583333333)</f>
        <v>43633.64583</v>
      </c>
      <c r="B1642" s="1">
        <f>IFERROR(__xludf.DUMMYFUNCTION("""COMPUTED_VALUE"""),4040.0)</f>
        <v>4040</v>
      </c>
      <c r="C1642" s="1">
        <f>IFERROR(__xludf.DUMMYFUNCTION("""COMPUTED_VALUE"""),4040.0)</f>
        <v>4040</v>
      </c>
      <c r="D1642" s="1">
        <f>IFERROR(__xludf.DUMMYFUNCTION("""COMPUTED_VALUE"""),3890.0)</f>
        <v>3890</v>
      </c>
      <c r="E1642" s="1">
        <f>IFERROR(__xludf.DUMMYFUNCTION("""COMPUTED_VALUE"""),3950.0)</f>
        <v>3950</v>
      </c>
      <c r="F1642" s="1">
        <f>IFERROR(__xludf.DUMMYFUNCTION("""COMPUTED_VALUE"""),53151.0)</f>
        <v>53151</v>
      </c>
    </row>
    <row r="1643">
      <c r="A1643" s="2">
        <f>IFERROR(__xludf.DUMMYFUNCTION("""COMPUTED_VALUE"""),43634.64583333333)</f>
        <v>43634.64583</v>
      </c>
      <c r="B1643" s="1">
        <f>IFERROR(__xludf.DUMMYFUNCTION("""COMPUTED_VALUE"""),3945.0)</f>
        <v>3945</v>
      </c>
      <c r="C1643" s="1">
        <f>IFERROR(__xludf.DUMMYFUNCTION("""COMPUTED_VALUE"""),4015.0)</f>
        <v>4015</v>
      </c>
      <c r="D1643" s="1">
        <f>IFERROR(__xludf.DUMMYFUNCTION("""COMPUTED_VALUE"""),3875.0)</f>
        <v>3875</v>
      </c>
      <c r="E1643" s="1">
        <f>IFERROR(__xludf.DUMMYFUNCTION("""COMPUTED_VALUE"""),3950.0)</f>
        <v>3950</v>
      </c>
      <c r="F1643" s="1">
        <f>IFERROR(__xludf.DUMMYFUNCTION("""COMPUTED_VALUE"""),32721.0)</f>
        <v>32721</v>
      </c>
    </row>
    <row r="1644">
      <c r="A1644" s="2">
        <f>IFERROR(__xludf.DUMMYFUNCTION("""COMPUTED_VALUE"""),43635.64583333333)</f>
        <v>43635.64583</v>
      </c>
      <c r="B1644" s="1">
        <f>IFERROR(__xludf.DUMMYFUNCTION("""COMPUTED_VALUE"""),3950.0)</f>
        <v>3950</v>
      </c>
      <c r="C1644" s="1">
        <f>IFERROR(__xludf.DUMMYFUNCTION("""COMPUTED_VALUE"""),3965.0)</f>
        <v>3965</v>
      </c>
      <c r="D1644" s="1">
        <f>IFERROR(__xludf.DUMMYFUNCTION("""COMPUTED_VALUE"""),3905.0)</f>
        <v>3905</v>
      </c>
      <c r="E1644" s="1">
        <f>IFERROR(__xludf.DUMMYFUNCTION("""COMPUTED_VALUE"""),3965.0)</f>
        <v>3965</v>
      </c>
      <c r="F1644" s="1">
        <f>IFERROR(__xludf.DUMMYFUNCTION("""COMPUTED_VALUE"""),9738.0)</f>
        <v>9738</v>
      </c>
    </row>
    <row r="1645">
      <c r="A1645" s="2">
        <f>IFERROR(__xludf.DUMMYFUNCTION("""COMPUTED_VALUE"""),43636.64583333333)</f>
        <v>43636.64583</v>
      </c>
      <c r="B1645" s="1">
        <f>IFERROR(__xludf.DUMMYFUNCTION("""COMPUTED_VALUE"""),3975.0)</f>
        <v>3975</v>
      </c>
      <c r="C1645" s="1">
        <f>IFERROR(__xludf.DUMMYFUNCTION("""COMPUTED_VALUE"""),4200.0)</f>
        <v>4200</v>
      </c>
      <c r="D1645" s="1">
        <f>IFERROR(__xludf.DUMMYFUNCTION("""COMPUTED_VALUE"""),3880.0)</f>
        <v>3880</v>
      </c>
      <c r="E1645" s="1">
        <f>IFERROR(__xludf.DUMMYFUNCTION("""COMPUTED_VALUE"""),4185.0)</f>
        <v>4185</v>
      </c>
      <c r="F1645" s="1">
        <f>IFERROR(__xludf.DUMMYFUNCTION("""COMPUTED_VALUE"""),105561.0)</f>
        <v>105561</v>
      </c>
    </row>
    <row r="1646">
      <c r="A1646" s="2">
        <f>IFERROR(__xludf.DUMMYFUNCTION("""COMPUTED_VALUE"""),43637.64583333333)</f>
        <v>43637.64583</v>
      </c>
      <c r="B1646" s="1">
        <f>IFERROR(__xludf.DUMMYFUNCTION("""COMPUTED_VALUE"""),4185.0)</f>
        <v>4185</v>
      </c>
      <c r="C1646" s="1">
        <f>IFERROR(__xludf.DUMMYFUNCTION("""COMPUTED_VALUE"""),4540.0)</f>
        <v>4540</v>
      </c>
      <c r="D1646" s="1">
        <f>IFERROR(__xludf.DUMMYFUNCTION("""COMPUTED_VALUE"""),4120.0)</f>
        <v>4120</v>
      </c>
      <c r="E1646" s="1">
        <f>IFERROR(__xludf.DUMMYFUNCTION("""COMPUTED_VALUE"""),4450.0)</f>
        <v>4450</v>
      </c>
      <c r="F1646" s="1">
        <f>IFERROR(__xludf.DUMMYFUNCTION("""COMPUTED_VALUE"""),239658.0)</f>
        <v>239658</v>
      </c>
    </row>
    <row r="1647">
      <c r="A1647" s="2">
        <f>IFERROR(__xludf.DUMMYFUNCTION("""COMPUTED_VALUE"""),43640.64583333333)</f>
        <v>43640.64583</v>
      </c>
      <c r="B1647" s="1">
        <f>IFERROR(__xludf.DUMMYFUNCTION("""COMPUTED_VALUE"""),4450.0)</f>
        <v>4450</v>
      </c>
      <c r="C1647" s="1">
        <f>IFERROR(__xludf.DUMMYFUNCTION("""COMPUTED_VALUE"""),4475.0)</f>
        <v>4475</v>
      </c>
      <c r="D1647" s="1">
        <f>IFERROR(__xludf.DUMMYFUNCTION("""COMPUTED_VALUE"""),4300.0)</f>
        <v>4300</v>
      </c>
      <c r="E1647" s="1">
        <f>IFERROR(__xludf.DUMMYFUNCTION("""COMPUTED_VALUE"""),4310.0)</f>
        <v>4310</v>
      </c>
      <c r="F1647" s="1">
        <f>IFERROR(__xludf.DUMMYFUNCTION("""COMPUTED_VALUE"""),80030.0)</f>
        <v>80030</v>
      </c>
    </row>
    <row r="1648">
      <c r="A1648" s="2">
        <f>IFERROR(__xludf.DUMMYFUNCTION("""COMPUTED_VALUE"""),43641.64583333333)</f>
        <v>43641.64583</v>
      </c>
      <c r="B1648" s="1">
        <f>IFERROR(__xludf.DUMMYFUNCTION("""COMPUTED_VALUE"""),4310.0)</f>
        <v>4310</v>
      </c>
      <c r="C1648" s="1">
        <f>IFERROR(__xludf.DUMMYFUNCTION("""COMPUTED_VALUE"""),4390.0)</f>
        <v>4390</v>
      </c>
      <c r="D1648" s="1">
        <f>IFERROR(__xludf.DUMMYFUNCTION("""COMPUTED_VALUE"""),4170.0)</f>
        <v>4170</v>
      </c>
      <c r="E1648" s="1">
        <f>IFERROR(__xludf.DUMMYFUNCTION("""COMPUTED_VALUE"""),4280.0)</f>
        <v>4280</v>
      </c>
      <c r="F1648" s="1">
        <f>IFERROR(__xludf.DUMMYFUNCTION("""COMPUTED_VALUE"""),64908.0)</f>
        <v>64908</v>
      </c>
    </row>
    <row r="1649">
      <c r="A1649" s="2">
        <f>IFERROR(__xludf.DUMMYFUNCTION("""COMPUTED_VALUE"""),43642.64583333333)</f>
        <v>43642.64583</v>
      </c>
      <c r="B1649" s="1">
        <f>IFERROR(__xludf.DUMMYFUNCTION("""COMPUTED_VALUE"""),4200.0)</f>
        <v>4200</v>
      </c>
      <c r="C1649" s="1">
        <f>IFERROR(__xludf.DUMMYFUNCTION("""COMPUTED_VALUE"""),4295.0)</f>
        <v>4295</v>
      </c>
      <c r="D1649" s="1">
        <f>IFERROR(__xludf.DUMMYFUNCTION("""COMPUTED_VALUE"""),4200.0)</f>
        <v>4200</v>
      </c>
      <c r="E1649" s="1">
        <f>IFERROR(__xludf.DUMMYFUNCTION("""COMPUTED_VALUE"""),4280.0)</f>
        <v>4280</v>
      </c>
      <c r="F1649" s="1">
        <f>IFERROR(__xludf.DUMMYFUNCTION("""COMPUTED_VALUE"""),18889.0)</f>
        <v>18889</v>
      </c>
    </row>
    <row r="1650">
      <c r="A1650" s="2">
        <f>IFERROR(__xludf.DUMMYFUNCTION("""COMPUTED_VALUE"""),43643.64583333333)</f>
        <v>43643.64583</v>
      </c>
      <c r="B1650" s="1">
        <f>IFERROR(__xludf.DUMMYFUNCTION("""COMPUTED_VALUE"""),4280.0)</f>
        <v>4280</v>
      </c>
      <c r="C1650" s="1">
        <f>IFERROR(__xludf.DUMMYFUNCTION("""COMPUTED_VALUE"""),4390.0)</f>
        <v>4390</v>
      </c>
      <c r="D1650" s="1">
        <f>IFERROR(__xludf.DUMMYFUNCTION("""COMPUTED_VALUE"""),4220.0)</f>
        <v>4220</v>
      </c>
      <c r="E1650" s="1">
        <f>IFERROR(__xludf.DUMMYFUNCTION("""COMPUTED_VALUE"""),4330.0)</f>
        <v>4330</v>
      </c>
      <c r="F1650" s="1">
        <f>IFERROR(__xludf.DUMMYFUNCTION("""COMPUTED_VALUE"""),42670.0)</f>
        <v>42670</v>
      </c>
    </row>
    <row r="1651">
      <c r="A1651" s="2">
        <f>IFERROR(__xludf.DUMMYFUNCTION("""COMPUTED_VALUE"""),43644.64583333333)</f>
        <v>43644.64583</v>
      </c>
      <c r="B1651" s="1">
        <f>IFERROR(__xludf.DUMMYFUNCTION("""COMPUTED_VALUE"""),4330.0)</f>
        <v>4330</v>
      </c>
      <c r="C1651" s="1">
        <f>IFERROR(__xludf.DUMMYFUNCTION("""COMPUTED_VALUE"""),4395.0)</f>
        <v>4395</v>
      </c>
      <c r="D1651" s="1">
        <f>IFERROR(__xludf.DUMMYFUNCTION("""COMPUTED_VALUE"""),4065.0)</f>
        <v>4065</v>
      </c>
      <c r="E1651" s="1">
        <f>IFERROR(__xludf.DUMMYFUNCTION("""COMPUTED_VALUE"""),4140.0)</f>
        <v>4140</v>
      </c>
      <c r="F1651" s="1">
        <f>IFERROR(__xludf.DUMMYFUNCTION("""COMPUTED_VALUE"""),96779.0)</f>
        <v>96779</v>
      </c>
    </row>
    <row r="1652">
      <c r="A1652" s="2">
        <f>IFERROR(__xludf.DUMMYFUNCTION("""COMPUTED_VALUE"""),43647.64583333333)</f>
        <v>43647.64583</v>
      </c>
      <c r="B1652" s="1">
        <f>IFERROR(__xludf.DUMMYFUNCTION("""COMPUTED_VALUE"""),4100.0)</f>
        <v>4100</v>
      </c>
      <c r="C1652" s="1">
        <f>IFERROR(__xludf.DUMMYFUNCTION("""COMPUTED_VALUE"""),4215.0)</f>
        <v>4215</v>
      </c>
      <c r="D1652" s="1">
        <f>IFERROR(__xludf.DUMMYFUNCTION("""COMPUTED_VALUE"""),4060.0)</f>
        <v>4060</v>
      </c>
      <c r="E1652" s="1">
        <f>IFERROR(__xludf.DUMMYFUNCTION("""COMPUTED_VALUE"""),4195.0)</f>
        <v>4195</v>
      </c>
      <c r="F1652" s="1">
        <f>IFERROR(__xludf.DUMMYFUNCTION("""COMPUTED_VALUE"""),28994.0)</f>
        <v>28994</v>
      </c>
    </row>
    <row r="1653">
      <c r="A1653" s="2">
        <f>IFERROR(__xludf.DUMMYFUNCTION("""COMPUTED_VALUE"""),43648.64583333333)</f>
        <v>43648.64583</v>
      </c>
      <c r="B1653" s="1">
        <f>IFERROR(__xludf.DUMMYFUNCTION("""COMPUTED_VALUE"""),4150.0)</f>
        <v>4150</v>
      </c>
      <c r="C1653" s="1">
        <f>IFERROR(__xludf.DUMMYFUNCTION("""COMPUTED_VALUE"""),4235.0)</f>
        <v>4235</v>
      </c>
      <c r="D1653" s="1">
        <f>IFERROR(__xludf.DUMMYFUNCTION("""COMPUTED_VALUE"""),4135.0)</f>
        <v>4135</v>
      </c>
      <c r="E1653" s="1">
        <f>IFERROR(__xludf.DUMMYFUNCTION("""COMPUTED_VALUE"""),4185.0)</f>
        <v>4185</v>
      </c>
      <c r="F1653" s="1">
        <f>IFERROR(__xludf.DUMMYFUNCTION("""COMPUTED_VALUE"""),13358.0)</f>
        <v>13358</v>
      </c>
    </row>
    <row r="1654">
      <c r="A1654" s="2">
        <f>IFERROR(__xludf.DUMMYFUNCTION("""COMPUTED_VALUE"""),43649.64583333333)</f>
        <v>43649.64583</v>
      </c>
      <c r="B1654" s="1">
        <f>IFERROR(__xludf.DUMMYFUNCTION("""COMPUTED_VALUE"""),4185.0)</f>
        <v>4185</v>
      </c>
      <c r="C1654" s="1">
        <f>IFERROR(__xludf.DUMMYFUNCTION("""COMPUTED_VALUE"""),4185.0)</f>
        <v>4185</v>
      </c>
      <c r="D1654" s="1">
        <f>IFERROR(__xludf.DUMMYFUNCTION("""COMPUTED_VALUE"""),4020.0)</f>
        <v>4020</v>
      </c>
      <c r="E1654" s="1">
        <f>IFERROR(__xludf.DUMMYFUNCTION("""COMPUTED_VALUE"""),4160.0)</f>
        <v>4160</v>
      </c>
      <c r="F1654" s="1">
        <f>IFERROR(__xludf.DUMMYFUNCTION("""COMPUTED_VALUE"""),30624.0)</f>
        <v>30624</v>
      </c>
    </row>
    <row r="1655">
      <c r="A1655" s="2">
        <f>IFERROR(__xludf.DUMMYFUNCTION("""COMPUTED_VALUE"""),43650.64583333333)</f>
        <v>43650.64583</v>
      </c>
      <c r="B1655" s="1">
        <f>IFERROR(__xludf.DUMMYFUNCTION("""COMPUTED_VALUE"""),4160.0)</f>
        <v>4160</v>
      </c>
      <c r="C1655" s="1">
        <f>IFERROR(__xludf.DUMMYFUNCTION("""COMPUTED_VALUE"""),4160.0)</f>
        <v>4160</v>
      </c>
      <c r="D1655" s="1">
        <f>IFERROR(__xludf.DUMMYFUNCTION("""COMPUTED_VALUE"""),4040.0)</f>
        <v>4040</v>
      </c>
      <c r="E1655" s="1">
        <f>IFERROR(__xludf.DUMMYFUNCTION("""COMPUTED_VALUE"""),4135.0)</f>
        <v>4135</v>
      </c>
      <c r="F1655" s="1">
        <f>IFERROR(__xludf.DUMMYFUNCTION("""COMPUTED_VALUE"""),18846.0)</f>
        <v>18846</v>
      </c>
    </row>
    <row r="1656">
      <c r="A1656" s="2">
        <f>IFERROR(__xludf.DUMMYFUNCTION("""COMPUTED_VALUE"""),43651.64583333333)</f>
        <v>43651.64583</v>
      </c>
      <c r="B1656" s="1">
        <f>IFERROR(__xludf.DUMMYFUNCTION("""COMPUTED_VALUE"""),4135.0)</f>
        <v>4135</v>
      </c>
      <c r="C1656" s="1">
        <f>IFERROR(__xludf.DUMMYFUNCTION("""COMPUTED_VALUE"""),4140.0)</f>
        <v>4140</v>
      </c>
      <c r="D1656" s="1">
        <f>IFERROR(__xludf.DUMMYFUNCTION("""COMPUTED_VALUE"""),4005.0)</f>
        <v>4005</v>
      </c>
      <c r="E1656" s="1">
        <f>IFERROR(__xludf.DUMMYFUNCTION("""COMPUTED_VALUE"""),4100.0)</f>
        <v>4100</v>
      </c>
      <c r="F1656" s="1">
        <f>IFERROR(__xludf.DUMMYFUNCTION("""COMPUTED_VALUE"""),11941.0)</f>
        <v>11941</v>
      </c>
    </row>
    <row r="1657">
      <c r="A1657" s="2">
        <f>IFERROR(__xludf.DUMMYFUNCTION("""COMPUTED_VALUE"""),43654.64583333333)</f>
        <v>43654.64583</v>
      </c>
      <c r="B1657" s="1">
        <f>IFERROR(__xludf.DUMMYFUNCTION("""COMPUTED_VALUE"""),4045.0)</f>
        <v>4045</v>
      </c>
      <c r="C1657" s="1">
        <f>IFERROR(__xludf.DUMMYFUNCTION("""COMPUTED_VALUE"""),4100.0)</f>
        <v>4100</v>
      </c>
      <c r="D1657" s="1">
        <f>IFERROR(__xludf.DUMMYFUNCTION("""COMPUTED_VALUE"""),3830.0)</f>
        <v>3830</v>
      </c>
      <c r="E1657" s="1">
        <f>IFERROR(__xludf.DUMMYFUNCTION("""COMPUTED_VALUE"""),3960.0)</f>
        <v>3960</v>
      </c>
      <c r="F1657" s="1">
        <f>IFERROR(__xludf.DUMMYFUNCTION("""COMPUTED_VALUE"""),49430.0)</f>
        <v>49430</v>
      </c>
    </row>
    <row r="1658">
      <c r="A1658" s="2">
        <f>IFERROR(__xludf.DUMMYFUNCTION("""COMPUTED_VALUE"""),43655.64583333333)</f>
        <v>43655.64583</v>
      </c>
      <c r="B1658" s="1">
        <f>IFERROR(__xludf.DUMMYFUNCTION("""COMPUTED_VALUE"""),3960.0)</f>
        <v>3960</v>
      </c>
      <c r="C1658" s="1">
        <f>IFERROR(__xludf.DUMMYFUNCTION("""COMPUTED_VALUE"""),3960.0)</f>
        <v>3960</v>
      </c>
      <c r="D1658" s="1">
        <f>IFERROR(__xludf.DUMMYFUNCTION("""COMPUTED_VALUE"""),3730.0)</f>
        <v>3730</v>
      </c>
      <c r="E1658" s="1">
        <f>IFERROR(__xludf.DUMMYFUNCTION("""COMPUTED_VALUE"""),3900.0)</f>
        <v>3900</v>
      </c>
      <c r="F1658" s="1">
        <f>IFERROR(__xludf.DUMMYFUNCTION("""COMPUTED_VALUE"""),48313.0)</f>
        <v>48313</v>
      </c>
    </row>
    <row r="1659">
      <c r="A1659" s="2">
        <f>IFERROR(__xludf.DUMMYFUNCTION("""COMPUTED_VALUE"""),43656.64583333333)</f>
        <v>43656.64583</v>
      </c>
      <c r="B1659" s="1">
        <f>IFERROR(__xludf.DUMMYFUNCTION("""COMPUTED_VALUE"""),3805.0)</f>
        <v>3805</v>
      </c>
      <c r="C1659" s="1">
        <f>IFERROR(__xludf.DUMMYFUNCTION("""COMPUTED_VALUE"""),3900.0)</f>
        <v>3900</v>
      </c>
      <c r="D1659" s="1">
        <f>IFERROR(__xludf.DUMMYFUNCTION("""COMPUTED_VALUE"""),3760.0)</f>
        <v>3760</v>
      </c>
      <c r="E1659" s="1">
        <f>IFERROR(__xludf.DUMMYFUNCTION("""COMPUTED_VALUE"""),3850.0)</f>
        <v>3850</v>
      </c>
      <c r="F1659" s="1">
        <f>IFERROR(__xludf.DUMMYFUNCTION("""COMPUTED_VALUE"""),49554.0)</f>
        <v>49554</v>
      </c>
    </row>
    <row r="1660">
      <c r="A1660" s="2">
        <f>IFERROR(__xludf.DUMMYFUNCTION("""COMPUTED_VALUE"""),43657.64583333333)</f>
        <v>43657.64583</v>
      </c>
      <c r="B1660" s="1">
        <f>IFERROR(__xludf.DUMMYFUNCTION("""COMPUTED_VALUE"""),3890.0)</f>
        <v>3890</v>
      </c>
      <c r="C1660" s="1">
        <f>IFERROR(__xludf.DUMMYFUNCTION("""COMPUTED_VALUE"""),3985.0)</f>
        <v>3985</v>
      </c>
      <c r="D1660" s="1">
        <f>IFERROR(__xludf.DUMMYFUNCTION("""COMPUTED_VALUE"""),3800.0)</f>
        <v>3800</v>
      </c>
      <c r="E1660" s="1">
        <f>IFERROR(__xludf.DUMMYFUNCTION("""COMPUTED_VALUE"""),3950.0)</f>
        <v>3950</v>
      </c>
      <c r="F1660" s="1">
        <f>IFERROR(__xludf.DUMMYFUNCTION("""COMPUTED_VALUE"""),35177.0)</f>
        <v>35177</v>
      </c>
    </row>
    <row r="1661">
      <c r="A1661" s="2">
        <f>IFERROR(__xludf.DUMMYFUNCTION("""COMPUTED_VALUE"""),43658.64583333333)</f>
        <v>43658.64583</v>
      </c>
      <c r="B1661" s="1">
        <f>IFERROR(__xludf.DUMMYFUNCTION("""COMPUTED_VALUE"""),3965.0)</f>
        <v>3965</v>
      </c>
      <c r="C1661" s="1">
        <f>IFERROR(__xludf.DUMMYFUNCTION("""COMPUTED_VALUE"""),4175.0)</f>
        <v>4175</v>
      </c>
      <c r="D1661" s="1">
        <f>IFERROR(__xludf.DUMMYFUNCTION("""COMPUTED_VALUE"""),3895.0)</f>
        <v>3895</v>
      </c>
      <c r="E1661" s="1">
        <f>IFERROR(__xludf.DUMMYFUNCTION("""COMPUTED_VALUE"""),3950.0)</f>
        <v>3950</v>
      </c>
      <c r="F1661" s="1">
        <f>IFERROR(__xludf.DUMMYFUNCTION("""COMPUTED_VALUE"""),38163.0)</f>
        <v>38163</v>
      </c>
    </row>
    <row r="1662">
      <c r="A1662" s="2">
        <f>IFERROR(__xludf.DUMMYFUNCTION("""COMPUTED_VALUE"""),43661.64583333333)</f>
        <v>43661.64583</v>
      </c>
      <c r="B1662" s="1">
        <f>IFERROR(__xludf.DUMMYFUNCTION("""COMPUTED_VALUE"""),3895.0)</f>
        <v>3895</v>
      </c>
      <c r="C1662" s="1">
        <f>IFERROR(__xludf.DUMMYFUNCTION("""COMPUTED_VALUE"""),3975.0)</f>
        <v>3975</v>
      </c>
      <c r="D1662" s="1">
        <f>IFERROR(__xludf.DUMMYFUNCTION("""COMPUTED_VALUE"""),3860.0)</f>
        <v>3860</v>
      </c>
      <c r="E1662" s="1">
        <f>IFERROR(__xludf.DUMMYFUNCTION("""COMPUTED_VALUE"""),3935.0)</f>
        <v>3935</v>
      </c>
      <c r="F1662" s="1">
        <f>IFERROR(__xludf.DUMMYFUNCTION("""COMPUTED_VALUE"""),13035.0)</f>
        <v>13035</v>
      </c>
    </row>
    <row r="1663">
      <c r="A1663" s="2">
        <f>IFERROR(__xludf.DUMMYFUNCTION("""COMPUTED_VALUE"""),43662.64583333333)</f>
        <v>43662.64583</v>
      </c>
      <c r="B1663" s="1">
        <f>IFERROR(__xludf.DUMMYFUNCTION("""COMPUTED_VALUE"""),3900.0)</f>
        <v>3900</v>
      </c>
      <c r="C1663" s="1">
        <f>IFERROR(__xludf.DUMMYFUNCTION("""COMPUTED_VALUE"""),3965.0)</f>
        <v>3965</v>
      </c>
      <c r="D1663" s="1">
        <f>IFERROR(__xludf.DUMMYFUNCTION("""COMPUTED_VALUE"""),3850.0)</f>
        <v>3850</v>
      </c>
      <c r="E1663" s="1">
        <f>IFERROR(__xludf.DUMMYFUNCTION("""COMPUTED_VALUE"""),3900.0)</f>
        <v>3900</v>
      </c>
      <c r="F1663" s="1">
        <f>IFERROR(__xludf.DUMMYFUNCTION("""COMPUTED_VALUE"""),29145.0)</f>
        <v>29145</v>
      </c>
    </row>
    <row r="1664">
      <c r="A1664" s="2">
        <f>IFERROR(__xludf.DUMMYFUNCTION("""COMPUTED_VALUE"""),43663.64583333333)</f>
        <v>43663.64583</v>
      </c>
      <c r="B1664" s="1">
        <f>IFERROR(__xludf.DUMMYFUNCTION("""COMPUTED_VALUE"""),3815.0)</f>
        <v>3815</v>
      </c>
      <c r="C1664" s="1">
        <f>IFERROR(__xludf.DUMMYFUNCTION("""COMPUTED_VALUE"""),3890.0)</f>
        <v>3890</v>
      </c>
      <c r="D1664" s="1">
        <f>IFERROR(__xludf.DUMMYFUNCTION("""COMPUTED_VALUE"""),3435.0)</f>
        <v>3435</v>
      </c>
      <c r="E1664" s="1">
        <f>IFERROR(__xludf.DUMMYFUNCTION("""COMPUTED_VALUE"""),3570.0)</f>
        <v>3570</v>
      </c>
      <c r="F1664" s="1">
        <f>IFERROR(__xludf.DUMMYFUNCTION("""COMPUTED_VALUE"""),281748.0)</f>
        <v>281748</v>
      </c>
    </row>
    <row r="1665">
      <c r="A1665" s="2">
        <f>IFERROR(__xludf.DUMMYFUNCTION("""COMPUTED_VALUE"""),43664.64583333333)</f>
        <v>43664.64583</v>
      </c>
      <c r="B1665" s="1">
        <f>IFERROR(__xludf.DUMMYFUNCTION("""COMPUTED_VALUE"""),3115.0)</f>
        <v>3115</v>
      </c>
      <c r="C1665" s="1">
        <f>IFERROR(__xludf.DUMMYFUNCTION("""COMPUTED_VALUE"""),3445.0)</f>
        <v>3445</v>
      </c>
      <c r="D1665" s="1">
        <f>IFERROR(__xludf.DUMMYFUNCTION("""COMPUTED_VALUE"""),3010.0)</f>
        <v>3010</v>
      </c>
      <c r="E1665" s="1">
        <f>IFERROR(__xludf.DUMMYFUNCTION("""COMPUTED_VALUE"""),3370.0)</f>
        <v>3370</v>
      </c>
      <c r="F1665" s="1">
        <f>IFERROR(__xludf.DUMMYFUNCTION("""COMPUTED_VALUE"""),798018.0)</f>
        <v>798018</v>
      </c>
    </row>
    <row r="1666">
      <c r="A1666" s="2">
        <f>IFERROR(__xludf.DUMMYFUNCTION("""COMPUTED_VALUE"""),43665.64583333333)</f>
        <v>43665.64583</v>
      </c>
      <c r="B1666" s="1">
        <f>IFERROR(__xludf.DUMMYFUNCTION("""COMPUTED_VALUE"""),3415.0)</f>
        <v>3415</v>
      </c>
      <c r="C1666" s="1">
        <f>IFERROR(__xludf.DUMMYFUNCTION("""COMPUTED_VALUE"""),3415.0)</f>
        <v>3415</v>
      </c>
      <c r="D1666" s="1">
        <f>IFERROR(__xludf.DUMMYFUNCTION("""COMPUTED_VALUE"""),3245.0)</f>
        <v>3245</v>
      </c>
      <c r="E1666" s="1">
        <f>IFERROR(__xludf.DUMMYFUNCTION("""COMPUTED_VALUE"""),3370.0)</f>
        <v>3370</v>
      </c>
      <c r="F1666" s="1">
        <f>IFERROR(__xludf.DUMMYFUNCTION("""COMPUTED_VALUE"""),58501.0)</f>
        <v>58501</v>
      </c>
    </row>
    <row r="1667">
      <c r="A1667" s="2">
        <f>IFERROR(__xludf.DUMMYFUNCTION("""COMPUTED_VALUE"""),43668.64583333333)</f>
        <v>43668.64583</v>
      </c>
      <c r="B1667" s="1">
        <f>IFERROR(__xludf.DUMMYFUNCTION("""COMPUTED_VALUE"""),3420.0)</f>
        <v>3420</v>
      </c>
      <c r="C1667" s="1">
        <f>IFERROR(__xludf.DUMMYFUNCTION("""COMPUTED_VALUE"""),3420.0)</f>
        <v>3420</v>
      </c>
      <c r="D1667" s="1">
        <f>IFERROR(__xludf.DUMMYFUNCTION("""COMPUTED_VALUE"""),3205.0)</f>
        <v>3205</v>
      </c>
      <c r="E1667" s="1">
        <f>IFERROR(__xludf.DUMMYFUNCTION("""COMPUTED_VALUE"""),3305.0)</f>
        <v>3305</v>
      </c>
      <c r="F1667" s="1">
        <f>IFERROR(__xludf.DUMMYFUNCTION("""COMPUTED_VALUE"""),41034.0)</f>
        <v>41034</v>
      </c>
    </row>
    <row r="1668">
      <c r="A1668" s="2">
        <f>IFERROR(__xludf.DUMMYFUNCTION("""COMPUTED_VALUE"""),43669.64583333333)</f>
        <v>43669.64583</v>
      </c>
      <c r="B1668" s="1">
        <f>IFERROR(__xludf.DUMMYFUNCTION("""COMPUTED_VALUE"""),3450.0)</f>
        <v>3450</v>
      </c>
      <c r="C1668" s="1">
        <f>IFERROR(__xludf.DUMMYFUNCTION("""COMPUTED_VALUE"""),3450.0)</f>
        <v>3450</v>
      </c>
      <c r="D1668" s="1">
        <f>IFERROR(__xludf.DUMMYFUNCTION("""COMPUTED_VALUE"""),3210.0)</f>
        <v>3210</v>
      </c>
      <c r="E1668" s="1">
        <f>IFERROR(__xludf.DUMMYFUNCTION("""COMPUTED_VALUE"""),3250.0)</f>
        <v>3250</v>
      </c>
      <c r="F1668" s="1">
        <f>IFERROR(__xludf.DUMMYFUNCTION("""COMPUTED_VALUE"""),44504.0)</f>
        <v>44504</v>
      </c>
    </row>
    <row r="1669">
      <c r="A1669" s="2">
        <f>IFERROR(__xludf.DUMMYFUNCTION("""COMPUTED_VALUE"""),43670.64583333333)</f>
        <v>43670.64583</v>
      </c>
      <c r="B1669" s="1">
        <f>IFERROR(__xludf.DUMMYFUNCTION("""COMPUTED_VALUE"""),3250.0)</f>
        <v>3250</v>
      </c>
      <c r="C1669" s="1">
        <f>IFERROR(__xludf.DUMMYFUNCTION("""COMPUTED_VALUE"""),3350.0)</f>
        <v>3350</v>
      </c>
      <c r="D1669" s="1">
        <f>IFERROR(__xludf.DUMMYFUNCTION("""COMPUTED_VALUE"""),3065.0)</f>
        <v>3065</v>
      </c>
      <c r="E1669" s="1">
        <f>IFERROR(__xludf.DUMMYFUNCTION("""COMPUTED_VALUE"""),3100.0)</f>
        <v>3100</v>
      </c>
      <c r="F1669" s="1">
        <f>IFERROR(__xludf.DUMMYFUNCTION("""COMPUTED_VALUE"""),59320.0)</f>
        <v>59320</v>
      </c>
    </row>
    <row r="1670">
      <c r="A1670" s="2">
        <f>IFERROR(__xludf.DUMMYFUNCTION("""COMPUTED_VALUE"""),43671.64583333333)</f>
        <v>43671.64583</v>
      </c>
      <c r="B1670" s="1">
        <f>IFERROR(__xludf.DUMMYFUNCTION("""COMPUTED_VALUE"""),3105.0)</f>
        <v>3105</v>
      </c>
      <c r="C1670" s="1">
        <f>IFERROR(__xludf.DUMMYFUNCTION("""COMPUTED_VALUE"""),3125.0)</f>
        <v>3125</v>
      </c>
      <c r="D1670" s="1">
        <f>IFERROR(__xludf.DUMMYFUNCTION("""COMPUTED_VALUE"""),2980.0)</f>
        <v>2980</v>
      </c>
      <c r="E1670" s="1">
        <f>IFERROR(__xludf.DUMMYFUNCTION("""COMPUTED_VALUE"""),3000.0)</f>
        <v>3000</v>
      </c>
      <c r="F1670" s="1">
        <f>IFERROR(__xludf.DUMMYFUNCTION("""COMPUTED_VALUE"""),75466.0)</f>
        <v>75466</v>
      </c>
    </row>
    <row r="1671">
      <c r="A1671" s="2">
        <f>IFERROR(__xludf.DUMMYFUNCTION("""COMPUTED_VALUE"""),43672.64583333333)</f>
        <v>43672.64583</v>
      </c>
      <c r="B1671" s="1">
        <f>IFERROR(__xludf.DUMMYFUNCTION("""COMPUTED_VALUE"""),2900.0)</f>
        <v>2900</v>
      </c>
      <c r="C1671" s="1">
        <f>IFERROR(__xludf.DUMMYFUNCTION("""COMPUTED_VALUE"""),3005.0)</f>
        <v>3005</v>
      </c>
      <c r="D1671" s="1">
        <f>IFERROR(__xludf.DUMMYFUNCTION("""COMPUTED_VALUE"""),2860.0)</f>
        <v>2860</v>
      </c>
      <c r="E1671" s="1">
        <f>IFERROR(__xludf.DUMMYFUNCTION("""COMPUTED_VALUE"""),3000.0)</f>
        <v>3000</v>
      </c>
      <c r="F1671" s="1">
        <f>IFERROR(__xludf.DUMMYFUNCTION("""COMPUTED_VALUE"""),129852.0)</f>
        <v>129852</v>
      </c>
    </row>
    <row r="1672">
      <c r="A1672" s="2">
        <f>IFERROR(__xludf.DUMMYFUNCTION("""COMPUTED_VALUE"""),43675.64583333333)</f>
        <v>43675.64583</v>
      </c>
      <c r="B1672" s="1">
        <f>IFERROR(__xludf.DUMMYFUNCTION("""COMPUTED_VALUE"""),3000.0)</f>
        <v>3000</v>
      </c>
      <c r="C1672" s="1">
        <f>IFERROR(__xludf.DUMMYFUNCTION("""COMPUTED_VALUE"""),3000.0)</f>
        <v>3000</v>
      </c>
      <c r="D1672" s="1">
        <f>IFERROR(__xludf.DUMMYFUNCTION("""COMPUTED_VALUE"""),2835.0)</f>
        <v>2835</v>
      </c>
      <c r="E1672" s="1">
        <f>IFERROR(__xludf.DUMMYFUNCTION("""COMPUTED_VALUE"""),2965.0)</f>
        <v>2965</v>
      </c>
      <c r="F1672" s="1">
        <f>IFERROR(__xludf.DUMMYFUNCTION("""COMPUTED_VALUE"""),65415.0)</f>
        <v>65415</v>
      </c>
    </row>
    <row r="1673">
      <c r="A1673" s="2">
        <f>IFERROR(__xludf.DUMMYFUNCTION("""COMPUTED_VALUE"""),43676.64583333333)</f>
        <v>43676.64583</v>
      </c>
      <c r="B1673" s="1">
        <f>IFERROR(__xludf.DUMMYFUNCTION("""COMPUTED_VALUE"""),2965.0)</f>
        <v>2965</v>
      </c>
      <c r="C1673" s="1">
        <f>IFERROR(__xludf.DUMMYFUNCTION("""COMPUTED_VALUE"""),2965.0)</f>
        <v>2965</v>
      </c>
      <c r="D1673" s="1">
        <f>IFERROR(__xludf.DUMMYFUNCTION("""COMPUTED_VALUE"""),2710.0)</f>
        <v>2710</v>
      </c>
      <c r="E1673" s="1">
        <f>IFERROR(__xludf.DUMMYFUNCTION("""COMPUTED_VALUE"""),2730.0)</f>
        <v>2730</v>
      </c>
      <c r="F1673" s="1">
        <f>IFERROR(__xludf.DUMMYFUNCTION("""COMPUTED_VALUE"""),123917.0)</f>
        <v>123917</v>
      </c>
    </row>
    <row r="1674">
      <c r="A1674" s="2">
        <f>IFERROR(__xludf.DUMMYFUNCTION("""COMPUTED_VALUE"""),43677.64583333333)</f>
        <v>43677.64583</v>
      </c>
      <c r="B1674" s="1">
        <f>IFERROR(__xludf.DUMMYFUNCTION("""COMPUTED_VALUE"""),2730.0)</f>
        <v>2730</v>
      </c>
      <c r="C1674" s="1">
        <f>IFERROR(__xludf.DUMMYFUNCTION("""COMPUTED_VALUE"""),2735.0)</f>
        <v>2735</v>
      </c>
      <c r="D1674" s="1">
        <f>IFERROR(__xludf.DUMMYFUNCTION("""COMPUTED_VALUE"""),2430.0)</f>
        <v>2430</v>
      </c>
      <c r="E1674" s="1">
        <f>IFERROR(__xludf.DUMMYFUNCTION("""COMPUTED_VALUE"""),2605.0)</f>
        <v>2605</v>
      </c>
      <c r="F1674" s="1">
        <f>IFERROR(__xludf.DUMMYFUNCTION("""COMPUTED_VALUE"""),216981.0)</f>
        <v>216981</v>
      </c>
    </row>
    <row r="1675">
      <c r="A1675" s="2">
        <f>IFERROR(__xludf.DUMMYFUNCTION("""COMPUTED_VALUE"""),43678.64583333333)</f>
        <v>43678.64583</v>
      </c>
      <c r="B1675" s="1">
        <f>IFERROR(__xludf.DUMMYFUNCTION("""COMPUTED_VALUE"""),2630.0)</f>
        <v>2630</v>
      </c>
      <c r="C1675" s="1">
        <f>IFERROR(__xludf.DUMMYFUNCTION("""COMPUTED_VALUE"""),3385.0)</f>
        <v>3385</v>
      </c>
      <c r="D1675" s="1">
        <f>IFERROR(__xludf.DUMMYFUNCTION("""COMPUTED_VALUE"""),2630.0)</f>
        <v>2630</v>
      </c>
      <c r="E1675" s="1">
        <f>IFERROR(__xludf.DUMMYFUNCTION("""COMPUTED_VALUE"""),3010.0)</f>
        <v>3010</v>
      </c>
      <c r="F1675" s="1">
        <f>IFERROR(__xludf.DUMMYFUNCTION("""COMPUTED_VALUE"""),1403733.0)</f>
        <v>1403733</v>
      </c>
    </row>
    <row r="1676">
      <c r="A1676" s="2">
        <f>IFERROR(__xludf.DUMMYFUNCTION("""COMPUTED_VALUE"""),43679.64583333333)</f>
        <v>43679.64583</v>
      </c>
      <c r="B1676" s="1">
        <f>IFERROR(__xludf.DUMMYFUNCTION("""COMPUTED_VALUE"""),2875.0)</f>
        <v>2875</v>
      </c>
      <c r="C1676" s="1">
        <f>IFERROR(__xludf.DUMMYFUNCTION("""COMPUTED_VALUE"""),3200.0)</f>
        <v>3200</v>
      </c>
      <c r="D1676" s="1">
        <f>IFERROR(__xludf.DUMMYFUNCTION("""COMPUTED_VALUE"""),2600.0)</f>
        <v>2600</v>
      </c>
      <c r="E1676" s="1">
        <f>IFERROR(__xludf.DUMMYFUNCTION("""COMPUTED_VALUE"""),3010.0)</f>
        <v>3010</v>
      </c>
      <c r="F1676" s="1">
        <f>IFERROR(__xludf.DUMMYFUNCTION("""COMPUTED_VALUE"""),636883.0)</f>
        <v>636883</v>
      </c>
    </row>
    <row r="1677">
      <c r="A1677" s="2">
        <f>IFERROR(__xludf.DUMMYFUNCTION("""COMPUTED_VALUE"""),43682.64583333333)</f>
        <v>43682.64583</v>
      </c>
      <c r="B1677" s="1">
        <f>IFERROR(__xludf.DUMMYFUNCTION("""COMPUTED_VALUE"""),3010.0)</f>
        <v>3010</v>
      </c>
      <c r="C1677" s="1">
        <f>IFERROR(__xludf.DUMMYFUNCTION("""COMPUTED_VALUE"""),3085.0)</f>
        <v>3085</v>
      </c>
      <c r="D1677" s="1">
        <f>IFERROR(__xludf.DUMMYFUNCTION("""COMPUTED_VALUE"""),2675.0)</f>
        <v>2675</v>
      </c>
      <c r="E1677" s="1">
        <f>IFERROR(__xludf.DUMMYFUNCTION("""COMPUTED_VALUE"""),2730.0)</f>
        <v>2730</v>
      </c>
      <c r="F1677" s="1">
        <f>IFERROR(__xludf.DUMMYFUNCTION("""COMPUTED_VALUE"""),164472.0)</f>
        <v>164472</v>
      </c>
    </row>
    <row r="1678">
      <c r="A1678" s="2">
        <f>IFERROR(__xludf.DUMMYFUNCTION("""COMPUTED_VALUE"""),43683.64583333333)</f>
        <v>43683.64583</v>
      </c>
      <c r="B1678" s="1">
        <f>IFERROR(__xludf.DUMMYFUNCTION("""COMPUTED_VALUE"""),2690.0)</f>
        <v>2690</v>
      </c>
      <c r="C1678" s="1">
        <f>IFERROR(__xludf.DUMMYFUNCTION("""COMPUTED_VALUE"""),2690.0)</f>
        <v>2690</v>
      </c>
      <c r="D1678" s="1">
        <f>IFERROR(__xludf.DUMMYFUNCTION("""COMPUTED_VALUE"""),2465.0)</f>
        <v>2465</v>
      </c>
      <c r="E1678" s="1">
        <f>IFERROR(__xludf.DUMMYFUNCTION("""COMPUTED_VALUE"""),2520.0)</f>
        <v>2520</v>
      </c>
      <c r="F1678" s="1">
        <f>IFERROR(__xludf.DUMMYFUNCTION("""COMPUTED_VALUE"""),98582.0)</f>
        <v>98582</v>
      </c>
    </row>
    <row r="1679">
      <c r="A1679" s="2">
        <f>IFERROR(__xludf.DUMMYFUNCTION("""COMPUTED_VALUE"""),43684.64583333333)</f>
        <v>43684.64583</v>
      </c>
      <c r="B1679" s="1">
        <f>IFERROR(__xludf.DUMMYFUNCTION("""COMPUTED_VALUE"""),2525.0)</f>
        <v>2525</v>
      </c>
      <c r="C1679" s="1">
        <f>IFERROR(__xludf.DUMMYFUNCTION("""COMPUTED_VALUE"""),2660.0)</f>
        <v>2660</v>
      </c>
      <c r="D1679" s="1">
        <f>IFERROR(__xludf.DUMMYFUNCTION("""COMPUTED_VALUE"""),2525.0)</f>
        <v>2525</v>
      </c>
      <c r="E1679" s="1">
        <f>IFERROR(__xludf.DUMMYFUNCTION("""COMPUTED_VALUE"""),2635.0)</f>
        <v>2635</v>
      </c>
      <c r="F1679" s="1">
        <f>IFERROR(__xludf.DUMMYFUNCTION("""COMPUTED_VALUE"""),60208.0)</f>
        <v>60208</v>
      </c>
    </row>
    <row r="1680">
      <c r="A1680" s="2">
        <f>IFERROR(__xludf.DUMMYFUNCTION("""COMPUTED_VALUE"""),43685.64583333333)</f>
        <v>43685.64583</v>
      </c>
      <c r="B1680" s="1">
        <f>IFERROR(__xludf.DUMMYFUNCTION("""COMPUTED_VALUE"""),2650.0)</f>
        <v>2650</v>
      </c>
      <c r="C1680" s="1">
        <f>IFERROR(__xludf.DUMMYFUNCTION("""COMPUTED_VALUE"""),2760.0)</f>
        <v>2760</v>
      </c>
      <c r="D1680" s="1">
        <f>IFERROR(__xludf.DUMMYFUNCTION("""COMPUTED_VALUE"""),2600.0)</f>
        <v>2600</v>
      </c>
      <c r="E1680" s="1">
        <f>IFERROR(__xludf.DUMMYFUNCTION("""COMPUTED_VALUE"""),2660.0)</f>
        <v>2660</v>
      </c>
      <c r="F1680" s="1">
        <f>IFERROR(__xludf.DUMMYFUNCTION("""COMPUTED_VALUE"""),57770.0)</f>
        <v>57770</v>
      </c>
    </row>
    <row r="1681">
      <c r="A1681" s="2">
        <f>IFERROR(__xludf.DUMMYFUNCTION("""COMPUTED_VALUE"""),43686.64583333333)</f>
        <v>43686.64583</v>
      </c>
      <c r="B1681" s="1">
        <f>IFERROR(__xludf.DUMMYFUNCTION("""COMPUTED_VALUE"""),2670.0)</f>
        <v>2670</v>
      </c>
      <c r="C1681" s="1">
        <f>IFERROR(__xludf.DUMMYFUNCTION("""COMPUTED_VALUE"""),2740.0)</f>
        <v>2740</v>
      </c>
      <c r="D1681" s="1">
        <f>IFERROR(__xludf.DUMMYFUNCTION("""COMPUTED_VALUE"""),2550.0)</f>
        <v>2550</v>
      </c>
      <c r="E1681" s="1">
        <f>IFERROR(__xludf.DUMMYFUNCTION("""COMPUTED_VALUE"""),2600.0)</f>
        <v>2600</v>
      </c>
      <c r="F1681" s="1">
        <f>IFERROR(__xludf.DUMMYFUNCTION("""COMPUTED_VALUE"""),53928.0)</f>
        <v>53928</v>
      </c>
    </row>
    <row r="1682">
      <c r="A1682" s="2">
        <f>IFERROR(__xludf.DUMMYFUNCTION("""COMPUTED_VALUE"""),43689.64583333333)</f>
        <v>43689.64583</v>
      </c>
      <c r="B1682" s="1">
        <f>IFERROR(__xludf.DUMMYFUNCTION("""COMPUTED_VALUE"""),2600.0)</f>
        <v>2600</v>
      </c>
      <c r="C1682" s="1">
        <f>IFERROR(__xludf.DUMMYFUNCTION("""COMPUTED_VALUE"""),2760.0)</f>
        <v>2760</v>
      </c>
      <c r="D1682" s="1">
        <f>IFERROR(__xludf.DUMMYFUNCTION("""COMPUTED_VALUE"""),2550.0)</f>
        <v>2550</v>
      </c>
      <c r="E1682" s="1">
        <f>IFERROR(__xludf.DUMMYFUNCTION("""COMPUTED_VALUE"""),2650.0)</f>
        <v>2650</v>
      </c>
      <c r="F1682" s="1">
        <f>IFERROR(__xludf.DUMMYFUNCTION("""COMPUTED_VALUE"""),70015.0)</f>
        <v>70015</v>
      </c>
    </row>
    <row r="1683">
      <c r="A1683" s="2">
        <f>IFERROR(__xludf.DUMMYFUNCTION("""COMPUTED_VALUE"""),43690.64583333333)</f>
        <v>43690.64583</v>
      </c>
      <c r="B1683" s="1">
        <f>IFERROR(__xludf.DUMMYFUNCTION("""COMPUTED_VALUE"""),2635.0)</f>
        <v>2635</v>
      </c>
      <c r="C1683" s="1">
        <f>IFERROR(__xludf.DUMMYFUNCTION("""COMPUTED_VALUE"""),2730.0)</f>
        <v>2730</v>
      </c>
      <c r="D1683" s="1">
        <f>IFERROR(__xludf.DUMMYFUNCTION("""COMPUTED_VALUE"""),2580.0)</f>
        <v>2580</v>
      </c>
      <c r="E1683" s="1">
        <f>IFERROR(__xludf.DUMMYFUNCTION("""COMPUTED_VALUE"""),2690.0)</f>
        <v>2690</v>
      </c>
      <c r="F1683" s="1">
        <f>IFERROR(__xludf.DUMMYFUNCTION("""COMPUTED_VALUE"""),38775.0)</f>
        <v>38775</v>
      </c>
    </row>
    <row r="1684">
      <c r="A1684" s="2">
        <f>IFERROR(__xludf.DUMMYFUNCTION("""COMPUTED_VALUE"""),43691.64583333333)</f>
        <v>43691.64583</v>
      </c>
      <c r="B1684" s="1">
        <f>IFERROR(__xludf.DUMMYFUNCTION("""COMPUTED_VALUE"""),2720.0)</f>
        <v>2720</v>
      </c>
      <c r="C1684" s="1">
        <f>IFERROR(__xludf.DUMMYFUNCTION("""COMPUTED_VALUE"""),2815.0)</f>
        <v>2815</v>
      </c>
      <c r="D1684" s="1">
        <f>IFERROR(__xludf.DUMMYFUNCTION("""COMPUTED_VALUE"""),2690.0)</f>
        <v>2690</v>
      </c>
      <c r="E1684" s="1">
        <f>IFERROR(__xludf.DUMMYFUNCTION("""COMPUTED_VALUE"""),2765.0)</f>
        <v>2765</v>
      </c>
      <c r="F1684" s="1">
        <f>IFERROR(__xludf.DUMMYFUNCTION("""COMPUTED_VALUE"""),30426.0)</f>
        <v>30426</v>
      </c>
    </row>
    <row r="1685">
      <c r="A1685" s="2">
        <f>IFERROR(__xludf.DUMMYFUNCTION("""COMPUTED_VALUE"""),43693.64583333333)</f>
        <v>43693.64583</v>
      </c>
      <c r="B1685" s="1">
        <f>IFERROR(__xludf.DUMMYFUNCTION("""COMPUTED_VALUE"""),2750.0)</f>
        <v>2750</v>
      </c>
      <c r="C1685" s="1">
        <f>IFERROR(__xludf.DUMMYFUNCTION("""COMPUTED_VALUE"""),2765.0)</f>
        <v>2765</v>
      </c>
      <c r="D1685" s="1">
        <f>IFERROR(__xludf.DUMMYFUNCTION("""COMPUTED_VALUE"""),2680.0)</f>
        <v>2680</v>
      </c>
      <c r="E1685" s="1">
        <f>IFERROR(__xludf.DUMMYFUNCTION("""COMPUTED_VALUE"""),2735.0)</f>
        <v>2735</v>
      </c>
      <c r="F1685" s="1">
        <f>IFERROR(__xludf.DUMMYFUNCTION("""COMPUTED_VALUE"""),31984.0)</f>
        <v>31984</v>
      </c>
    </row>
    <row r="1686">
      <c r="A1686" s="2">
        <f>IFERROR(__xludf.DUMMYFUNCTION("""COMPUTED_VALUE"""),43696.64583333333)</f>
        <v>43696.64583</v>
      </c>
      <c r="B1686" s="1">
        <f>IFERROR(__xludf.DUMMYFUNCTION("""COMPUTED_VALUE"""),2735.0)</f>
        <v>2735</v>
      </c>
      <c r="C1686" s="1">
        <f>IFERROR(__xludf.DUMMYFUNCTION("""COMPUTED_VALUE"""),2735.0)</f>
        <v>2735</v>
      </c>
      <c r="D1686" s="1">
        <f>IFERROR(__xludf.DUMMYFUNCTION("""COMPUTED_VALUE"""),2650.0)</f>
        <v>2650</v>
      </c>
      <c r="E1686" s="1">
        <f>IFERROR(__xludf.DUMMYFUNCTION("""COMPUTED_VALUE"""),2665.0)</f>
        <v>2665</v>
      </c>
      <c r="F1686" s="1">
        <f>IFERROR(__xludf.DUMMYFUNCTION("""COMPUTED_VALUE"""),20438.0)</f>
        <v>20438</v>
      </c>
    </row>
    <row r="1687">
      <c r="A1687" s="2">
        <f>IFERROR(__xludf.DUMMYFUNCTION("""COMPUTED_VALUE"""),43697.64583333333)</f>
        <v>43697.64583</v>
      </c>
      <c r="B1687" s="1">
        <f>IFERROR(__xludf.DUMMYFUNCTION("""COMPUTED_VALUE"""),2665.0)</f>
        <v>2665</v>
      </c>
      <c r="C1687" s="1">
        <f>IFERROR(__xludf.DUMMYFUNCTION("""COMPUTED_VALUE"""),2730.0)</f>
        <v>2730</v>
      </c>
      <c r="D1687" s="1">
        <f>IFERROR(__xludf.DUMMYFUNCTION("""COMPUTED_VALUE"""),2650.0)</f>
        <v>2650</v>
      </c>
      <c r="E1687" s="1">
        <f>IFERROR(__xludf.DUMMYFUNCTION("""COMPUTED_VALUE"""),2685.0)</f>
        <v>2685</v>
      </c>
      <c r="F1687" s="1">
        <f>IFERROR(__xludf.DUMMYFUNCTION("""COMPUTED_VALUE"""),45682.0)</f>
        <v>45682</v>
      </c>
    </row>
    <row r="1688">
      <c r="A1688" s="2">
        <f>IFERROR(__xludf.DUMMYFUNCTION("""COMPUTED_VALUE"""),43698.64583333333)</f>
        <v>43698.64583</v>
      </c>
      <c r="B1688" s="1">
        <f>IFERROR(__xludf.DUMMYFUNCTION("""COMPUTED_VALUE"""),2685.0)</f>
        <v>2685</v>
      </c>
      <c r="C1688" s="1">
        <f>IFERROR(__xludf.DUMMYFUNCTION("""COMPUTED_VALUE"""),2910.0)</f>
        <v>2910</v>
      </c>
      <c r="D1688" s="1">
        <f>IFERROR(__xludf.DUMMYFUNCTION("""COMPUTED_VALUE"""),2670.0)</f>
        <v>2670</v>
      </c>
      <c r="E1688" s="1">
        <f>IFERROR(__xludf.DUMMYFUNCTION("""COMPUTED_VALUE"""),2855.0)</f>
        <v>2855</v>
      </c>
      <c r="F1688" s="1">
        <f>IFERROR(__xludf.DUMMYFUNCTION("""COMPUTED_VALUE"""),120673.0)</f>
        <v>120673</v>
      </c>
    </row>
    <row r="1689">
      <c r="A1689" s="2">
        <f>IFERROR(__xludf.DUMMYFUNCTION("""COMPUTED_VALUE"""),43699.64583333333)</f>
        <v>43699.64583</v>
      </c>
      <c r="B1689" s="1">
        <f>IFERROR(__xludf.DUMMYFUNCTION("""COMPUTED_VALUE"""),2850.0)</f>
        <v>2850</v>
      </c>
      <c r="C1689" s="1">
        <f>IFERROR(__xludf.DUMMYFUNCTION("""COMPUTED_VALUE"""),2965.0)</f>
        <v>2965</v>
      </c>
      <c r="D1689" s="1">
        <f>IFERROR(__xludf.DUMMYFUNCTION("""COMPUTED_VALUE"""),2820.0)</f>
        <v>2820</v>
      </c>
      <c r="E1689" s="1">
        <f>IFERROR(__xludf.DUMMYFUNCTION("""COMPUTED_VALUE"""),2950.0)</f>
        <v>2950</v>
      </c>
      <c r="F1689" s="1">
        <f>IFERROR(__xludf.DUMMYFUNCTION("""COMPUTED_VALUE"""),46861.0)</f>
        <v>46861</v>
      </c>
    </row>
    <row r="1690">
      <c r="A1690" s="2">
        <f>IFERROR(__xludf.DUMMYFUNCTION("""COMPUTED_VALUE"""),43700.64583333333)</f>
        <v>43700.64583</v>
      </c>
      <c r="B1690" s="1">
        <f>IFERROR(__xludf.DUMMYFUNCTION("""COMPUTED_VALUE"""),2940.0)</f>
        <v>2940</v>
      </c>
      <c r="C1690" s="1">
        <f>IFERROR(__xludf.DUMMYFUNCTION("""COMPUTED_VALUE"""),3135.0)</f>
        <v>3135</v>
      </c>
      <c r="D1690" s="1">
        <f>IFERROR(__xludf.DUMMYFUNCTION("""COMPUTED_VALUE"""),2860.0)</f>
        <v>2860</v>
      </c>
      <c r="E1690" s="1">
        <f>IFERROR(__xludf.DUMMYFUNCTION("""COMPUTED_VALUE"""),3010.0)</f>
        <v>3010</v>
      </c>
      <c r="F1690" s="1">
        <f>IFERROR(__xludf.DUMMYFUNCTION("""COMPUTED_VALUE"""),79213.0)</f>
        <v>79213</v>
      </c>
    </row>
    <row r="1691">
      <c r="A1691" s="2">
        <f>IFERROR(__xludf.DUMMYFUNCTION("""COMPUTED_VALUE"""),43703.64583333333)</f>
        <v>43703.64583</v>
      </c>
      <c r="B1691" s="1">
        <f>IFERROR(__xludf.DUMMYFUNCTION("""COMPUTED_VALUE"""),2940.0)</f>
        <v>2940</v>
      </c>
      <c r="C1691" s="1">
        <f>IFERROR(__xludf.DUMMYFUNCTION("""COMPUTED_VALUE"""),2970.0)</f>
        <v>2970</v>
      </c>
      <c r="D1691" s="1">
        <f>IFERROR(__xludf.DUMMYFUNCTION("""COMPUTED_VALUE"""),2820.0)</f>
        <v>2820</v>
      </c>
      <c r="E1691" s="1">
        <f>IFERROR(__xludf.DUMMYFUNCTION("""COMPUTED_VALUE"""),2910.0)</f>
        <v>2910</v>
      </c>
      <c r="F1691" s="1">
        <f>IFERROR(__xludf.DUMMYFUNCTION("""COMPUTED_VALUE"""),110975.0)</f>
        <v>110975</v>
      </c>
    </row>
    <row r="1692">
      <c r="A1692" s="2">
        <f>IFERROR(__xludf.DUMMYFUNCTION("""COMPUTED_VALUE"""),43704.64583333333)</f>
        <v>43704.64583</v>
      </c>
      <c r="B1692" s="1">
        <f>IFERROR(__xludf.DUMMYFUNCTION("""COMPUTED_VALUE"""),2910.0)</f>
        <v>2910</v>
      </c>
      <c r="C1692" s="1">
        <f>IFERROR(__xludf.DUMMYFUNCTION("""COMPUTED_VALUE"""),2970.0)</f>
        <v>2970</v>
      </c>
      <c r="D1692" s="1">
        <f>IFERROR(__xludf.DUMMYFUNCTION("""COMPUTED_VALUE"""),2870.0)</f>
        <v>2870</v>
      </c>
      <c r="E1692" s="1">
        <f>IFERROR(__xludf.DUMMYFUNCTION("""COMPUTED_VALUE"""),2870.0)</f>
        <v>2870</v>
      </c>
      <c r="F1692" s="1">
        <f>IFERROR(__xludf.DUMMYFUNCTION("""COMPUTED_VALUE"""),70448.0)</f>
        <v>70448</v>
      </c>
    </row>
    <row r="1693">
      <c r="A1693" s="2">
        <f>IFERROR(__xludf.DUMMYFUNCTION("""COMPUTED_VALUE"""),43705.64583333333)</f>
        <v>43705.64583</v>
      </c>
      <c r="B1693" s="1">
        <f>IFERROR(__xludf.DUMMYFUNCTION("""COMPUTED_VALUE"""),2945.0)</f>
        <v>2945</v>
      </c>
      <c r="C1693" s="1">
        <f>IFERROR(__xludf.DUMMYFUNCTION("""COMPUTED_VALUE"""),2945.0)</f>
        <v>2945</v>
      </c>
      <c r="D1693" s="1">
        <f>IFERROR(__xludf.DUMMYFUNCTION("""COMPUTED_VALUE"""),2770.0)</f>
        <v>2770</v>
      </c>
      <c r="E1693" s="1">
        <f>IFERROR(__xludf.DUMMYFUNCTION("""COMPUTED_VALUE"""),2840.0)</f>
        <v>2840</v>
      </c>
      <c r="F1693" s="1">
        <f>IFERROR(__xludf.DUMMYFUNCTION("""COMPUTED_VALUE"""),29485.0)</f>
        <v>29485</v>
      </c>
    </row>
    <row r="1694">
      <c r="A1694" s="2">
        <f>IFERROR(__xludf.DUMMYFUNCTION("""COMPUTED_VALUE"""),43706.64583333333)</f>
        <v>43706.64583</v>
      </c>
      <c r="B1694" s="1">
        <f>IFERROR(__xludf.DUMMYFUNCTION("""COMPUTED_VALUE"""),2840.0)</f>
        <v>2840</v>
      </c>
      <c r="C1694" s="1">
        <f>IFERROR(__xludf.DUMMYFUNCTION("""COMPUTED_VALUE"""),2900.0)</f>
        <v>2900</v>
      </c>
      <c r="D1694" s="1">
        <f>IFERROR(__xludf.DUMMYFUNCTION("""COMPUTED_VALUE"""),2750.0)</f>
        <v>2750</v>
      </c>
      <c r="E1694" s="1">
        <f>IFERROR(__xludf.DUMMYFUNCTION("""COMPUTED_VALUE"""),2795.0)</f>
        <v>2795</v>
      </c>
      <c r="F1694" s="1">
        <f>IFERROR(__xludf.DUMMYFUNCTION("""COMPUTED_VALUE"""),212746.0)</f>
        <v>212746</v>
      </c>
    </row>
    <row r="1695">
      <c r="A1695" s="2">
        <f>IFERROR(__xludf.DUMMYFUNCTION("""COMPUTED_VALUE"""),43707.64583333333)</f>
        <v>43707.64583</v>
      </c>
      <c r="B1695" s="1">
        <f>IFERROR(__xludf.DUMMYFUNCTION("""COMPUTED_VALUE"""),2850.0)</f>
        <v>2850</v>
      </c>
      <c r="C1695" s="1">
        <f>IFERROR(__xludf.DUMMYFUNCTION("""COMPUTED_VALUE"""),3150.0)</f>
        <v>3150</v>
      </c>
      <c r="D1695" s="1">
        <f>IFERROR(__xludf.DUMMYFUNCTION("""COMPUTED_VALUE"""),2770.0)</f>
        <v>2770</v>
      </c>
      <c r="E1695" s="1">
        <f>IFERROR(__xludf.DUMMYFUNCTION("""COMPUTED_VALUE"""),2940.0)</f>
        <v>2940</v>
      </c>
      <c r="F1695" s="1">
        <f>IFERROR(__xludf.DUMMYFUNCTION("""COMPUTED_VALUE"""),76831.0)</f>
        <v>76831</v>
      </c>
    </row>
    <row r="1696">
      <c r="A1696" s="2">
        <f>IFERROR(__xludf.DUMMYFUNCTION("""COMPUTED_VALUE"""),43710.64583333333)</f>
        <v>43710.64583</v>
      </c>
      <c r="B1696" s="1">
        <f>IFERROR(__xludf.DUMMYFUNCTION("""COMPUTED_VALUE"""),2940.0)</f>
        <v>2940</v>
      </c>
      <c r="C1696" s="1">
        <f>IFERROR(__xludf.DUMMYFUNCTION("""COMPUTED_VALUE"""),2995.0)</f>
        <v>2995</v>
      </c>
      <c r="D1696" s="1">
        <f>IFERROR(__xludf.DUMMYFUNCTION("""COMPUTED_VALUE"""),2885.0)</f>
        <v>2885</v>
      </c>
      <c r="E1696" s="1">
        <f>IFERROR(__xludf.DUMMYFUNCTION("""COMPUTED_VALUE"""),2905.0)</f>
        <v>2905</v>
      </c>
      <c r="F1696" s="1">
        <f>IFERROR(__xludf.DUMMYFUNCTION("""COMPUTED_VALUE"""),33207.0)</f>
        <v>33207</v>
      </c>
    </row>
    <row r="1697">
      <c r="A1697" s="2">
        <f>IFERROR(__xludf.DUMMYFUNCTION("""COMPUTED_VALUE"""),43711.64583333333)</f>
        <v>43711.64583</v>
      </c>
      <c r="B1697" s="1">
        <f>IFERROR(__xludf.DUMMYFUNCTION("""COMPUTED_VALUE"""),2890.0)</f>
        <v>2890</v>
      </c>
      <c r="C1697" s="1">
        <f>IFERROR(__xludf.DUMMYFUNCTION("""COMPUTED_VALUE"""),2995.0)</f>
        <v>2995</v>
      </c>
      <c r="D1697" s="1">
        <f>IFERROR(__xludf.DUMMYFUNCTION("""COMPUTED_VALUE"""),2875.0)</f>
        <v>2875</v>
      </c>
      <c r="E1697" s="1">
        <f>IFERROR(__xludf.DUMMYFUNCTION("""COMPUTED_VALUE"""),2990.0)</f>
        <v>2990</v>
      </c>
      <c r="F1697" s="1">
        <f>IFERROR(__xludf.DUMMYFUNCTION("""COMPUTED_VALUE"""),48824.0)</f>
        <v>48824</v>
      </c>
    </row>
    <row r="1698">
      <c r="A1698" s="2">
        <f>IFERROR(__xludf.DUMMYFUNCTION("""COMPUTED_VALUE"""),43712.64583333333)</f>
        <v>43712.64583</v>
      </c>
      <c r="B1698" s="1">
        <f>IFERROR(__xludf.DUMMYFUNCTION("""COMPUTED_VALUE"""),2980.0)</f>
        <v>2980</v>
      </c>
      <c r="C1698" s="1">
        <f>IFERROR(__xludf.DUMMYFUNCTION("""COMPUTED_VALUE"""),3015.0)</f>
        <v>3015</v>
      </c>
      <c r="D1698" s="1">
        <f>IFERROR(__xludf.DUMMYFUNCTION("""COMPUTED_VALUE"""),2895.0)</f>
        <v>2895</v>
      </c>
      <c r="E1698" s="1">
        <f>IFERROR(__xludf.DUMMYFUNCTION("""COMPUTED_VALUE"""),2950.0)</f>
        <v>2950</v>
      </c>
      <c r="F1698" s="1">
        <f>IFERROR(__xludf.DUMMYFUNCTION("""COMPUTED_VALUE"""),46675.0)</f>
        <v>46675</v>
      </c>
    </row>
    <row r="1699">
      <c r="A1699" s="2">
        <f>IFERROR(__xludf.DUMMYFUNCTION("""COMPUTED_VALUE"""),43713.64583333333)</f>
        <v>43713.64583</v>
      </c>
      <c r="B1699" s="1">
        <f>IFERROR(__xludf.DUMMYFUNCTION("""COMPUTED_VALUE"""),2950.0)</f>
        <v>2950</v>
      </c>
      <c r="C1699" s="1">
        <f>IFERROR(__xludf.DUMMYFUNCTION("""COMPUTED_VALUE"""),3150.0)</f>
        <v>3150</v>
      </c>
      <c r="D1699" s="1">
        <f>IFERROR(__xludf.DUMMYFUNCTION("""COMPUTED_VALUE"""),2950.0)</f>
        <v>2950</v>
      </c>
      <c r="E1699" s="1">
        <f>IFERROR(__xludf.DUMMYFUNCTION("""COMPUTED_VALUE"""),3010.0)</f>
        <v>3010</v>
      </c>
      <c r="F1699" s="1">
        <f>IFERROR(__xludf.DUMMYFUNCTION("""COMPUTED_VALUE"""),33644.0)</f>
        <v>33644</v>
      </c>
    </row>
    <row r="1700">
      <c r="A1700" s="2">
        <f>IFERROR(__xludf.DUMMYFUNCTION("""COMPUTED_VALUE"""),43714.64583333333)</f>
        <v>43714.64583</v>
      </c>
      <c r="B1700" s="1">
        <f>IFERROR(__xludf.DUMMYFUNCTION("""COMPUTED_VALUE"""),3055.0)</f>
        <v>3055</v>
      </c>
      <c r="C1700" s="1">
        <f>IFERROR(__xludf.DUMMYFUNCTION("""COMPUTED_VALUE"""),3090.0)</f>
        <v>3090</v>
      </c>
      <c r="D1700" s="1">
        <f>IFERROR(__xludf.DUMMYFUNCTION("""COMPUTED_VALUE"""),2920.0)</f>
        <v>2920</v>
      </c>
      <c r="E1700" s="1">
        <f>IFERROR(__xludf.DUMMYFUNCTION("""COMPUTED_VALUE"""),2965.0)</f>
        <v>2965</v>
      </c>
      <c r="F1700" s="1">
        <f>IFERROR(__xludf.DUMMYFUNCTION("""COMPUTED_VALUE"""),25179.0)</f>
        <v>25179</v>
      </c>
    </row>
    <row r="1701">
      <c r="A1701" s="2">
        <f>IFERROR(__xludf.DUMMYFUNCTION("""COMPUTED_VALUE"""),43717.64583333333)</f>
        <v>43717.64583</v>
      </c>
      <c r="B1701" s="1">
        <f>IFERROR(__xludf.DUMMYFUNCTION("""COMPUTED_VALUE"""),2965.0)</f>
        <v>2965</v>
      </c>
      <c r="C1701" s="1">
        <f>IFERROR(__xludf.DUMMYFUNCTION("""COMPUTED_VALUE"""),2965.0)</f>
        <v>2965</v>
      </c>
      <c r="D1701" s="1">
        <f>IFERROR(__xludf.DUMMYFUNCTION("""COMPUTED_VALUE"""),2850.0)</f>
        <v>2850</v>
      </c>
      <c r="E1701" s="1">
        <f>IFERROR(__xludf.DUMMYFUNCTION("""COMPUTED_VALUE"""),2850.0)</f>
        <v>2850</v>
      </c>
      <c r="F1701" s="1">
        <f>IFERROR(__xludf.DUMMYFUNCTION("""COMPUTED_VALUE"""),49492.0)</f>
        <v>49492</v>
      </c>
    </row>
    <row r="1702">
      <c r="A1702" s="2">
        <f>IFERROR(__xludf.DUMMYFUNCTION("""COMPUTED_VALUE"""),43718.64583333333)</f>
        <v>43718.64583</v>
      </c>
      <c r="B1702" s="1">
        <f>IFERROR(__xludf.DUMMYFUNCTION("""COMPUTED_VALUE"""),2850.0)</f>
        <v>2850</v>
      </c>
      <c r="C1702" s="1">
        <f>IFERROR(__xludf.DUMMYFUNCTION("""COMPUTED_VALUE"""),2910.0)</f>
        <v>2910</v>
      </c>
      <c r="D1702" s="1">
        <f>IFERROR(__xludf.DUMMYFUNCTION("""COMPUTED_VALUE"""),2820.0)</f>
        <v>2820</v>
      </c>
      <c r="E1702" s="1">
        <f>IFERROR(__xludf.DUMMYFUNCTION("""COMPUTED_VALUE"""),2870.0)</f>
        <v>2870</v>
      </c>
      <c r="F1702" s="1">
        <f>IFERROR(__xludf.DUMMYFUNCTION("""COMPUTED_VALUE"""),18462.0)</f>
        <v>18462</v>
      </c>
    </row>
    <row r="1703">
      <c r="A1703" s="2">
        <f>IFERROR(__xludf.DUMMYFUNCTION("""COMPUTED_VALUE"""),43719.64583333333)</f>
        <v>43719.64583</v>
      </c>
      <c r="B1703" s="1">
        <f>IFERROR(__xludf.DUMMYFUNCTION("""COMPUTED_VALUE"""),2910.0)</f>
        <v>2910</v>
      </c>
      <c r="C1703" s="1">
        <f>IFERROR(__xludf.DUMMYFUNCTION("""COMPUTED_VALUE"""),3080.0)</f>
        <v>3080</v>
      </c>
      <c r="D1703" s="1">
        <f>IFERROR(__xludf.DUMMYFUNCTION("""COMPUTED_VALUE"""),2830.0)</f>
        <v>2830</v>
      </c>
      <c r="E1703" s="1">
        <f>IFERROR(__xludf.DUMMYFUNCTION("""COMPUTED_VALUE"""),2895.0)</f>
        <v>2895</v>
      </c>
      <c r="F1703" s="1">
        <f>IFERROR(__xludf.DUMMYFUNCTION("""COMPUTED_VALUE"""),105129.0)</f>
        <v>105129</v>
      </c>
    </row>
    <row r="1704">
      <c r="A1704" s="2">
        <f>IFERROR(__xludf.DUMMYFUNCTION("""COMPUTED_VALUE"""),43724.64583333333)</f>
        <v>43724.64583</v>
      </c>
      <c r="B1704" s="1">
        <f>IFERROR(__xludf.DUMMYFUNCTION("""COMPUTED_VALUE"""),2895.0)</f>
        <v>2895</v>
      </c>
      <c r="C1704" s="1">
        <f>IFERROR(__xludf.DUMMYFUNCTION("""COMPUTED_VALUE"""),2945.0)</f>
        <v>2945</v>
      </c>
      <c r="D1704" s="1">
        <f>IFERROR(__xludf.DUMMYFUNCTION("""COMPUTED_VALUE"""),2890.0)</f>
        <v>2890</v>
      </c>
      <c r="E1704" s="1">
        <f>IFERROR(__xludf.DUMMYFUNCTION("""COMPUTED_VALUE"""),2940.0)</f>
        <v>2940</v>
      </c>
      <c r="F1704" s="1">
        <f>IFERROR(__xludf.DUMMYFUNCTION("""COMPUTED_VALUE"""),11573.0)</f>
        <v>11573</v>
      </c>
    </row>
    <row r="1705">
      <c r="A1705" s="2">
        <f>IFERROR(__xludf.DUMMYFUNCTION("""COMPUTED_VALUE"""),43725.64583333333)</f>
        <v>43725.64583</v>
      </c>
      <c r="B1705" s="1">
        <f>IFERROR(__xludf.DUMMYFUNCTION("""COMPUTED_VALUE"""),2950.0)</f>
        <v>2950</v>
      </c>
      <c r="C1705" s="1">
        <f>IFERROR(__xludf.DUMMYFUNCTION("""COMPUTED_VALUE"""),2950.0)</f>
        <v>2950</v>
      </c>
      <c r="D1705" s="1">
        <f>IFERROR(__xludf.DUMMYFUNCTION("""COMPUTED_VALUE"""),2730.0)</f>
        <v>2730</v>
      </c>
      <c r="E1705" s="1">
        <f>IFERROR(__xludf.DUMMYFUNCTION("""COMPUTED_VALUE"""),2875.0)</f>
        <v>2875</v>
      </c>
      <c r="F1705" s="1">
        <f>IFERROR(__xludf.DUMMYFUNCTION("""COMPUTED_VALUE"""),132031.0)</f>
        <v>132031</v>
      </c>
    </row>
    <row r="1706">
      <c r="A1706" s="2">
        <f>IFERROR(__xludf.DUMMYFUNCTION("""COMPUTED_VALUE"""),43726.64583333333)</f>
        <v>43726.64583</v>
      </c>
      <c r="B1706" s="1">
        <f>IFERROR(__xludf.DUMMYFUNCTION("""COMPUTED_VALUE"""),2885.0)</f>
        <v>2885</v>
      </c>
      <c r="C1706" s="1">
        <f>IFERROR(__xludf.DUMMYFUNCTION("""COMPUTED_VALUE"""),2885.0)</f>
        <v>2885</v>
      </c>
      <c r="D1706" s="1">
        <f>IFERROR(__xludf.DUMMYFUNCTION("""COMPUTED_VALUE"""),2750.0)</f>
        <v>2750</v>
      </c>
      <c r="E1706" s="1">
        <f>IFERROR(__xludf.DUMMYFUNCTION("""COMPUTED_VALUE"""),2840.0)</f>
        <v>2840</v>
      </c>
      <c r="F1706" s="1">
        <f>IFERROR(__xludf.DUMMYFUNCTION("""COMPUTED_VALUE"""),115393.0)</f>
        <v>115393</v>
      </c>
    </row>
    <row r="1707">
      <c r="A1707" s="2">
        <f>IFERROR(__xludf.DUMMYFUNCTION("""COMPUTED_VALUE"""),43727.64583333333)</f>
        <v>43727.64583</v>
      </c>
      <c r="B1707" s="1">
        <f>IFERROR(__xludf.DUMMYFUNCTION("""COMPUTED_VALUE"""),2860.0)</f>
        <v>2860</v>
      </c>
      <c r="C1707" s="1">
        <f>IFERROR(__xludf.DUMMYFUNCTION("""COMPUTED_VALUE"""),2865.0)</f>
        <v>2865</v>
      </c>
      <c r="D1707" s="1">
        <f>IFERROR(__xludf.DUMMYFUNCTION("""COMPUTED_VALUE"""),2750.0)</f>
        <v>2750</v>
      </c>
      <c r="E1707" s="1">
        <f>IFERROR(__xludf.DUMMYFUNCTION("""COMPUTED_VALUE"""),2755.0)</f>
        <v>2755</v>
      </c>
      <c r="F1707" s="1">
        <f>IFERROR(__xludf.DUMMYFUNCTION("""COMPUTED_VALUE"""),83007.0)</f>
        <v>83007</v>
      </c>
    </row>
    <row r="1708">
      <c r="A1708" s="2">
        <f>IFERROR(__xludf.DUMMYFUNCTION("""COMPUTED_VALUE"""),43728.64583333333)</f>
        <v>43728.64583</v>
      </c>
      <c r="B1708" s="1">
        <f>IFERROR(__xludf.DUMMYFUNCTION("""COMPUTED_VALUE"""),2775.0)</f>
        <v>2775</v>
      </c>
      <c r="C1708" s="1">
        <f>IFERROR(__xludf.DUMMYFUNCTION("""COMPUTED_VALUE"""),2815.0)</f>
        <v>2815</v>
      </c>
      <c r="D1708" s="1">
        <f>IFERROR(__xludf.DUMMYFUNCTION("""COMPUTED_VALUE"""),2715.0)</f>
        <v>2715</v>
      </c>
      <c r="E1708" s="1">
        <f>IFERROR(__xludf.DUMMYFUNCTION("""COMPUTED_VALUE"""),2740.0)</f>
        <v>2740</v>
      </c>
      <c r="F1708" s="1">
        <f>IFERROR(__xludf.DUMMYFUNCTION("""COMPUTED_VALUE"""),22941.0)</f>
        <v>22941</v>
      </c>
    </row>
    <row r="1709">
      <c r="A1709" s="2">
        <f>IFERROR(__xludf.DUMMYFUNCTION("""COMPUTED_VALUE"""),43731.64583333333)</f>
        <v>43731.64583</v>
      </c>
      <c r="B1709" s="1">
        <f>IFERROR(__xludf.DUMMYFUNCTION("""COMPUTED_VALUE"""),2720.0)</f>
        <v>2720</v>
      </c>
      <c r="C1709" s="1">
        <f>IFERROR(__xludf.DUMMYFUNCTION("""COMPUTED_VALUE"""),2875.0)</f>
        <v>2875</v>
      </c>
      <c r="D1709" s="1">
        <f>IFERROR(__xludf.DUMMYFUNCTION("""COMPUTED_VALUE"""),2720.0)</f>
        <v>2720</v>
      </c>
      <c r="E1709" s="1">
        <f>IFERROR(__xludf.DUMMYFUNCTION("""COMPUTED_VALUE"""),2720.0)</f>
        <v>2720</v>
      </c>
      <c r="F1709" s="1">
        <f>IFERROR(__xludf.DUMMYFUNCTION("""COMPUTED_VALUE"""),31085.0)</f>
        <v>31085</v>
      </c>
    </row>
    <row r="1710">
      <c r="A1710" s="2">
        <f>IFERROR(__xludf.DUMMYFUNCTION("""COMPUTED_VALUE"""),43732.64583333333)</f>
        <v>43732.64583</v>
      </c>
      <c r="B1710" s="1">
        <f>IFERROR(__xludf.DUMMYFUNCTION("""COMPUTED_VALUE"""),2740.0)</f>
        <v>2740</v>
      </c>
      <c r="C1710" s="1">
        <f>IFERROR(__xludf.DUMMYFUNCTION("""COMPUTED_VALUE"""),2790.0)</f>
        <v>2790</v>
      </c>
      <c r="D1710" s="1">
        <f>IFERROR(__xludf.DUMMYFUNCTION("""COMPUTED_VALUE"""),2720.0)</f>
        <v>2720</v>
      </c>
      <c r="E1710" s="1">
        <f>IFERROR(__xludf.DUMMYFUNCTION("""COMPUTED_VALUE"""),2740.0)</f>
        <v>2740</v>
      </c>
      <c r="F1710" s="1">
        <f>IFERROR(__xludf.DUMMYFUNCTION("""COMPUTED_VALUE"""),18830.0)</f>
        <v>18830</v>
      </c>
    </row>
    <row r="1711">
      <c r="A1711" s="2">
        <f>IFERROR(__xludf.DUMMYFUNCTION("""COMPUTED_VALUE"""),43733.64583333333)</f>
        <v>43733.64583</v>
      </c>
      <c r="B1711" s="1">
        <f>IFERROR(__xludf.DUMMYFUNCTION("""COMPUTED_VALUE"""),2745.0)</f>
        <v>2745</v>
      </c>
      <c r="C1711" s="1">
        <f>IFERROR(__xludf.DUMMYFUNCTION("""COMPUTED_VALUE"""),2770.0)</f>
        <v>2770</v>
      </c>
      <c r="D1711" s="1">
        <f>IFERROR(__xludf.DUMMYFUNCTION("""COMPUTED_VALUE"""),2620.0)</f>
        <v>2620</v>
      </c>
      <c r="E1711" s="1">
        <f>IFERROR(__xludf.DUMMYFUNCTION("""COMPUTED_VALUE"""),2630.0)</f>
        <v>2630</v>
      </c>
      <c r="F1711" s="1">
        <f>IFERROR(__xludf.DUMMYFUNCTION("""COMPUTED_VALUE"""),62719.0)</f>
        <v>62719</v>
      </c>
    </row>
    <row r="1712">
      <c r="A1712" s="2">
        <f>IFERROR(__xludf.DUMMYFUNCTION("""COMPUTED_VALUE"""),43734.64583333333)</f>
        <v>43734.64583</v>
      </c>
      <c r="B1712" s="1">
        <f>IFERROR(__xludf.DUMMYFUNCTION("""COMPUTED_VALUE"""),2630.0)</f>
        <v>2630</v>
      </c>
      <c r="C1712" s="1">
        <f>IFERROR(__xludf.DUMMYFUNCTION("""COMPUTED_VALUE"""),2715.0)</f>
        <v>2715</v>
      </c>
      <c r="D1712" s="1">
        <f>IFERROR(__xludf.DUMMYFUNCTION("""COMPUTED_VALUE"""),2605.0)</f>
        <v>2605</v>
      </c>
      <c r="E1712" s="1">
        <f>IFERROR(__xludf.DUMMYFUNCTION("""COMPUTED_VALUE"""),2625.0)</f>
        <v>2625</v>
      </c>
      <c r="F1712" s="1">
        <f>IFERROR(__xludf.DUMMYFUNCTION("""COMPUTED_VALUE"""),20796.0)</f>
        <v>20796</v>
      </c>
    </row>
    <row r="1713">
      <c r="A1713" s="2">
        <f>IFERROR(__xludf.DUMMYFUNCTION("""COMPUTED_VALUE"""),43735.64583333333)</f>
        <v>43735.64583</v>
      </c>
      <c r="B1713" s="1">
        <f>IFERROR(__xludf.DUMMYFUNCTION("""COMPUTED_VALUE"""),2690.0)</f>
        <v>2690</v>
      </c>
      <c r="C1713" s="1">
        <f>IFERROR(__xludf.DUMMYFUNCTION("""COMPUTED_VALUE"""),2720.0)</f>
        <v>2720</v>
      </c>
      <c r="D1713" s="1">
        <f>IFERROR(__xludf.DUMMYFUNCTION("""COMPUTED_VALUE"""),2590.0)</f>
        <v>2590</v>
      </c>
      <c r="E1713" s="1">
        <f>IFERROR(__xludf.DUMMYFUNCTION("""COMPUTED_VALUE"""),2590.0)</f>
        <v>2590</v>
      </c>
      <c r="F1713" s="1">
        <f>IFERROR(__xludf.DUMMYFUNCTION("""COMPUTED_VALUE"""),28553.0)</f>
        <v>28553</v>
      </c>
    </row>
    <row r="1714">
      <c r="A1714" s="2">
        <f>IFERROR(__xludf.DUMMYFUNCTION("""COMPUTED_VALUE"""),43738.64583333333)</f>
        <v>43738.64583</v>
      </c>
      <c r="B1714" s="1">
        <f>IFERROR(__xludf.DUMMYFUNCTION("""COMPUTED_VALUE"""),2670.0)</f>
        <v>2670</v>
      </c>
      <c r="C1714" s="1">
        <f>IFERROR(__xludf.DUMMYFUNCTION("""COMPUTED_VALUE"""),3000.0)</f>
        <v>3000</v>
      </c>
      <c r="D1714" s="1">
        <f>IFERROR(__xludf.DUMMYFUNCTION("""COMPUTED_VALUE"""),2570.0)</f>
        <v>2570</v>
      </c>
      <c r="E1714" s="1">
        <f>IFERROR(__xludf.DUMMYFUNCTION("""COMPUTED_VALUE"""),2575.0)</f>
        <v>2575</v>
      </c>
      <c r="F1714" s="1">
        <f>IFERROR(__xludf.DUMMYFUNCTION("""COMPUTED_VALUE"""),108285.0)</f>
        <v>108285</v>
      </c>
    </row>
    <row r="1715">
      <c r="A1715" s="2">
        <f>IFERROR(__xludf.DUMMYFUNCTION("""COMPUTED_VALUE"""),43739.64583333333)</f>
        <v>43739.64583</v>
      </c>
      <c r="B1715" s="1">
        <f>IFERROR(__xludf.DUMMYFUNCTION("""COMPUTED_VALUE"""),2635.0)</f>
        <v>2635</v>
      </c>
      <c r="C1715" s="1">
        <f>IFERROR(__xludf.DUMMYFUNCTION("""COMPUTED_VALUE"""),2690.0)</f>
        <v>2690</v>
      </c>
      <c r="D1715" s="1">
        <f>IFERROR(__xludf.DUMMYFUNCTION("""COMPUTED_VALUE"""),2590.0)</f>
        <v>2590</v>
      </c>
      <c r="E1715" s="1">
        <f>IFERROR(__xludf.DUMMYFUNCTION("""COMPUTED_VALUE"""),2670.0)</f>
        <v>2670</v>
      </c>
      <c r="F1715" s="1">
        <f>IFERROR(__xludf.DUMMYFUNCTION("""COMPUTED_VALUE"""),24464.0)</f>
        <v>24464</v>
      </c>
    </row>
    <row r="1716">
      <c r="A1716" s="2">
        <f>IFERROR(__xludf.DUMMYFUNCTION("""COMPUTED_VALUE"""),43740.64583333333)</f>
        <v>43740.64583</v>
      </c>
      <c r="B1716" s="1">
        <f>IFERROR(__xludf.DUMMYFUNCTION("""COMPUTED_VALUE"""),2635.0)</f>
        <v>2635</v>
      </c>
      <c r="C1716" s="1">
        <f>IFERROR(__xludf.DUMMYFUNCTION("""COMPUTED_VALUE"""),2750.0)</f>
        <v>2750</v>
      </c>
      <c r="D1716" s="1">
        <f>IFERROR(__xludf.DUMMYFUNCTION("""COMPUTED_VALUE"""),2635.0)</f>
        <v>2635</v>
      </c>
      <c r="E1716" s="1">
        <f>IFERROR(__xludf.DUMMYFUNCTION("""COMPUTED_VALUE"""),2670.0)</f>
        <v>2670</v>
      </c>
      <c r="F1716" s="1">
        <f>IFERROR(__xludf.DUMMYFUNCTION("""COMPUTED_VALUE"""),39320.0)</f>
        <v>39320</v>
      </c>
    </row>
    <row r="1717">
      <c r="A1717" s="2">
        <f>IFERROR(__xludf.DUMMYFUNCTION("""COMPUTED_VALUE"""),43742.64583333333)</f>
        <v>43742.64583</v>
      </c>
      <c r="B1717" s="1">
        <f>IFERROR(__xludf.DUMMYFUNCTION("""COMPUTED_VALUE"""),2670.0)</f>
        <v>2670</v>
      </c>
      <c r="C1717" s="1">
        <f>IFERROR(__xludf.DUMMYFUNCTION("""COMPUTED_VALUE"""),2750.0)</f>
        <v>2750</v>
      </c>
      <c r="D1717" s="1">
        <f>IFERROR(__xludf.DUMMYFUNCTION("""COMPUTED_VALUE"""),2670.0)</f>
        <v>2670</v>
      </c>
      <c r="E1717" s="1">
        <f>IFERROR(__xludf.DUMMYFUNCTION("""COMPUTED_VALUE"""),2715.0)</f>
        <v>2715</v>
      </c>
      <c r="F1717" s="1">
        <f>IFERROR(__xludf.DUMMYFUNCTION("""COMPUTED_VALUE"""),6533.0)</f>
        <v>6533</v>
      </c>
    </row>
    <row r="1718">
      <c r="A1718" s="2">
        <f>IFERROR(__xludf.DUMMYFUNCTION("""COMPUTED_VALUE"""),43745.64583333333)</f>
        <v>43745.64583</v>
      </c>
      <c r="B1718" s="1">
        <f>IFERROR(__xludf.DUMMYFUNCTION("""COMPUTED_VALUE"""),2670.0)</f>
        <v>2670</v>
      </c>
      <c r="C1718" s="1">
        <f>IFERROR(__xludf.DUMMYFUNCTION("""COMPUTED_VALUE"""),2725.0)</f>
        <v>2725</v>
      </c>
      <c r="D1718" s="1">
        <f>IFERROR(__xludf.DUMMYFUNCTION("""COMPUTED_VALUE"""),2545.0)</f>
        <v>2545</v>
      </c>
      <c r="E1718" s="1">
        <f>IFERROR(__xludf.DUMMYFUNCTION("""COMPUTED_VALUE"""),2700.0)</f>
        <v>2700</v>
      </c>
      <c r="F1718" s="1">
        <f>IFERROR(__xludf.DUMMYFUNCTION("""COMPUTED_VALUE"""),39294.0)</f>
        <v>39294</v>
      </c>
    </row>
    <row r="1719">
      <c r="A1719" s="2">
        <f>IFERROR(__xludf.DUMMYFUNCTION("""COMPUTED_VALUE"""),43746.64583333333)</f>
        <v>43746.64583</v>
      </c>
      <c r="B1719" s="1">
        <f>IFERROR(__xludf.DUMMYFUNCTION("""COMPUTED_VALUE"""),2715.0)</f>
        <v>2715</v>
      </c>
      <c r="C1719" s="1">
        <f>IFERROR(__xludf.DUMMYFUNCTION("""COMPUTED_VALUE"""),2770.0)</f>
        <v>2770</v>
      </c>
      <c r="D1719" s="1">
        <f>IFERROR(__xludf.DUMMYFUNCTION("""COMPUTED_VALUE"""),2635.0)</f>
        <v>2635</v>
      </c>
      <c r="E1719" s="1">
        <f>IFERROR(__xludf.DUMMYFUNCTION("""COMPUTED_VALUE"""),2705.0)</f>
        <v>2705</v>
      </c>
      <c r="F1719" s="1">
        <f>IFERROR(__xludf.DUMMYFUNCTION("""COMPUTED_VALUE"""),22236.0)</f>
        <v>22236</v>
      </c>
    </row>
    <row r="1720">
      <c r="A1720" s="2">
        <f>IFERROR(__xludf.DUMMYFUNCTION("""COMPUTED_VALUE"""),43748.64583333333)</f>
        <v>43748.64583</v>
      </c>
      <c r="B1720" s="1">
        <f>IFERROR(__xludf.DUMMYFUNCTION("""COMPUTED_VALUE"""),2765.0)</f>
        <v>2765</v>
      </c>
      <c r="C1720" s="1">
        <f>IFERROR(__xludf.DUMMYFUNCTION("""COMPUTED_VALUE"""),2765.0)</f>
        <v>2765</v>
      </c>
      <c r="D1720" s="1">
        <f>IFERROR(__xludf.DUMMYFUNCTION("""COMPUTED_VALUE"""),2605.0)</f>
        <v>2605</v>
      </c>
      <c r="E1720" s="1">
        <f>IFERROR(__xludf.DUMMYFUNCTION("""COMPUTED_VALUE"""),2630.0)</f>
        <v>2630</v>
      </c>
      <c r="F1720" s="1">
        <f>IFERROR(__xludf.DUMMYFUNCTION("""COMPUTED_VALUE"""),23742.0)</f>
        <v>23742</v>
      </c>
    </row>
    <row r="1721">
      <c r="A1721" s="2">
        <f>IFERROR(__xludf.DUMMYFUNCTION("""COMPUTED_VALUE"""),43749.64583333333)</f>
        <v>43749.64583</v>
      </c>
      <c r="B1721" s="1">
        <f>IFERROR(__xludf.DUMMYFUNCTION("""COMPUTED_VALUE"""),2630.0)</f>
        <v>2630</v>
      </c>
      <c r="C1721" s="1">
        <f>IFERROR(__xludf.DUMMYFUNCTION("""COMPUTED_VALUE"""),2730.0)</f>
        <v>2730</v>
      </c>
      <c r="D1721" s="1">
        <f>IFERROR(__xludf.DUMMYFUNCTION("""COMPUTED_VALUE"""),2605.0)</f>
        <v>2605</v>
      </c>
      <c r="E1721" s="1">
        <f>IFERROR(__xludf.DUMMYFUNCTION("""COMPUTED_VALUE"""),2650.0)</f>
        <v>2650</v>
      </c>
      <c r="F1721" s="1">
        <f>IFERROR(__xludf.DUMMYFUNCTION("""COMPUTED_VALUE"""),22850.0)</f>
        <v>22850</v>
      </c>
    </row>
    <row r="1722">
      <c r="A1722" s="2">
        <f>IFERROR(__xludf.DUMMYFUNCTION("""COMPUTED_VALUE"""),43752.64583333333)</f>
        <v>43752.64583</v>
      </c>
      <c r="B1722" s="1">
        <f>IFERROR(__xludf.DUMMYFUNCTION("""COMPUTED_VALUE"""),2650.0)</f>
        <v>2650</v>
      </c>
      <c r="C1722" s="1">
        <f>IFERROR(__xludf.DUMMYFUNCTION("""COMPUTED_VALUE"""),2755.0)</f>
        <v>2755</v>
      </c>
      <c r="D1722" s="1">
        <f>IFERROR(__xludf.DUMMYFUNCTION("""COMPUTED_VALUE"""),2650.0)</f>
        <v>2650</v>
      </c>
      <c r="E1722" s="1">
        <f>IFERROR(__xludf.DUMMYFUNCTION("""COMPUTED_VALUE"""),2680.0)</f>
        <v>2680</v>
      </c>
      <c r="F1722" s="1">
        <f>IFERROR(__xludf.DUMMYFUNCTION("""COMPUTED_VALUE"""),17077.0)</f>
        <v>17077</v>
      </c>
    </row>
    <row r="1723">
      <c r="A1723" s="2">
        <f>IFERROR(__xludf.DUMMYFUNCTION("""COMPUTED_VALUE"""),43753.64583333333)</f>
        <v>43753.64583</v>
      </c>
      <c r="B1723" s="1">
        <f>IFERROR(__xludf.DUMMYFUNCTION("""COMPUTED_VALUE"""),2700.0)</f>
        <v>2700</v>
      </c>
      <c r="C1723" s="1">
        <f>IFERROR(__xludf.DUMMYFUNCTION("""COMPUTED_VALUE"""),2770.0)</f>
        <v>2770</v>
      </c>
      <c r="D1723" s="1">
        <f>IFERROR(__xludf.DUMMYFUNCTION("""COMPUTED_VALUE"""),2660.0)</f>
        <v>2660</v>
      </c>
      <c r="E1723" s="1">
        <f>IFERROR(__xludf.DUMMYFUNCTION("""COMPUTED_VALUE"""),2680.0)</f>
        <v>2680</v>
      </c>
      <c r="F1723" s="1">
        <f>IFERROR(__xludf.DUMMYFUNCTION("""COMPUTED_VALUE"""),41610.0)</f>
        <v>41610</v>
      </c>
    </row>
    <row r="1724">
      <c r="A1724" s="2">
        <f>IFERROR(__xludf.DUMMYFUNCTION("""COMPUTED_VALUE"""),43754.64583333333)</f>
        <v>43754.64583</v>
      </c>
      <c r="B1724" s="1">
        <f>IFERROR(__xludf.DUMMYFUNCTION("""COMPUTED_VALUE"""),2700.0)</f>
        <v>2700</v>
      </c>
      <c r="C1724" s="1">
        <f>IFERROR(__xludf.DUMMYFUNCTION("""COMPUTED_VALUE"""),3050.0)</f>
        <v>3050</v>
      </c>
      <c r="D1724" s="1">
        <f>IFERROR(__xludf.DUMMYFUNCTION("""COMPUTED_VALUE"""),2560.0)</f>
        <v>2560</v>
      </c>
      <c r="E1724" s="1">
        <f>IFERROR(__xludf.DUMMYFUNCTION("""COMPUTED_VALUE"""),2705.0)</f>
        <v>2705</v>
      </c>
      <c r="F1724" s="1">
        <f>IFERROR(__xludf.DUMMYFUNCTION("""COMPUTED_VALUE"""),603416.0)</f>
        <v>603416</v>
      </c>
    </row>
    <row r="1725">
      <c r="A1725" s="2">
        <f>IFERROR(__xludf.DUMMYFUNCTION("""COMPUTED_VALUE"""),43755.64583333333)</f>
        <v>43755.64583</v>
      </c>
      <c r="B1725" s="1">
        <f>IFERROR(__xludf.DUMMYFUNCTION("""COMPUTED_VALUE"""),2720.0)</f>
        <v>2720</v>
      </c>
      <c r="C1725" s="1">
        <f>IFERROR(__xludf.DUMMYFUNCTION("""COMPUTED_VALUE"""),2750.0)</f>
        <v>2750</v>
      </c>
      <c r="D1725" s="1">
        <f>IFERROR(__xludf.DUMMYFUNCTION("""COMPUTED_VALUE"""),2685.0)</f>
        <v>2685</v>
      </c>
      <c r="E1725" s="1">
        <f>IFERROR(__xludf.DUMMYFUNCTION("""COMPUTED_VALUE"""),2725.0)</f>
        <v>2725</v>
      </c>
      <c r="F1725" s="1">
        <f>IFERROR(__xludf.DUMMYFUNCTION("""COMPUTED_VALUE"""),56457.0)</f>
        <v>56457</v>
      </c>
    </row>
    <row r="1726">
      <c r="A1726" s="2">
        <f>IFERROR(__xludf.DUMMYFUNCTION("""COMPUTED_VALUE"""),43756.64583333333)</f>
        <v>43756.64583</v>
      </c>
      <c r="B1726" s="1">
        <f>IFERROR(__xludf.DUMMYFUNCTION("""COMPUTED_VALUE"""),2750.0)</f>
        <v>2750</v>
      </c>
      <c r="C1726" s="1">
        <f>IFERROR(__xludf.DUMMYFUNCTION("""COMPUTED_VALUE"""),2750.0)</f>
        <v>2750</v>
      </c>
      <c r="D1726" s="1">
        <f>IFERROR(__xludf.DUMMYFUNCTION("""COMPUTED_VALUE"""),2655.0)</f>
        <v>2655</v>
      </c>
      <c r="E1726" s="1">
        <f>IFERROR(__xludf.DUMMYFUNCTION("""COMPUTED_VALUE"""),2725.0)</f>
        <v>2725</v>
      </c>
      <c r="F1726" s="1">
        <f>IFERROR(__xludf.DUMMYFUNCTION("""COMPUTED_VALUE"""),28614.0)</f>
        <v>28614</v>
      </c>
    </row>
    <row r="1727">
      <c r="A1727" s="2">
        <f>IFERROR(__xludf.DUMMYFUNCTION("""COMPUTED_VALUE"""),43759.64583333333)</f>
        <v>43759.64583</v>
      </c>
      <c r="B1727" s="1">
        <f>IFERROR(__xludf.DUMMYFUNCTION("""COMPUTED_VALUE"""),2710.0)</f>
        <v>2710</v>
      </c>
      <c r="C1727" s="1">
        <f>IFERROR(__xludf.DUMMYFUNCTION("""COMPUTED_VALUE"""),2740.0)</f>
        <v>2740</v>
      </c>
      <c r="D1727" s="1">
        <f>IFERROR(__xludf.DUMMYFUNCTION("""COMPUTED_VALUE"""),2615.0)</f>
        <v>2615</v>
      </c>
      <c r="E1727" s="1">
        <f>IFERROR(__xludf.DUMMYFUNCTION("""COMPUTED_VALUE"""),2635.0)</f>
        <v>2635</v>
      </c>
      <c r="F1727" s="1">
        <f>IFERROR(__xludf.DUMMYFUNCTION("""COMPUTED_VALUE"""),35964.0)</f>
        <v>35964</v>
      </c>
    </row>
    <row r="1728">
      <c r="A1728" s="2">
        <f>IFERROR(__xludf.DUMMYFUNCTION("""COMPUTED_VALUE"""),43760.64583333333)</f>
        <v>43760.64583</v>
      </c>
      <c r="B1728" s="1">
        <f>IFERROR(__xludf.DUMMYFUNCTION("""COMPUTED_VALUE"""),2690.0)</f>
        <v>2690</v>
      </c>
      <c r="C1728" s="1">
        <f>IFERROR(__xludf.DUMMYFUNCTION("""COMPUTED_VALUE"""),2690.0)</f>
        <v>2690</v>
      </c>
      <c r="D1728" s="1">
        <f>IFERROR(__xludf.DUMMYFUNCTION("""COMPUTED_VALUE"""),2540.0)</f>
        <v>2540</v>
      </c>
      <c r="E1728" s="1">
        <f>IFERROR(__xludf.DUMMYFUNCTION("""COMPUTED_VALUE"""),2610.0)</f>
        <v>2610</v>
      </c>
      <c r="F1728" s="1">
        <f>IFERROR(__xludf.DUMMYFUNCTION("""COMPUTED_VALUE"""),77697.0)</f>
        <v>77697</v>
      </c>
    </row>
    <row r="1729">
      <c r="A1729" s="2">
        <f>IFERROR(__xludf.DUMMYFUNCTION("""COMPUTED_VALUE"""),43761.64583333333)</f>
        <v>43761.64583</v>
      </c>
      <c r="B1729" s="1">
        <f>IFERROR(__xludf.DUMMYFUNCTION("""COMPUTED_VALUE"""),2610.0)</f>
        <v>2610</v>
      </c>
      <c r="C1729" s="1">
        <f>IFERROR(__xludf.DUMMYFUNCTION("""COMPUTED_VALUE"""),2670.0)</f>
        <v>2670</v>
      </c>
      <c r="D1729" s="1">
        <f>IFERROR(__xludf.DUMMYFUNCTION("""COMPUTED_VALUE"""),2570.0)</f>
        <v>2570</v>
      </c>
      <c r="E1729" s="1">
        <f>IFERROR(__xludf.DUMMYFUNCTION("""COMPUTED_VALUE"""),2595.0)</f>
        <v>2595</v>
      </c>
      <c r="F1729" s="1">
        <f>IFERROR(__xludf.DUMMYFUNCTION("""COMPUTED_VALUE"""),54178.0)</f>
        <v>54178</v>
      </c>
    </row>
    <row r="1730">
      <c r="A1730" s="2">
        <f>IFERROR(__xludf.DUMMYFUNCTION("""COMPUTED_VALUE"""),43762.64583333333)</f>
        <v>43762.64583</v>
      </c>
      <c r="B1730" s="1">
        <f>IFERROR(__xludf.DUMMYFUNCTION("""COMPUTED_VALUE"""),2650.0)</f>
        <v>2650</v>
      </c>
      <c r="C1730" s="1">
        <f>IFERROR(__xludf.DUMMYFUNCTION("""COMPUTED_VALUE"""),2650.0)</f>
        <v>2650</v>
      </c>
      <c r="D1730" s="1">
        <f>IFERROR(__xludf.DUMMYFUNCTION("""COMPUTED_VALUE"""),2540.0)</f>
        <v>2540</v>
      </c>
      <c r="E1730" s="1">
        <f>IFERROR(__xludf.DUMMYFUNCTION("""COMPUTED_VALUE"""),2555.0)</f>
        <v>2555</v>
      </c>
      <c r="F1730" s="1">
        <f>IFERROR(__xludf.DUMMYFUNCTION("""COMPUTED_VALUE"""),44317.0)</f>
        <v>44317</v>
      </c>
    </row>
    <row r="1731">
      <c r="A1731" s="2">
        <f>IFERROR(__xludf.DUMMYFUNCTION("""COMPUTED_VALUE"""),43763.64583333333)</f>
        <v>43763.64583</v>
      </c>
      <c r="B1731" s="1">
        <f>IFERROR(__xludf.DUMMYFUNCTION("""COMPUTED_VALUE"""),2560.0)</f>
        <v>2560</v>
      </c>
      <c r="C1731" s="1">
        <f>IFERROR(__xludf.DUMMYFUNCTION("""COMPUTED_VALUE"""),2610.0)</f>
        <v>2610</v>
      </c>
      <c r="D1731" s="1">
        <f>IFERROR(__xludf.DUMMYFUNCTION("""COMPUTED_VALUE"""),2505.0)</f>
        <v>2505</v>
      </c>
      <c r="E1731" s="1">
        <f>IFERROR(__xludf.DUMMYFUNCTION("""COMPUTED_VALUE"""),2540.0)</f>
        <v>2540</v>
      </c>
      <c r="F1731" s="1">
        <f>IFERROR(__xludf.DUMMYFUNCTION("""COMPUTED_VALUE"""),48242.0)</f>
        <v>48242</v>
      </c>
    </row>
    <row r="1732">
      <c r="A1732" s="2">
        <f>IFERROR(__xludf.DUMMYFUNCTION("""COMPUTED_VALUE"""),43766.64583333333)</f>
        <v>43766.64583</v>
      </c>
      <c r="B1732" s="1">
        <f>IFERROR(__xludf.DUMMYFUNCTION("""COMPUTED_VALUE"""),2540.0)</f>
        <v>2540</v>
      </c>
      <c r="C1732" s="1">
        <f>IFERROR(__xludf.DUMMYFUNCTION("""COMPUTED_VALUE"""),2565.0)</f>
        <v>2565</v>
      </c>
      <c r="D1732" s="1">
        <f>IFERROR(__xludf.DUMMYFUNCTION("""COMPUTED_VALUE"""),2510.0)</f>
        <v>2510</v>
      </c>
      <c r="E1732" s="1">
        <f>IFERROR(__xludf.DUMMYFUNCTION("""COMPUTED_VALUE"""),2535.0)</f>
        <v>2535</v>
      </c>
      <c r="F1732" s="1">
        <f>IFERROR(__xludf.DUMMYFUNCTION("""COMPUTED_VALUE"""),25866.0)</f>
        <v>25866</v>
      </c>
    </row>
    <row r="1733">
      <c r="A1733" s="2">
        <f>IFERROR(__xludf.DUMMYFUNCTION("""COMPUTED_VALUE"""),43767.64583333333)</f>
        <v>43767.64583</v>
      </c>
      <c r="B1733" s="1">
        <f>IFERROR(__xludf.DUMMYFUNCTION("""COMPUTED_VALUE"""),2585.0)</f>
        <v>2585</v>
      </c>
      <c r="C1733" s="1">
        <f>IFERROR(__xludf.DUMMYFUNCTION("""COMPUTED_VALUE"""),2585.0)</f>
        <v>2585</v>
      </c>
      <c r="D1733" s="1">
        <f>IFERROR(__xludf.DUMMYFUNCTION("""COMPUTED_VALUE"""),2510.0)</f>
        <v>2510</v>
      </c>
      <c r="E1733" s="1">
        <f>IFERROR(__xludf.DUMMYFUNCTION("""COMPUTED_VALUE"""),2540.0)</f>
        <v>2540</v>
      </c>
      <c r="F1733" s="1">
        <f>IFERROR(__xludf.DUMMYFUNCTION("""COMPUTED_VALUE"""),30256.0)</f>
        <v>30256</v>
      </c>
    </row>
    <row r="1734">
      <c r="A1734" s="2">
        <f>IFERROR(__xludf.DUMMYFUNCTION("""COMPUTED_VALUE"""),43768.64583333333)</f>
        <v>43768.64583</v>
      </c>
      <c r="B1734" s="1">
        <f>IFERROR(__xludf.DUMMYFUNCTION("""COMPUTED_VALUE"""),2585.0)</f>
        <v>2585</v>
      </c>
      <c r="C1734" s="1">
        <f>IFERROR(__xludf.DUMMYFUNCTION("""COMPUTED_VALUE"""),2585.0)</f>
        <v>2585</v>
      </c>
      <c r="D1734" s="1">
        <f>IFERROR(__xludf.DUMMYFUNCTION("""COMPUTED_VALUE"""),2505.0)</f>
        <v>2505</v>
      </c>
      <c r="E1734" s="1">
        <f>IFERROR(__xludf.DUMMYFUNCTION("""COMPUTED_VALUE"""),2540.0)</f>
        <v>2540</v>
      </c>
      <c r="F1734" s="1">
        <f>IFERROR(__xludf.DUMMYFUNCTION("""COMPUTED_VALUE"""),32244.0)</f>
        <v>32244</v>
      </c>
    </row>
    <row r="1735">
      <c r="A1735" s="2">
        <f>IFERROR(__xludf.DUMMYFUNCTION("""COMPUTED_VALUE"""),43769.64583333333)</f>
        <v>43769.64583</v>
      </c>
      <c r="B1735" s="1">
        <f>IFERROR(__xludf.DUMMYFUNCTION("""COMPUTED_VALUE"""),2510.0)</f>
        <v>2510</v>
      </c>
      <c r="C1735" s="1">
        <f>IFERROR(__xludf.DUMMYFUNCTION("""COMPUTED_VALUE"""),2715.0)</f>
        <v>2715</v>
      </c>
      <c r="D1735" s="1">
        <f>IFERROR(__xludf.DUMMYFUNCTION("""COMPUTED_VALUE"""),2500.0)</f>
        <v>2500</v>
      </c>
      <c r="E1735" s="1">
        <f>IFERROR(__xludf.DUMMYFUNCTION("""COMPUTED_VALUE"""),2605.0)</f>
        <v>2605</v>
      </c>
      <c r="F1735" s="1">
        <f>IFERROR(__xludf.DUMMYFUNCTION("""COMPUTED_VALUE"""),104332.0)</f>
        <v>104332</v>
      </c>
    </row>
    <row r="1736">
      <c r="A1736" s="2">
        <f>IFERROR(__xludf.DUMMYFUNCTION("""COMPUTED_VALUE"""),43770.64583333333)</f>
        <v>43770.64583</v>
      </c>
      <c r="B1736" s="1">
        <f>IFERROR(__xludf.DUMMYFUNCTION("""COMPUTED_VALUE"""),2635.0)</f>
        <v>2635</v>
      </c>
      <c r="C1736" s="1">
        <f>IFERROR(__xludf.DUMMYFUNCTION("""COMPUTED_VALUE"""),2840.0)</f>
        <v>2840</v>
      </c>
      <c r="D1736" s="1">
        <f>IFERROR(__xludf.DUMMYFUNCTION("""COMPUTED_VALUE"""),2580.0)</f>
        <v>2580</v>
      </c>
      <c r="E1736" s="1">
        <f>IFERROR(__xludf.DUMMYFUNCTION("""COMPUTED_VALUE"""),2740.0)</f>
        <v>2740</v>
      </c>
      <c r="F1736" s="1">
        <f>IFERROR(__xludf.DUMMYFUNCTION("""COMPUTED_VALUE"""),86783.0)</f>
        <v>86783</v>
      </c>
    </row>
    <row r="1737">
      <c r="A1737" s="2">
        <f>IFERROR(__xludf.DUMMYFUNCTION("""COMPUTED_VALUE"""),43773.64583333333)</f>
        <v>43773.64583</v>
      </c>
      <c r="B1737" s="1">
        <f>IFERROR(__xludf.DUMMYFUNCTION("""COMPUTED_VALUE"""),2785.0)</f>
        <v>2785</v>
      </c>
      <c r="C1737" s="1">
        <f>IFERROR(__xludf.DUMMYFUNCTION("""COMPUTED_VALUE"""),2830.0)</f>
        <v>2830</v>
      </c>
      <c r="D1737" s="1">
        <f>IFERROR(__xludf.DUMMYFUNCTION("""COMPUTED_VALUE"""),2700.0)</f>
        <v>2700</v>
      </c>
      <c r="E1737" s="1">
        <f>IFERROR(__xludf.DUMMYFUNCTION("""COMPUTED_VALUE"""),2830.0)</f>
        <v>2830</v>
      </c>
      <c r="F1737" s="1">
        <f>IFERROR(__xludf.DUMMYFUNCTION("""COMPUTED_VALUE"""),71945.0)</f>
        <v>71945</v>
      </c>
    </row>
    <row r="1738">
      <c r="A1738" s="2">
        <f>IFERROR(__xludf.DUMMYFUNCTION("""COMPUTED_VALUE"""),43774.64583333333)</f>
        <v>43774.64583</v>
      </c>
      <c r="B1738" s="1">
        <f>IFERROR(__xludf.DUMMYFUNCTION("""COMPUTED_VALUE"""),2790.0)</f>
        <v>2790</v>
      </c>
      <c r="C1738" s="1">
        <f>IFERROR(__xludf.DUMMYFUNCTION("""COMPUTED_VALUE"""),3215.0)</f>
        <v>3215</v>
      </c>
      <c r="D1738" s="1">
        <f>IFERROR(__xludf.DUMMYFUNCTION("""COMPUTED_VALUE"""),2790.0)</f>
        <v>2790</v>
      </c>
      <c r="E1738" s="1">
        <f>IFERROR(__xludf.DUMMYFUNCTION("""COMPUTED_VALUE"""),2995.0)</f>
        <v>2995</v>
      </c>
      <c r="F1738" s="1">
        <f>IFERROR(__xludf.DUMMYFUNCTION("""COMPUTED_VALUE"""),885569.0)</f>
        <v>885569</v>
      </c>
    </row>
    <row r="1739">
      <c r="A1739" s="2">
        <f>IFERROR(__xludf.DUMMYFUNCTION("""COMPUTED_VALUE"""),43775.64583333333)</f>
        <v>43775.64583</v>
      </c>
      <c r="B1739" s="1">
        <f>IFERROR(__xludf.DUMMYFUNCTION("""COMPUTED_VALUE"""),2950.0)</f>
        <v>2950</v>
      </c>
      <c r="C1739" s="1">
        <f>IFERROR(__xludf.DUMMYFUNCTION("""COMPUTED_VALUE"""),3175.0)</f>
        <v>3175</v>
      </c>
      <c r="D1739" s="1">
        <f>IFERROR(__xludf.DUMMYFUNCTION("""COMPUTED_VALUE"""),2850.0)</f>
        <v>2850</v>
      </c>
      <c r="E1739" s="1">
        <f>IFERROR(__xludf.DUMMYFUNCTION("""COMPUTED_VALUE"""),3140.0)</f>
        <v>3140</v>
      </c>
      <c r="F1739" s="1">
        <f>IFERROR(__xludf.DUMMYFUNCTION("""COMPUTED_VALUE"""),327665.0)</f>
        <v>327665</v>
      </c>
    </row>
    <row r="1740">
      <c r="A1740" s="2">
        <f>IFERROR(__xludf.DUMMYFUNCTION("""COMPUTED_VALUE"""),43776.64583333333)</f>
        <v>43776.64583</v>
      </c>
      <c r="B1740" s="1">
        <f>IFERROR(__xludf.DUMMYFUNCTION("""COMPUTED_VALUE"""),3200.0)</f>
        <v>3200</v>
      </c>
      <c r="C1740" s="1">
        <f>IFERROR(__xludf.DUMMYFUNCTION("""COMPUTED_VALUE"""),3215.0)</f>
        <v>3215</v>
      </c>
      <c r="D1740" s="1">
        <f>IFERROR(__xludf.DUMMYFUNCTION("""COMPUTED_VALUE"""),3060.0)</f>
        <v>3060</v>
      </c>
      <c r="E1740" s="1">
        <f>IFERROR(__xludf.DUMMYFUNCTION("""COMPUTED_VALUE"""),3090.0)</f>
        <v>3090</v>
      </c>
      <c r="F1740" s="1">
        <f>IFERROR(__xludf.DUMMYFUNCTION("""COMPUTED_VALUE"""),179359.0)</f>
        <v>179359</v>
      </c>
    </row>
    <row r="1741">
      <c r="A1741" s="2">
        <f>IFERROR(__xludf.DUMMYFUNCTION("""COMPUTED_VALUE"""),43777.64583333333)</f>
        <v>43777.64583</v>
      </c>
      <c r="B1741" s="1">
        <f>IFERROR(__xludf.DUMMYFUNCTION("""COMPUTED_VALUE"""),3110.0)</f>
        <v>3110</v>
      </c>
      <c r="C1741" s="1">
        <f>IFERROR(__xludf.DUMMYFUNCTION("""COMPUTED_VALUE"""),3135.0)</f>
        <v>3135</v>
      </c>
      <c r="D1741" s="1">
        <f>IFERROR(__xludf.DUMMYFUNCTION("""COMPUTED_VALUE"""),3030.0)</f>
        <v>3030</v>
      </c>
      <c r="E1741" s="1">
        <f>IFERROR(__xludf.DUMMYFUNCTION("""COMPUTED_VALUE"""),3080.0)</f>
        <v>3080</v>
      </c>
      <c r="F1741" s="1">
        <f>IFERROR(__xludf.DUMMYFUNCTION("""COMPUTED_VALUE"""),52356.0)</f>
        <v>52356</v>
      </c>
    </row>
    <row r="1742">
      <c r="A1742" s="2">
        <f>IFERROR(__xludf.DUMMYFUNCTION("""COMPUTED_VALUE"""),43780.64583333333)</f>
        <v>43780.64583</v>
      </c>
      <c r="B1742" s="1">
        <f>IFERROR(__xludf.DUMMYFUNCTION("""COMPUTED_VALUE"""),3040.0)</f>
        <v>3040</v>
      </c>
      <c r="C1742" s="1">
        <f>IFERROR(__xludf.DUMMYFUNCTION("""COMPUTED_VALUE"""),3080.0)</f>
        <v>3080</v>
      </c>
      <c r="D1742" s="1">
        <f>IFERROR(__xludf.DUMMYFUNCTION("""COMPUTED_VALUE"""),2920.0)</f>
        <v>2920</v>
      </c>
      <c r="E1742" s="1">
        <f>IFERROR(__xludf.DUMMYFUNCTION("""COMPUTED_VALUE"""),3030.0)</f>
        <v>3030</v>
      </c>
      <c r="F1742" s="1">
        <f>IFERROR(__xludf.DUMMYFUNCTION("""COMPUTED_VALUE"""),86807.0)</f>
        <v>86807</v>
      </c>
    </row>
    <row r="1743">
      <c r="A1743" s="2">
        <f>IFERROR(__xludf.DUMMYFUNCTION("""COMPUTED_VALUE"""),43781.64583333333)</f>
        <v>43781.64583</v>
      </c>
      <c r="B1743" s="1">
        <f>IFERROR(__xludf.DUMMYFUNCTION("""COMPUTED_VALUE"""),3030.0)</f>
        <v>3030</v>
      </c>
      <c r="C1743" s="1">
        <f>IFERROR(__xludf.DUMMYFUNCTION("""COMPUTED_VALUE"""),3140.0)</f>
        <v>3140</v>
      </c>
      <c r="D1743" s="1">
        <f>IFERROR(__xludf.DUMMYFUNCTION("""COMPUTED_VALUE"""),3000.0)</f>
        <v>3000</v>
      </c>
      <c r="E1743" s="1">
        <f>IFERROR(__xludf.DUMMYFUNCTION("""COMPUTED_VALUE"""),3030.0)</f>
        <v>3030</v>
      </c>
      <c r="F1743" s="1">
        <f>IFERROR(__xludf.DUMMYFUNCTION("""COMPUTED_VALUE"""),47218.0)</f>
        <v>47218</v>
      </c>
    </row>
    <row r="1744">
      <c r="A1744" s="2">
        <f>IFERROR(__xludf.DUMMYFUNCTION("""COMPUTED_VALUE"""),43782.64583333333)</f>
        <v>43782.64583</v>
      </c>
      <c r="B1744" s="1">
        <f>IFERROR(__xludf.DUMMYFUNCTION("""COMPUTED_VALUE"""),3030.0)</f>
        <v>3030</v>
      </c>
      <c r="C1744" s="1">
        <f>IFERROR(__xludf.DUMMYFUNCTION("""COMPUTED_VALUE"""),3050.0)</f>
        <v>3050</v>
      </c>
      <c r="D1744" s="1">
        <f>IFERROR(__xludf.DUMMYFUNCTION("""COMPUTED_VALUE"""),2880.0)</f>
        <v>2880</v>
      </c>
      <c r="E1744" s="1">
        <f>IFERROR(__xludf.DUMMYFUNCTION("""COMPUTED_VALUE"""),2900.0)</f>
        <v>2900</v>
      </c>
      <c r="F1744" s="1">
        <f>IFERROR(__xludf.DUMMYFUNCTION("""COMPUTED_VALUE"""),89039.0)</f>
        <v>89039</v>
      </c>
    </row>
    <row r="1745">
      <c r="A1745" s="2">
        <f>IFERROR(__xludf.DUMMYFUNCTION("""COMPUTED_VALUE"""),43783.6875)</f>
        <v>43783.6875</v>
      </c>
      <c r="B1745" s="1">
        <f>IFERROR(__xludf.DUMMYFUNCTION("""COMPUTED_VALUE"""),2930.0)</f>
        <v>2930</v>
      </c>
      <c r="C1745" s="1">
        <f>IFERROR(__xludf.DUMMYFUNCTION("""COMPUTED_VALUE"""),2930.0)</f>
        <v>2930</v>
      </c>
      <c r="D1745" s="1">
        <f>IFERROR(__xludf.DUMMYFUNCTION("""COMPUTED_VALUE"""),2815.0)</f>
        <v>2815</v>
      </c>
      <c r="E1745" s="1">
        <f>IFERROR(__xludf.DUMMYFUNCTION("""COMPUTED_VALUE"""),2835.0)</f>
        <v>2835</v>
      </c>
      <c r="F1745" s="1">
        <f>IFERROR(__xludf.DUMMYFUNCTION("""COMPUTED_VALUE"""),52822.0)</f>
        <v>52822</v>
      </c>
    </row>
    <row r="1746">
      <c r="A1746" s="2">
        <f>IFERROR(__xludf.DUMMYFUNCTION("""COMPUTED_VALUE"""),43784.64583333333)</f>
        <v>43784.64583</v>
      </c>
      <c r="B1746" s="1">
        <f>IFERROR(__xludf.DUMMYFUNCTION("""COMPUTED_VALUE"""),2835.0)</f>
        <v>2835</v>
      </c>
      <c r="C1746" s="1">
        <f>IFERROR(__xludf.DUMMYFUNCTION("""COMPUTED_VALUE"""),2850.0)</f>
        <v>2850</v>
      </c>
      <c r="D1746" s="1">
        <f>IFERROR(__xludf.DUMMYFUNCTION("""COMPUTED_VALUE"""),2695.0)</f>
        <v>2695</v>
      </c>
      <c r="E1746" s="1">
        <f>IFERROR(__xludf.DUMMYFUNCTION("""COMPUTED_VALUE"""),2835.0)</f>
        <v>2835</v>
      </c>
      <c r="F1746" s="1">
        <f>IFERROR(__xludf.DUMMYFUNCTION("""COMPUTED_VALUE"""),123547.0)</f>
        <v>123547</v>
      </c>
    </row>
    <row r="1747">
      <c r="A1747" s="2">
        <f>IFERROR(__xludf.DUMMYFUNCTION("""COMPUTED_VALUE"""),43787.64583333333)</f>
        <v>43787.64583</v>
      </c>
      <c r="B1747" s="1">
        <f>IFERROR(__xludf.DUMMYFUNCTION("""COMPUTED_VALUE"""),2700.0)</f>
        <v>2700</v>
      </c>
      <c r="C1747" s="1">
        <f>IFERROR(__xludf.DUMMYFUNCTION("""COMPUTED_VALUE"""),2780.0)</f>
        <v>2780</v>
      </c>
      <c r="D1747" s="1">
        <f>IFERROR(__xludf.DUMMYFUNCTION("""COMPUTED_VALUE"""),2650.0)</f>
        <v>2650</v>
      </c>
      <c r="E1747" s="1">
        <f>IFERROR(__xludf.DUMMYFUNCTION("""COMPUTED_VALUE"""),2695.0)</f>
        <v>2695</v>
      </c>
      <c r="F1747" s="1">
        <f>IFERROR(__xludf.DUMMYFUNCTION("""COMPUTED_VALUE"""),158580.0)</f>
        <v>158580</v>
      </c>
    </row>
    <row r="1748">
      <c r="A1748" s="2">
        <f>IFERROR(__xludf.DUMMYFUNCTION("""COMPUTED_VALUE"""),43788.64583333333)</f>
        <v>43788.64583</v>
      </c>
      <c r="B1748" s="1">
        <f>IFERROR(__xludf.DUMMYFUNCTION("""COMPUTED_VALUE"""),2715.0)</f>
        <v>2715</v>
      </c>
      <c r="C1748" s="1">
        <f>IFERROR(__xludf.DUMMYFUNCTION("""COMPUTED_VALUE"""),2715.0)</f>
        <v>2715</v>
      </c>
      <c r="D1748" s="1">
        <f>IFERROR(__xludf.DUMMYFUNCTION("""COMPUTED_VALUE"""),2575.0)</f>
        <v>2575</v>
      </c>
      <c r="E1748" s="1">
        <f>IFERROR(__xludf.DUMMYFUNCTION("""COMPUTED_VALUE"""),2635.0)</f>
        <v>2635</v>
      </c>
      <c r="F1748" s="1">
        <f>IFERROR(__xludf.DUMMYFUNCTION("""COMPUTED_VALUE"""),89408.0)</f>
        <v>89408</v>
      </c>
    </row>
    <row r="1749">
      <c r="A1749" s="2">
        <f>IFERROR(__xludf.DUMMYFUNCTION("""COMPUTED_VALUE"""),43789.64583333333)</f>
        <v>43789.64583</v>
      </c>
      <c r="B1749" s="1">
        <f>IFERROR(__xludf.DUMMYFUNCTION("""COMPUTED_VALUE"""),2635.0)</f>
        <v>2635</v>
      </c>
      <c r="C1749" s="1">
        <f>IFERROR(__xludf.DUMMYFUNCTION("""COMPUTED_VALUE"""),2640.0)</f>
        <v>2640</v>
      </c>
      <c r="D1749" s="1">
        <f>IFERROR(__xludf.DUMMYFUNCTION("""COMPUTED_VALUE"""),2570.0)</f>
        <v>2570</v>
      </c>
      <c r="E1749" s="1">
        <f>IFERROR(__xludf.DUMMYFUNCTION("""COMPUTED_VALUE"""),2640.0)</f>
        <v>2640</v>
      </c>
      <c r="F1749" s="1">
        <f>IFERROR(__xludf.DUMMYFUNCTION("""COMPUTED_VALUE"""),76257.0)</f>
        <v>76257</v>
      </c>
    </row>
    <row r="1750">
      <c r="A1750" s="2">
        <f>IFERROR(__xludf.DUMMYFUNCTION("""COMPUTED_VALUE"""),43790.64583333333)</f>
        <v>43790.64583</v>
      </c>
      <c r="B1750" s="1">
        <f>IFERROR(__xludf.DUMMYFUNCTION("""COMPUTED_VALUE"""),2670.0)</f>
        <v>2670</v>
      </c>
      <c r="C1750" s="1">
        <f>IFERROR(__xludf.DUMMYFUNCTION("""COMPUTED_VALUE"""),2670.0)</f>
        <v>2670</v>
      </c>
      <c r="D1750" s="1">
        <f>IFERROR(__xludf.DUMMYFUNCTION("""COMPUTED_VALUE"""),2570.0)</f>
        <v>2570</v>
      </c>
      <c r="E1750" s="1">
        <f>IFERROR(__xludf.DUMMYFUNCTION("""COMPUTED_VALUE"""),2575.0)</f>
        <v>2575</v>
      </c>
      <c r="F1750" s="1">
        <f>IFERROR(__xludf.DUMMYFUNCTION("""COMPUTED_VALUE"""),35341.0)</f>
        <v>35341</v>
      </c>
    </row>
    <row r="1751">
      <c r="A1751" s="2">
        <f>IFERROR(__xludf.DUMMYFUNCTION("""COMPUTED_VALUE"""),43791.64583333333)</f>
        <v>43791.64583</v>
      </c>
      <c r="B1751" s="1">
        <f>IFERROR(__xludf.DUMMYFUNCTION("""COMPUTED_VALUE"""),2580.0)</f>
        <v>2580</v>
      </c>
      <c r="C1751" s="1">
        <f>IFERROR(__xludf.DUMMYFUNCTION("""COMPUTED_VALUE"""),2650.0)</f>
        <v>2650</v>
      </c>
      <c r="D1751" s="1">
        <f>IFERROR(__xludf.DUMMYFUNCTION("""COMPUTED_VALUE"""),2500.0)</f>
        <v>2500</v>
      </c>
      <c r="E1751" s="1">
        <f>IFERROR(__xludf.DUMMYFUNCTION("""COMPUTED_VALUE"""),2525.0)</f>
        <v>2525</v>
      </c>
      <c r="F1751" s="1">
        <f>IFERROR(__xludf.DUMMYFUNCTION("""COMPUTED_VALUE"""),63426.0)</f>
        <v>63426</v>
      </c>
    </row>
    <row r="1752">
      <c r="A1752" s="2">
        <f>IFERROR(__xludf.DUMMYFUNCTION("""COMPUTED_VALUE"""),43794.64583333333)</f>
        <v>43794.64583</v>
      </c>
      <c r="B1752" s="1">
        <f>IFERROR(__xludf.DUMMYFUNCTION("""COMPUTED_VALUE"""),2475.0)</f>
        <v>2475</v>
      </c>
      <c r="C1752" s="1">
        <f>IFERROR(__xludf.DUMMYFUNCTION("""COMPUTED_VALUE"""),2600.0)</f>
        <v>2600</v>
      </c>
      <c r="D1752" s="1">
        <f>IFERROR(__xludf.DUMMYFUNCTION("""COMPUTED_VALUE"""),2475.0)</f>
        <v>2475</v>
      </c>
      <c r="E1752" s="1">
        <f>IFERROR(__xludf.DUMMYFUNCTION("""COMPUTED_VALUE"""),2520.0)</f>
        <v>2520</v>
      </c>
      <c r="F1752" s="1">
        <f>IFERROR(__xludf.DUMMYFUNCTION("""COMPUTED_VALUE"""),45111.0)</f>
        <v>45111</v>
      </c>
    </row>
    <row r="1753">
      <c r="A1753" s="2">
        <f>IFERROR(__xludf.DUMMYFUNCTION("""COMPUTED_VALUE"""),43795.64583333333)</f>
        <v>43795.64583</v>
      </c>
      <c r="B1753" s="1">
        <f>IFERROR(__xludf.DUMMYFUNCTION("""COMPUTED_VALUE"""),2520.0)</f>
        <v>2520</v>
      </c>
      <c r="C1753" s="1">
        <f>IFERROR(__xludf.DUMMYFUNCTION("""COMPUTED_VALUE"""),2610.0)</f>
        <v>2610</v>
      </c>
      <c r="D1753" s="1">
        <f>IFERROR(__xludf.DUMMYFUNCTION("""COMPUTED_VALUE"""),2520.0)</f>
        <v>2520</v>
      </c>
      <c r="E1753" s="1">
        <f>IFERROR(__xludf.DUMMYFUNCTION("""COMPUTED_VALUE"""),2585.0)</f>
        <v>2585</v>
      </c>
      <c r="F1753" s="1">
        <f>IFERROR(__xludf.DUMMYFUNCTION("""COMPUTED_VALUE"""),36312.0)</f>
        <v>36312</v>
      </c>
    </row>
    <row r="1754">
      <c r="A1754" s="2">
        <f>IFERROR(__xludf.DUMMYFUNCTION("""COMPUTED_VALUE"""),43796.64583333333)</f>
        <v>43796.64583</v>
      </c>
      <c r="B1754" s="1">
        <f>IFERROR(__xludf.DUMMYFUNCTION("""COMPUTED_VALUE"""),2605.0)</f>
        <v>2605</v>
      </c>
      <c r="C1754" s="1">
        <f>IFERROR(__xludf.DUMMYFUNCTION("""COMPUTED_VALUE"""),2605.0)</f>
        <v>2605</v>
      </c>
      <c r="D1754" s="1">
        <f>IFERROR(__xludf.DUMMYFUNCTION("""COMPUTED_VALUE"""),2490.0)</f>
        <v>2490</v>
      </c>
      <c r="E1754" s="1">
        <f>IFERROR(__xludf.DUMMYFUNCTION("""COMPUTED_VALUE"""),2515.0)</f>
        <v>2515</v>
      </c>
      <c r="F1754" s="1">
        <f>IFERROR(__xludf.DUMMYFUNCTION("""COMPUTED_VALUE"""),59016.0)</f>
        <v>59016</v>
      </c>
    </row>
    <row r="1755">
      <c r="A1755" s="2">
        <f>IFERROR(__xludf.DUMMYFUNCTION("""COMPUTED_VALUE"""),43797.64583333333)</f>
        <v>43797.64583</v>
      </c>
      <c r="B1755" s="1">
        <f>IFERROR(__xludf.DUMMYFUNCTION("""COMPUTED_VALUE"""),2535.0)</f>
        <v>2535</v>
      </c>
      <c r="C1755" s="1">
        <f>IFERROR(__xludf.DUMMYFUNCTION("""COMPUTED_VALUE"""),2585.0)</f>
        <v>2585</v>
      </c>
      <c r="D1755" s="1">
        <f>IFERROR(__xludf.DUMMYFUNCTION("""COMPUTED_VALUE"""),2485.0)</f>
        <v>2485</v>
      </c>
      <c r="E1755" s="1">
        <f>IFERROR(__xludf.DUMMYFUNCTION("""COMPUTED_VALUE"""),2520.0)</f>
        <v>2520</v>
      </c>
      <c r="F1755" s="1">
        <f>IFERROR(__xludf.DUMMYFUNCTION("""COMPUTED_VALUE"""),38760.0)</f>
        <v>38760</v>
      </c>
    </row>
    <row r="1756">
      <c r="A1756" s="2">
        <f>IFERROR(__xludf.DUMMYFUNCTION("""COMPUTED_VALUE"""),43798.64583333333)</f>
        <v>43798.64583</v>
      </c>
      <c r="B1756" s="1">
        <f>IFERROR(__xludf.DUMMYFUNCTION("""COMPUTED_VALUE"""),2505.0)</f>
        <v>2505</v>
      </c>
      <c r="C1756" s="1">
        <f>IFERROR(__xludf.DUMMYFUNCTION("""COMPUTED_VALUE"""),2550.0)</f>
        <v>2550</v>
      </c>
      <c r="D1756" s="1">
        <f>IFERROR(__xludf.DUMMYFUNCTION("""COMPUTED_VALUE"""),2440.0)</f>
        <v>2440</v>
      </c>
      <c r="E1756" s="1">
        <f>IFERROR(__xludf.DUMMYFUNCTION("""COMPUTED_VALUE"""),2460.0)</f>
        <v>2460</v>
      </c>
      <c r="F1756" s="1">
        <f>IFERROR(__xludf.DUMMYFUNCTION("""COMPUTED_VALUE"""),63883.0)</f>
        <v>63883</v>
      </c>
    </row>
    <row r="1757">
      <c r="A1757" s="2">
        <f>IFERROR(__xludf.DUMMYFUNCTION("""COMPUTED_VALUE"""),43801.64583333333)</f>
        <v>43801.64583</v>
      </c>
      <c r="B1757" s="1">
        <f>IFERROR(__xludf.DUMMYFUNCTION("""COMPUTED_VALUE"""),2415.0)</f>
        <v>2415</v>
      </c>
      <c r="C1757" s="1">
        <f>IFERROR(__xludf.DUMMYFUNCTION("""COMPUTED_VALUE"""),2630.0)</f>
        <v>2630</v>
      </c>
      <c r="D1757" s="1">
        <f>IFERROR(__xludf.DUMMYFUNCTION("""COMPUTED_VALUE"""),2350.0)</f>
        <v>2350</v>
      </c>
      <c r="E1757" s="1">
        <f>IFERROR(__xludf.DUMMYFUNCTION("""COMPUTED_VALUE"""),2500.0)</f>
        <v>2500</v>
      </c>
      <c r="F1757" s="1">
        <f>IFERROR(__xludf.DUMMYFUNCTION("""COMPUTED_VALUE"""),51392.0)</f>
        <v>51392</v>
      </c>
    </row>
    <row r="1758">
      <c r="A1758" s="2">
        <f>IFERROR(__xludf.DUMMYFUNCTION("""COMPUTED_VALUE"""),43802.64583333333)</f>
        <v>43802.64583</v>
      </c>
      <c r="B1758" s="1">
        <f>IFERROR(__xludf.DUMMYFUNCTION("""COMPUTED_VALUE"""),2505.0)</f>
        <v>2505</v>
      </c>
      <c r="C1758" s="1">
        <f>IFERROR(__xludf.DUMMYFUNCTION("""COMPUTED_VALUE"""),2525.0)</f>
        <v>2525</v>
      </c>
      <c r="D1758" s="1">
        <f>IFERROR(__xludf.DUMMYFUNCTION("""COMPUTED_VALUE"""),2460.0)</f>
        <v>2460</v>
      </c>
      <c r="E1758" s="1">
        <f>IFERROR(__xludf.DUMMYFUNCTION("""COMPUTED_VALUE"""),2520.0)</f>
        <v>2520</v>
      </c>
      <c r="F1758" s="1">
        <f>IFERROR(__xludf.DUMMYFUNCTION("""COMPUTED_VALUE"""),25767.0)</f>
        <v>25767</v>
      </c>
    </row>
    <row r="1759">
      <c r="A1759" s="2">
        <f>IFERROR(__xludf.DUMMYFUNCTION("""COMPUTED_VALUE"""),43803.64583333333)</f>
        <v>43803.64583</v>
      </c>
      <c r="B1759" s="1">
        <f>IFERROR(__xludf.DUMMYFUNCTION("""COMPUTED_VALUE"""),2490.0)</f>
        <v>2490</v>
      </c>
      <c r="C1759" s="1">
        <f>IFERROR(__xludf.DUMMYFUNCTION("""COMPUTED_VALUE"""),2525.0)</f>
        <v>2525</v>
      </c>
      <c r="D1759" s="1">
        <f>IFERROR(__xludf.DUMMYFUNCTION("""COMPUTED_VALUE"""),2485.0)</f>
        <v>2485</v>
      </c>
      <c r="E1759" s="1">
        <f>IFERROR(__xludf.DUMMYFUNCTION("""COMPUTED_VALUE"""),2520.0)</f>
        <v>2520</v>
      </c>
      <c r="F1759" s="1">
        <f>IFERROR(__xludf.DUMMYFUNCTION("""COMPUTED_VALUE"""),9938.0)</f>
        <v>9938</v>
      </c>
    </row>
    <row r="1760">
      <c r="A1760" s="2">
        <f>IFERROR(__xludf.DUMMYFUNCTION("""COMPUTED_VALUE"""),43804.64583333333)</f>
        <v>43804.64583</v>
      </c>
      <c r="B1760" s="1">
        <f>IFERROR(__xludf.DUMMYFUNCTION("""COMPUTED_VALUE"""),2520.0)</f>
        <v>2520</v>
      </c>
      <c r="C1760" s="1">
        <f>IFERROR(__xludf.DUMMYFUNCTION("""COMPUTED_VALUE"""),2560.0)</f>
        <v>2560</v>
      </c>
      <c r="D1760" s="1">
        <f>IFERROR(__xludf.DUMMYFUNCTION("""COMPUTED_VALUE"""),2465.0)</f>
        <v>2465</v>
      </c>
      <c r="E1760" s="1">
        <f>IFERROR(__xludf.DUMMYFUNCTION("""COMPUTED_VALUE"""),2525.0)</f>
        <v>2525</v>
      </c>
      <c r="F1760" s="1">
        <f>IFERROR(__xludf.DUMMYFUNCTION("""COMPUTED_VALUE"""),12175.0)</f>
        <v>12175</v>
      </c>
    </row>
    <row r="1761">
      <c r="A1761" s="2">
        <f>IFERROR(__xludf.DUMMYFUNCTION("""COMPUTED_VALUE"""),43805.64583333333)</f>
        <v>43805.64583</v>
      </c>
      <c r="B1761" s="1">
        <f>IFERROR(__xludf.DUMMYFUNCTION("""COMPUTED_VALUE"""),2545.0)</f>
        <v>2545</v>
      </c>
      <c r="C1761" s="1">
        <f>IFERROR(__xludf.DUMMYFUNCTION("""COMPUTED_VALUE"""),2545.0)</f>
        <v>2545</v>
      </c>
      <c r="D1761" s="1">
        <f>IFERROR(__xludf.DUMMYFUNCTION("""COMPUTED_VALUE"""),2490.0)</f>
        <v>2490</v>
      </c>
      <c r="E1761" s="1">
        <f>IFERROR(__xludf.DUMMYFUNCTION("""COMPUTED_VALUE"""),2525.0)</f>
        <v>2525</v>
      </c>
      <c r="F1761" s="1">
        <f>IFERROR(__xludf.DUMMYFUNCTION("""COMPUTED_VALUE"""),13301.0)</f>
        <v>13301</v>
      </c>
    </row>
    <row r="1762">
      <c r="A1762" s="2">
        <f>IFERROR(__xludf.DUMMYFUNCTION("""COMPUTED_VALUE"""),43808.64583333333)</f>
        <v>43808.64583</v>
      </c>
      <c r="B1762" s="1">
        <f>IFERROR(__xludf.DUMMYFUNCTION("""COMPUTED_VALUE"""),2540.0)</f>
        <v>2540</v>
      </c>
      <c r="C1762" s="1">
        <f>IFERROR(__xludf.DUMMYFUNCTION("""COMPUTED_VALUE"""),2550.0)</f>
        <v>2550</v>
      </c>
      <c r="D1762" s="1">
        <f>IFERROR(__xludf.DUMMYFUNCTION("""COMPUTED_VALUE"""),2505.0)</f>
        <v>2505</v>
      </c>
      <c r="E1762" s="1">
        <f>IFERROR(__xludf.DUMMYFUNCTION("""COMPUTED_VALUE"""),2510.0)</f>
        <v>2510</v>
      </c>
      <c r="F1762" s="1">
        <f>IFERROR(__xludf.DUMMYFUNCTION("""COMPUTED_VALUE"""),28884.0)</f>
        <v>28884</v>
      </c>
    </row>
    <row r="1763">
      <c r="A1763" s="2">
        <f>IFERROR(__xludf.DUMMYFUNCTION("""COMPUTED_VALUE"""),43809.64583333333)</f>
        <v>43809.64583</v>
      </c>
      <c r="B1763" s="1">
        <f>IFERROR(__xludf.DUMMYFUNCTION("""COMPUTED_VALUE"""),2510.0)</f>
        <v>2510</v>
      </c>
      <c r="C1763" s="1">
        <f>IFERROR(__xludf.DUMMYFUNCTION("""COMPUTED_VALUE"""),2550.0)</f>
        <v>2550</v>
      </c>
      <c r="D1763" s="1">
        <f>IFERROR(__xludf.DUMMYFUNCTION("""COMPUTED_VALUE"""),2355.0)</f>
        <v>2355</v>
      </c>
      <c r="E1763" s="1">
        <f>IFERROR(__xludf.DUMMYFUNCTION("""COMPUTED_VALUE"""),2400.0)</f>
        <v>2400</v>
      </c>
      <c r="F1763" s="1">
        <f>IFERROR(__xludf.DUMMYFUNCTION("""COMPUTED_VALUE"""),69907.0)</f>
        <v>69907</v>
      </c>
    </row>
    <row r="1764">
      <c r="A1764" s="2">
        <f>IFERROR(__xludf.DUMMYFUNCTION("""COMPUTED_VALUE"""),43810.64583333333)</f>
        <v>43810.64583</v>
      </c>
      <c r="B1764" s="1">
        <f>IFERROR(__xludf.DUMMYFUNCTION("""COMPUTED_VALUE"""),2400.0)</f>
        <v>2400</v>
      </c>
      <c r="C1764" s="1">
        <f>IFERROR(__xludf.DUMMYFUNCTION("""COMPUTED_VALUE"""),2445.0)</f>
        <v>2445</v>
      </c>
      <c r="D1764" s="1">
        <f>IFERROR(__xludf.DUMMYFUNCTION("""COMPUTED_VALUE"""),2350.0)</f>
        <v>2350</v>
      </c>
      <c r="E1764" s="1">
        <f>IFERROR(__xludf.DUMMYFUNCTION("""COMPUTED_VALUE"""),2375.0)</f>
        <v>2375</v>
      </c>
      <c r="F1764" s="1">
        <f>IFERROR(__xludf.DUMMYFUNCTION("""COMPUTED_VALUE"""),30434.0)</f>
        <v>30434</v>
      </c>
    </row>
    <row r="1765">
      <c r="A1765" s="2">
        <f>IFERROR(__xludf.DUMMYFUNCTION("""COMPUTED_VALUE"""),43811.64583333333)</f>
        <v>43811.64583</v>
      </c>
      <c r="B1765" s="1">
        <f>IFERROR(__xludf.DUMMYFUNCTION("""COMPUTED_VALUE"""),2400.0)</f>
        <v>2400</v>
      </c>
      <c r="C1765" s="1">
        <f>IFERROR(__xludf.DUMMYFUNCTION("""COMPUTED_VALUE"""),2400.0)</f>
        <v>2400</v>
      </c>
      <c r="D1765" s="1">
        <f>IFERROR(__xludf.DUMMYFUNCTION("""COMPUTED_VALUE"""),2325.0)</f>
        <v>2325</v>
      </c>
      <c r="E1765" s="1">
        <f>IFERROR(__xludf.DUMMYFUNCTION("""COMPUTED_VALUE"""),2365.0)</f>
        <v>2365</v>
      </c>
      <c r="F1765" s="1">
        <f>IFERROR(__xludf.DUMMYFUNCTION("""COMPUTED_VALUE"""),72342.0)</f>
        <v>72342</v>
      </c>
    </row>
    <row r="1766">
      <c r="A1766" s="2">
        <f>IFERROR(__xludf.DUMMYFUNCTION("""COMPUTED_VALUE"""),43815.64583333333)</f>
        <v>43815.64583</v>
      </c>
      <c r="B1766" s="1">
        <f>IFERROR(__xludf.DUMMYFUNCTION("""COMPUTED_VALUE"""),2440.0)</f>
        <v>2440</v>
      </c>
      <c r="C1766" s="1">
        <f>IFERROR(__xludf.DUMMYFUNCTION("""COMPUTED_VALUE"""),2440.0)</f>
        <v>2440</v>
      </c>
      <c r="D1766" s="1">
        <f>IFERROR(__xludf.DUMMYFUNCTION("""COMPUTED_VALUE"""),2315.0)</f>
        <v>2315</v>
      </c>
      <c r="E1766" s="1">
        <f>IFERROR(__xludf.DUMMYFUNCTION("""COMPUTED_VALUE"""),2350.0)</f>
        <v>2350</v>
      </c>
      <c r="F1766" s="1">
        <f>IFERROR(__xludf.DUMMYFUNCTION("""COMPUTED_VALUE"""),64722.0)</f>
        <v>64722</v>
      </c>
    </row>
    <row r="1767">
      <c r="A1767" s="2">
        <f>IFERROR(__xludf.DUMMYFUNCTION("""COMPUTED_VALUE"""),43816.64583333333)</f>
        <v>43816.64583</v>
      </c>
      <c r="B1767" s="1">
        <f>IFERROR(__xludf.DUMMYFUNCTION("""COMPUTED_VALUE"""),2240.0)</f>
        <v>2240</v>
      </c>
      <c r="C1767" s="1">
        <f>IFERROR(__xludf.DUMMYFUNCTION("""COMPUTED_VALUE"""),2395.0)</f>
        <v>2395</v>
      </c>
      <c r="D1767" s="1">
        <f>IFERROR(__xludf.DUMMYFUNCTION("""COMPUTED_VALUE"""),2240.0)</f>
        <v>2240</v>
      </c>
      <c r="E1767" s="1">
        <f>IFERROR(__xludf.DUMMYFUNCTION("""COMPUTED_VALUE"""),2365.0)</f>
        <v>2365</v>
      </c>
      <c r="F1767" s="1">
        <f>IFERROR(__xludf.DUMMYFUNCTION("""COMPUTED_VALUE"""),46996.0)</f>
        <v>46996</v>
      </c>
    </row>
    <row r="1768">
      <c r="A1768" s="2">
        <f>IFERROR(__xludf.DUMMYFUNCTION("""COMPUTED_VALUE"""),43817.64583333333)</f>
        <v>43817.64583</v>
      </c>
      <c r="B1768" s="1">
        <f>IFERROR(__xludf.DUMMYFUNCTION("""COMPUTED_VALUE"""),2390.0)</f>
        <v>2390</v>
      </c>
      <c r="C1768" s="1">
        <f>IFERROR(__xludf.DUMMYFUNCTION("""COMPUTED_VALUE"""),2390.0)</f>
        <v>2390</v>
      </c>
      <c r="D1768" s="1">
        <f>IFERROR(__xludf.DUMMYFUNCTION("""COMPUTED_VALUE"""),2340.0)</f>
        <v>2340</v>
      </c>
      <c r="E1768" s="1">
        <f>IFERROR(__xludf.DUMMYFUNCTION("""COMPUTED_VALUE"""),2365.0)</f>
        <v>2365</v>
      </c>
      <c r="F1768" s="1">
        <f>IFERROR(__xludf.DUMMYFUNCTION("""COMPUTED_VALUE"""),42496.0)</f>
        <v>42496</v>
      </c>
    </row>
    <row r="1769">
      <c r="A1769" s="2">
        <f>IFERROR(__xludf.DUMMYFUNCTION("""COMPUTED_VALUE"""),43818.64583333333)</f>
        <v>43818.64583</v>
      </c>
      <c r="B1769" s="1">
        <f>IFERROR(__xludf.DUMMYFUNCTION("""COMPUTED_VALUE"""),2385.0)</f>
        <v>2385</v>
      </c>
      <c r="C1769" s="1">
        <f>IFERROR(__xludf.DUMMYFUNCTION("""COMPUTED_VALUE"""),2385.0)</f>
        <v>2385</v>
      </c>
      <c r="D1769" s="1">
        <f>IFERROR(__xludf.DUMMYFUNCTION("""COMPUTED_VALUE"""),2310.0)</f>
        <v>2310</v>
      </c>
      <c r="E1769" s="1">
        <f>IFERROR(__xludf.DUMMYFUNCTION("""COMPUTED_VALUE"""),2335.0)</f>
        <v>2335</v>
      </c>
      <c r="F1769" s="1">
        <f>IFERROR(__xludf.DUMMYFUNCTION("""COMPUTED_VALUE"""),22452.0)</f>
        <v>22452</v>
      </c>
    </row>
    <row r="1770">
      <c r="A1770" s="2">
        <f>IFERROR(__xludf.DUMMYFUNCTION("""COMPUTED_VALUE"""),43819.64583333333)</f>
        <v>43819.64583</v>
      </c>
      <c r="B1770" s="1">
        <f>IFERROR(__xludf.DUMMYFUNCTION("""COMPUTED_VALUE"""),2335.0)</f>
        <v>2335</v>
      </c>
      <c r="C1770" s="1">
        <f>IFERROR(__xludf.DUMMYFUNCTION("""COMPUTED_VALUE"""),2350.0)</f>
        <v>2350</v>
      </c>
      <c r="D1770" s="1">
        <f>IFERROR(__xludf.DUMMYFUNCTION("""COMPUTED_VALUE"""),2310.0)</f>
        <v>2310</v>
      </c>
      <c r="E1770" s="1">
        <f>IFERROR(__xludf.DUMMYFUNCTION("""COMPUTED_VALUE"""),2325.0)</f>
        <v>2325</v>
      </c>
      <c r="F1770" s="1">
        <f>IFERROR(__xludf.DUMMYFUNCTION("""COMPUTED_VALUE"""),10937.0)</f>
        <v>10937</v>
      </c>
    </row>
    <row r="1771">
      <c r="A1771" s="2">
        <f>IFERROR(__xludf.DUMMYFUNCTION("""COMPUTED_VALUE"""),43822.64583333333)</f>
        <v>43822.64583</v>
      </c>
      <c r="B1771" s="1">
        <f>IFERROR(__xludf.DUMMYFUNCTION("""COMPUTED_VALUE"""),2350.0)</f>
        <v>2350</v>
      </c>
      <c r="C1771" s="1">
        <f>IFERROR(__xludf.DUMMYFUNCTION("""COMPUTED_VALUE"""),2350.0)</f>
        <v>2350</v>
      </c>
      <c r="D1771" s="1">
        <f>IFERROR(__xludf.DUMMYFUNCTION("""COMPUTED_VALUE"""),2215.0)</f>
        <v>2215</v>
      </c>
      <c r="E1771" s="1">
        <f>IFERROR(__xludf.DUMMYFUNCTION("""COMPUTED_VALUE"""),2215.0)</f>
        <v>2215</v>
      </c>
      <c r="F1771" s="1">
        <f>IFERROR(__xludf.DUMMYFUNCTION("""COMPUTED_VALUE"""),54771.0)</f>
        <v>54771</v>
      </c>
    </row>
    <row r="1772">
      <c r="A1772" s="2">
        <f>IFERROR(__xludf.DUMMYFUNCTION("""COMPUTED_VALUE"""),43823.64583333333)</f>
        <v>43823.64583</v>
      </c>
      <c r="B1772" s="1">
        <f>IFERROR(__xludf.DUMMYFUNCTION("""COMPUTED_VALUE"""),2155.0)</f>
        <v>2155</v>
      </c>
      <c r="C1772" s="1">
        <f>IFERROR(__xludf.DUMMYFUNCTION("""COMPUTED_VALUE"""),2250.0)</f>
        <v>2250</v>
      </c>
      <c r="D1772" s="1">
        <f>IFERROR(__xludf.DUMMYFUNCTION("""COMPUTED_VALUE"""),2065.0)</f>
        <v>2065</v>
      </c>
      <c r="E1772" s="1">
        <f>IFERROR(__xludf.DUMMYFUNCTION("""COMPUTED_VALUE"""),2185.0)</f>
        <v>2185</v>
      </c>
      <c r="F1772" s="1">
        <f>IFERROR(__xludf.DUMMYFUNCTION("""COMPUTED_VALUE"""),185867.0)</f>
        <v>185867</v>
      </c>
    </row>
    <row r="1773">
      <c r="A1773" s="2">
        <f>IFERROR(__xludf.DUMMYFUNCTION("""COMPUTED_VALUE"""),43825.64583333333)</f>
        <v>43825.64583</v>
      </c>
      <c r="B1773" s="1">
        <f>IFERROR(__xludf.DUMMYFUNCTION("""COMPUTED_VALUE"""),2215.0)</f>
        <v>2215</v>
      </c>
      <c r="C1773" s="1">
        <f>IFERROR(__xludf.DUMMYFUNCTION("""COMPUTED_VALUE"""),2355.0)</f>
        <v>2355</v>
      </c>
      <c r="D1773" s="1">
        <f>IFERROR(__xludf.DUMMYFUNCTION("""COMPUTED_VALUE"""),2215.0)</f>
        <v>2215</v>
      </c>
      <c r="E1773" s="1">
        <f>IFERROR(__xludf.DUMMYFUNCTION("""COMPUTED_VALUE"""),2320.0)</f>
        <v>2320</v>
      </c>
      <c r="F1773" s="1">
        <f>IFERROR(__xludf.DUMMYFUNCTION("""COMPUTED_VALUE"""),71100.0)</f>
        <v>71100</v>
      </c>
    </row>
    <row r="1774">
      <c r="A1774" s="2">
        <f>IFERROR(__xludf.DUMMYFUNCTION("""COMPUTED_VALUE"""),43826.64583333333)</f>
        <v>43826.64583</v>
      </c>
      <c r="B1774" s="1">
        <f>IFERROR(__xludf.DUMMYFUNCTION("""COMPUTED_VALUE"""),2325.0)</f>
        <v>2325</v>
      </c>
      <c r="C1774" s="1">
        <f>IFERROR(__xludf.DUMMYFUNCTION("""COMPUTED_VALUE"""),2350.0)</f>
        <v>2350</v>
      </c>
      <c r="D1774" s="1">
        <f>IFERROR(__xludf.DUMMYFUNCTION("""COMPUTED_VALUE"""),2280.0)</f>
        <v>2280</v>
      </c>
      <c r="E1774" s="1">
        <f>IFERROR(__xludf.DUMMYFUNCTION("""COMPUTED_VALUE"""),2345.0)</f>
        <v>2345</v>
      </c>
      <c r="F1774" s="1">
        <f>IFERROR(__xludf.DUMMYFUNCTION("""COMPUTED_VALUE"""),24334.0)</f>
        <v>24334</v>
      </c>
    </row>
    <row r="1775">
      <c r="A1775" s="2">
        <f>IFERROR(__xludf.DUMMYFUNCTION("""COMPUTED_VALUE"""),43829.64583333333)</f>
        <v>43829.64583</v>
      </c>
      <c r="B1775" s="1">
        <f>IFERROR(__xludf.DUMMYFUNCTION("""COMPUTED_VALUE"""),2345.0)</f>
        <v>2345</v>
      </c>
      <c r="C1775" s="1">
        <f>IFERROR(__xludf.DUMMYFUNCTION("""COMPUTED_VALUE"""),2365.0)</f>
        <v>2365</v>
      </c>
      <c r="D1775" s="1">
        <f>IFERROR(__xludf.DUMMYFUNCTION("""COMPUTED_VALUE"""),2325.0)</f>
        <v>2325</v>
      </c>
      <c r="E1775" s="1">
        <f>IFERROR(__xludf.DUMMYFUNCTION("""COMPUTED_VALUE"""),2345.0)</f>
        <v>2345</v>
      </c>
      <c r="F1775" s="1">
        <f>IFERROR(__xludf.DUMMYFUNCTION("""COMPUTED_VALUE"""),20849.0)</f>
        <v>20849</v>
      </c>
    </row>
    <row r="1776">
      <c r="A1776" s="2">
        <f>IFERROR(__xludf.DUMMYFUNCTION("""COMPUTED_VALUE"""),43832.64583333333)</f>
        <v>43832.64583</v>
      </c>
      <c r="B1776" s="1">
        <f>IFERROR(__xludf.DUMMYFUNCTION("""COMPUTED_VALUE"""),2360.0)</f>
        <v>2360</v>
      </c>
      <c r="C1776" s="1">
        <f>IFERROR(__xludf.DUMMYFUNCTION("""COMPUTED_VALUE"""),2395.0)</f>
        <v>2395</v>
      </c>
      <c r="D1776" s="1">
        <f>IFERROR(__xludf.DUMMYFUNCTION("""COMPUTED_VALUE"""),2320.0)</f>
        <v>2320</v>
      </c>
      <c r="E1776" s="1">
        <f>IFERROR(__xludf.DUMMYFUNCTION("""COMPUTED_VALUE"""),2345.0)</f>
        <v>2345</v>
      </c>
      <c r="F1776" s="1">
        <f>IFERROR(__xludf.DUMMYFUNCTION("""COMPUTED_VALUE"""),29644.0)</f>
        <v>29644</v>
      </c>
    </row>
    <row r="1777">
      <c r="A1777" s="2">
        <f>IFERROR(__xludf.DUMMYFUNCTION("""COMPUTED_VALUE"""),43833.64583333333)</f>
        <v>43833.64583</v>
      </c>
      <c r="B1777" s="1">
        <f>IFERROR(__xludf.DUMMYFUNCTION("""COMPUTED_VALUE"""),2380.0)</f>
        <v>2380</v>
      </c>
      <c r="C1777" s="1">
        <f>IFERROR(__xludf.DUMMYFUNCTION("""COMPUTED_VALUE"""),2380.0)</f>
        <v>2380</v>
      </c>
      <c r="D1777" s="1">
        <f>IFERROR(__xludf.DUMMYFUNCTION("""COMPUTED_VALUE"""),2315.0)</f>
        <v>2315</v>
      </c>
      <c r="E1777" s="1">
        <f>IFERROR(__xludf.DUMMYFUNCTION("""COMPUTED_VALUE"""),2350.0)</f>
        <v>2350</v>
      </c>
      <c r="F1777" s="1">
        <f>IFERROR(__xludf.DUMMYFUNCTION("""COMPUTED_VALUE"""),29748.0)</f>
        <v>29748</v>
      </c>
    </row>
    <row r="1778">
      <c r="A1778" s="2">
        <f>IFERROR(__xludf.DUMMYFUNCTION("""COMPUTED_VALUE"""),43836.64583333333)</f>
        <v>43836.64583</v>
      </c>
      <c r="B1778" s="1">
        <f>IFERROR(__xludf.DUMMYFUNCTION("""COMPUTED_VALUE"""),2330.0)</f>
        <v>2330</v>
      </c>
      <c r="C1778" s="1">
        <f>IFERROR(__xludf.DUMMYFUNCTION("""COMPUTED_VALUE"""),2330.0)</f>
        <v>2330</v>
      </c>
      <c r="D1778" s="1">
        <f>IFERROR(__xludf.DUMMYFUNCTION("""COMPUTED_VALUE"""),2205.0)</f>
        <v>2205</v>
      </c>
      <c r="E1778" s="1">
        <f>IFERROR(__xludf.DUMMYFUNCTION("""COMPUTED_VALUE"""),2275.0)</f>
        <v>2275</v>
      </c>
      <c r="F1778" s="1">
        <f>IFERROR(__xludf.DUMMYFUNCTION("""COMPUTED_VALUE"""),48801.0)</f>
        <v>48801</v>
      </c>
    </row>
    <row r="1779">
      <c r="A1779" s="2">
        <f>IFERROR(__xludf.DUMMYFUNCTION("""COMPUTED_VALUE"""),43837.64583333333)</f>
        <v>43837.64583</v>
      </c>
      <c r="B1779" s="1">
        <f>IFERROR(__xludf.DUMMYFUNCTION("""COMPUTED_VALUE"""),2275.0)</f>
        <v>2275</v>
      </c>
      <c r="C1779" s="1">
        <f>IFERROR(__xludf.DUMMYFUNCTION("""COMPUTED_VALUE"""),2300.0)</f>
        <v>2300</v>
      </c>
      <c r="D1779" s="1">
        <f>IFERROR(__xludf.DUMMYFUNCTION("""COMPUTED_VALUE"""),2260.0)</f>
        <v>2260</v>
      </c>
      <c r="E1779" s="1">
        <f>IFERROR(__xludf.DUMMYFUNCTION("""COMPUTED_VALUE"""),2290.0)</f>
        <v>2290</v>
      </c>
      <c r="F1779" s="1">
        <f>IFERROR(__xludf.DUMMYFUNCTION("""COMPUTED_VALUE"""),16221.0)</f>
        <v>16221</v>
      </c>
    </row>
    <row r="1780">
      <c r="A1780" s="2">
        <f>IFERROR(__xludf.DUMMYFUNCTION("""COMPUTED_VALUE"""),43838.64583333333)</f>
        <v>43838.64583</v>
      </c>
      <c r="B1780" s="1">
        <f>IFERROR(__xludf.DUMMYFUNCTION("""COMPUTED_VALUE"""),2290.0)</f>
        <v>2290</v>
      </c>
      <c r="C1780" s="1">
        <f>IFERROR(__xludf.DUMMYFUNCTION("""COMPUTED_VALUE"""),2290.0)</f>
        <v>2290</v>
      </c>
      <c r="D1780" s="1">
        <f>IFERROR(__xludf.DUMMYFUNCTION("""COMPUTED_VALUE"""),2185.0)</f>
        <v>2185</v>
      </c>
      <c r="E1780" s="1">
        <f>IFERROR(__xludf.DUMMYFUNCTION("""COMPUTED_VALUE"""),2200.0)</f>
        <v>2200</v>
      </c>
      <c r="F1780" s="1">
        <f>IFERROR(__xludf.DUMMYFUNCTION("""COMPUTED_VALUE"""),21403.0)</f>
        <v>21403</v>
      </c>
    </row>
    <row r="1781">
      <c r="A1781" s="2">
        <f>IFERROR(__xludf.DUMMYFUNCTION("""COMPUTED_VALUE"""),43839.64583333333)</f>
        <v>43839.64583</v>
      </c>
      <c r="B1781" s="1">
        <f>IFERROR(__xludf.DUMMYFUNCTION("""COMPUTED_VALUE"""),2225.0)</f>
        <v>2225</v>
      </c>
      <c r="C1781" s="1">
        <f>IFERROR(__xludf.DUMMYFUNCTION("""COMPUTED_VALUE"""),2330.0)</f>
        <v>2330</v>
      </c>
      <c r="D1781" s="1">
        <f>IFERROR(__xludf.DUMMYFUNCTION("""COMPUTED_VALUE"""),2210.0)</f>
        <v>2210</v>
      </c>
      <c r="E1781" s="1">
        <f>IFERROR(__xludf.DUMMYFUNCTION("""COMPUTED_VALUE"""),2300.0)</f>
        <v>2300</v>
      </c>
      <c r="F1781" s="1">
        <f>IFERROR(__xludf.DUMMYFUNCTION("""COMPUTED_VALUE"""),28765.0)</f>
        <v>28765</v>
      </c>
    </row>
    <row r="1782">
      <c r="A1782" s="2">
        <f>IFERROR(__xludf.DUMMYFUNCTION("""COMPUTED_VALUE"""),43843.64583333333)</f>
        <v>43843.64583</v>
      </c>
      <c r="B1782" s="1">
        <f>IFERROR(__xludf.DUMMYFUNCTION("""COMPUTED_VALUE"""),2350.0)</f>
        <v>2350</v>
      </c>
      <c r="C1782" s="1">
        <f>IFERROR(__xludf.DUMMYFUNCTION("""COMPUTED_VALUE"""),2355.0)</f>
        <v>2355</v>
      </c>
      <c r="D1782" s="1">
        <f>IFERROR(__xludf.DUMMYFUNCTION("""COMPUTED_VALUE"""),2275.0)</f>
        <v>2275</v>
      </c>
      <c r="E1782" s="1">
        <f>IFERROR(__xludf.DUMMYFUNCTION("""COMPUTED_VALUE"""),2310.0)</f>
        <v>2310</v>
      </c>
      <c r="F1782" s="1">
        <f>IFERROR(__xludf.DUMMYFUNCTION("""COMPUTED_VALUE"""),23255.0)</f>
        <v>23255</v>
      </c>
    </row>
    <row r="1783">
      <c r="A1783" s="2">
        <f>IFERROR(__xludf.DUMMYFUNCTION("""COMPUTED_VALUE"""),43844.64583333333)</f>
        <v>43844.64583</v>
      </c>
      <c r="B1783" s="1">
        <f>IFERROR(__xludf.DUMMYFUNCTION("""COMPUTED_VALUE"""),2300.0)</f>
        <v>2300</v>
      </c>
      <c r="C1783" s="1">
        <f>IFERROR(__xludf.DUMMYFUNCTION("""COMPUTED_VALUE"""),2340.0)</f>
        <v>2340</v>
      </c>
      <c r="D1783" s="1">
        <f>IFERROR(__xludf.DUMMYFUNCTION("""COMPUTED_VALUE"""),2260.0)</f>
        <v>2260</v>
      </c>
      <c r="E1783" s="1">
        <f>IFERROR(__xludf.DUMMYFUNCTION("""COMPUTED_VALUE"""),2300.0)</f>
        <v>2300</v>
      </c>
      <c r="F1783" s="1">
        <f>IFERROR(__xludf.DUMMYFUNCTION("""COMPUTED_VALUE"""),28789.0)</f>
        <v>28789</v>
      </c>
    </row>
    <row r="1784">
      <c r="A1784" s="2">
        <f>IFERROR(__xludf.DUMMYFUNCTION("""COMPUTED_VALUE"""),43845.64583333333)</f>
        <v>43845.64583</v>
      </c>
      <c r="B1784" s="1">
        <f>IFERROR(__xludf.DUMMYFUNCTION("""COMPUTED_VALUE"""),2270.0)</f>
        <v>2270</v>
      </c>
      <c r="C1784" s="1">
        <f>IFERROR(__xludf.DUMMYFUNCTION("""COMPUTED_VALUE"""),2300.0)</f>
        <v>2300</v>
      </c>
      <c r="D1784" s="1">
        <f>IFERROR(__xludf.DUMMYFUNCTION("""COMPUTED_VALUE"""),2250.0)</f>
        <v>2250</v>
      </c>
      <c r="E1784" s="1">
        <f>IFERROR(__xludf.DUMMYFUNCTION("""COMPUTED_VALUE"""),2290.0)</f>
        <v>2290</v>
      </c>
      <c r="F1784" s="1">
        <f>IFERROR(__xludf.DUMMYFUNCTION("""COMPUTED_VALUE"""),32329.0)</f>
        <v>32329</v>
      </c>
    </row>
    <row r="1785">
      <c r="A1785" s="2">
        <f>IFERROR(__xludf.DUMMYFUNCTION("""COMPUTED_VALUE"""),43846.64583333333)</f>
        <v>43846.64583</v>
      </c>
      <c r="B1785" s="1">
        <f>IFERROR(__xludf.DUMMYFUNCTION("""COMPUTED_VALUE"""),2290.0)</f>
        <v>2290</v>
      </c>
      <c r="C1785" s="1">
        <f>IFERROR(__xludf.DUMMYFUNCTION("""COMPUTED_VALUE"""),2325.0)</f>
        <v>2325</v>
      </c>
      <c r="D1785" s="1">
        <f>IFERROR(__xludf.DUMMYFUNCTION("""COMPUTED_VALUE"""),2240.0)</f>
        <v>2240</v>
      </c>
      <c r="E1785" s="1">
        <f>IFERROR(__xludf.DUMMYFUNCTION("""COMPUTED_VALUE"""),2240.0)</f>
        <v>2240</v>
      </c>
      <c r="F1785" s="1">
        <f>IFERROR(__xludf.DUMMYFUNCTION("""COMPUTED_VALUE"""),51155.0)</f>
        <v>51155</v>
      </c>
    </row>
    <row r="1786">
      <c r="A1786" s="2">
        <f>IFERROR(__xludf.DUMMYFUNCTION("""COMPUTED_VALUE"""),43847.64583333333)</f>
        <v>43847.64583</v>
      </c>
      <c r="B1786" s="1">
        <f>IFERROR(__xludf.DUMMYFUNCTION("""COMPUTED_VALUE"""),2295.0)</f>
        <v>2295</v>
      </c>
      <c r="C1786" s="1">
        <f>IFERROR(__xludf.DUMMYFUNCTION("""COMPUTED_VALUE"""),2295.0)</f>
        <v>2295</v>
      </c>
      <c r="D1786" s="1">
        <f>IFERROR(__xludf.DUMMYFUNCTION("""COMPUTED_VALUE"""),2200.0)</f>
        <v>2200</v>
      </c>
      <c r="E1786" s="1">
        <f>IFERROR(__xludf.DUMMYFUNCTION("""COMPUTED_VALUE"""),2245.0)</f>
        <v>2245</v>
      </c>
      <c r="F1786" s="1">
        <f>IFERROR(__xludf.DUMMYFUNCTION("""COMPUTED_VALUE"""),27492.0)</f>
        <v>27492</v>
      </c>
    </row>
    <row r="1787">
      <c r="A1787" s="2">
        <f>IFERROR(__xludf.DUMMYFUNCTION("""COMPUTED_VALUE"""),43850.64583333333)</f>
        <v>43850.64583</v>
      </c>
      <c r="B1787" s="1">
        <f>IFERROR(__xludf.DUMMYFUNCTION("""COMPUTED_VALUE"""),2260.0)</f>
        <v>2260</v>
      </c>
      <c r="C1787" s="1">
        <f>IFERROR(__xludf.DUMMYFUNCTION("""COMPUTED_VALUE"""),2320.0)</f>
        <v>2320</v>
      </c>
      <c r="D1787" s="1">
        <f>IFERROR(__xludf.DUMMYFUNCTION("""COMPUTED_VALUE"""),2030.0)</f>
        <v>2030</v>
      </c>
      <c r="E1787" s="1">
        <f>IFERROR(__xludf.DUMMYFUNCTION("""COMPUTED_VALUE"""),2060.0)</f>
        <v>2060</v>
      </c>
      <c r="F1787" s="1">
        <f>IFERROR(__xludf.DUMMYFUNCTION("""COMPUTED_VALUE"""),229134.0)</f>
        <v>229134</v>
      </c>
    </row>
    <row r="1788">
      <c r="A1788" s="2">
        <f>IFERROR(__xludf.DUMMYFUNCTION("""COMPUTED_VALUE"""),43851.64583333333)</f>
        <v>43851.64583</v>
      </c>
      <c r="B1788" s="1">
        <f>IFERROR(__xludf.DUMMYFUNCTION("""COMPUTED_VALUE"""),2115.0)</f>
        <v>2115</v>
      </c>
      <c r="C1788" s="1">
        <f>IFERROR(__xludf.DUMMYFUNCTION("""COMPUTED_VALUE"""),2115.0)</f>
        <v>2115</v>
      </c>
      <c r="D1788" s="1">
        <f>IFERROR(__xludf.DUMMYFUNCTION("""COMPUTED_VALUE"""),1920.0)</f>
        <v>1920</v>
      </c>
      <c r="E1788" s="1">
        <f>IFERROR(__xludf.DUMMYFUNCTION("""COMPUTED_VALUE"""),1935.0)</f>
        <v>1935</v>
      </c>
      <c r="F1788" s="1">
        <f>IFERROR(__xludf.DUMMYFUNCTION("""COMPUTED_VALUE"""),414132.0)</f>
        <v>414132</v>
      </c>
    </row>
    <row r="1789">
      <c r="A1789" s="2">
        <f>IFERROR(__xludf.DUMMYFUNCTION("""COMPUTED_VALUE"""),43852.64583333333)</f>
        <v>43852.64583</v>
      </c>
      <c r="B1789" s="1">
        <f>IFERROR(__xludf.DUMMYFUNCTION("""COMPUTED_VALUE"""),1990.0)</f>
        <v>1990</v>
      </c>
      <c r="C1789" s="1">
        <f>IFERROR(__xludf.DUMMYFUNCTION("""COMPUTED_VALUE"""),2030.0)</f>
        <v>2030</v>
      </c>
      <c r="D1789" s="1">
        <f>IFERROR(__xludf.DUMMYFUNCTION("""COMPUTED_VALUE"""),1920.0)</f>
        <v>1920</v>
      </c>
      <c r="E1789" s="1">
        <f>IFERROR(__xludf.DUMMYFUNCTION("""COMPUTED_VALUE"""),1925.0)</f>
        <v>1925</v>
      </c>
      <c r="F1789" s="1">
        <f>IFERROR(__xludf.DUMMYFUNCTION("""COMPUTED_VALUE"""),185113.0)</f>
        <v>185113</v>
      </c>
    </row>
    <row r="1790">
      <c r="A1790" s="2">
        <f>IFERROR(__xludf.DUMMYFUNCTION("""COMPUTED_VALUE"""),43853.64583333333)</f>
        <v>43853.64583</v>
      </c>
      <c r="B1790" s="1">
        <f>IFERROR(__xludf.DUMMYFUNCTION("""COMPUTED_VALUE"""),1945.0)</f>
        <v>1945</v>
      </c>
      <c r="C1790" s="1">
        <f>IFERROR(__xludf.DUMMYFUNCTION("""COMPUTED_VALUE"""),2040.0)</f>
        <v>2040</v>
      </c>
      <c r="D1790" s="1">
        <f>IFERROR(__xludf.DUMMYFUNCTION("""COMPUTED_VALUE"""),1880.0)</f>
        <v>1880</v>
      </c>
      <c r="E1790" s="1">
        <f>IFERROR(__xludf.DUMMYFUNCTION("""COMPUTED_VALUE"""),1955.0)</f>
        <v>1955</v>
      </c>
      <c r="F1790" s="1">
        <f>IFERROR(__xludf.DUMMYFUNCTION("""COMPUTED_VALUE"""),605139.0)</f>
        <v>605139</v>
      </c>
    </row>
    <row r="1791">
      <c r="A1791" s="2">
        <f>IFERROR(__xludf.DUMMYFUNCTION("""COMPUTED_VALUE"""),43858.64583333333)</f>
        <v>43858.64583</v>
      </c>
      <c r="B1791" s="1">
        <f>IFERROR(__xludf.DUMMYFUNCTION("""COMPUTED_VALUE"""),1955.0)</f>
        <v>1955</v>
      </c>
      <c r="C1791" s="1">
        <f>IFERROR(__xludf.DUMMYFUNCTION("""COMPUTED_VALUE"""),1955.0)</f>
        <v>1955</v>
      </c>
      <c r="D1791" s="1">
        <f>IFERROR(__xludf.DUMMYFUNCTION("""COMPUTED_VALUE"""),1760.0)</f>
        <v>1760</v>
      </c>
      <c r="E1791" s="1">
        <f>IFERROR(__xludf.DUMMYFUNCTION("""COMPUTED_VALUE"""),1925.0)</f>
        <v>1925</v>
      </c>
      <c r="F1791" s="1">
        <f>IFERROR(__xludf.DUMMYFUNCTION("""COMPUTED_VALUE"""),161033.0)</f>
        <v>161033</v>
      </c>
    </row>
    <row r="1792">
      <c r="A1792" s="2">
        <f>IFERROR(__xludf.DUMMYFUNCTION("""COMPUTED_VALUE"""),43859.64583333333)</f>
        <v>43859.64583</v>
      </c>
      <c r="B1792" s="1">
        <f>IFERROR(__xludf.DUMMYFUNCTION("""COMPUTED_VALUE"""),1940.0)</f>
        <v>1940</v>
      </c>
      <c r="C1792" s="1">
        <f>IFERROR(__xludf.DUMMYFUNCTION("""COMPUTED_VALUE"""),1940.0)</f>
        <v>1940</v>
      </c>
      <c r="D1792" s="1">
        <f>IFERROR(__xludf.DUMMYFUNCTION("""COMPUTED_VALUE"""),1880.0)</f>
        <v>1880</v>
      </c>
      <c r="E1792" s="1">
        <f>IFERROR(__xludf.DUMMYFUNCTION("""COMPUTED_VALUE"""),1910.0)</f>
        <v>1910</v>
      </c>
      <c r="F1792" s="1">
        <f>IFERROR(__xludf.DUMMYFUNCTION("""COMPUTED_VALUE"""),79421.0)</f>
        <v>79421</v>
      </c>
    </row>
    <row r="1793">
      <c r="A1793" s="2">
        <f>IFERROR(__xludf.DUMMYFUNCTION("""COMPUTED_VALUE"""),43860.64583333333)</f>
        <v>43860.64583</v>
      </c>
      <c r="B1793" s="1">
        <f>IFERROR(__xludf.DUMMYFUNCTION("""COMPUTED_VALUE"""),1895.0)</f>
        <v>1895</v>
      </c>
      <c r="C1793" s="1">
        <f>IFERROR(__xludf.DUMMYFUNCTION("""COMPUTED_VALUE"""),1925.0)</f>
        <v>1925</v>
      </c>
      <c r="D1793" s="1">
        <f>IFERROR(__xludf.DUMMYFUNCTION("""COMPUTED_VALUE"""),1855.0)</f>
        <v>1855</v>
      </c>
      <c r="E1793" s="1">
        <f>IFERROR(__xludf.DUMMYFUNCTION("""COMPUTED_VALUE"""),1870.0)</f>
        <v>1870</v>
      </c>
      <c r="F1793" s="1">
        <f>IFERROR(__xludf.DUMMYFUNCTION("""COMPUTED_VALUE"""),65470.0)</f>
        <v>65470</v>
      </c>
    </row>
    <row r="1794">
      <c r="A1794" s="2">
        <f>IFERROR(__xludf.DUMMYFUNCTION("""COMPUTED_VALUE"""),43861.64583333333)</f>
        <v>43861.64583</v>
      </c>
      <c r="B1794" s="1">
        <f>IFERROR(__xludf.DUMMYFUNCTION("""COMPUTED_VALUE"""),1870.0)</f>
        <v>1870</v>
      </c>
      <c r="C1794" s="1">
        <f>IFERROR(__xludf.DUMMYFUNCTION("""COMPUTED_VALUE"""),1890.0)</f>
        <v>1890</v>
      </c>
      <c r="D1794" s="1">
        <f>IFERROR(__xludf.DUMMYFUNCTION("""COMPUTED_VALUE"""),1750.0)</f>
        <v>1750</v>
      </c>
      <c r="E1794" s="1">
        <f>IFERROR(__xludf.DUMMYFUNCTION("""COMPUTED_VALUE"""),1790.0)</f>
        <v>1790</v>
      </c>
      <c r="F1794" s="1">
        <f>IFERROR(__xludf.DUMMYFUNCTION("""COMPUTED_VALUE"""),114381.0)</f>
        <v>114381</v>
      </c>
    </row>
    <row r="1795">
      <c r="A1795" s="2">
        <f>IFERROR(__xludf.DUMMYFUNCTION("""COMPUTED_VALUE"""),43864.64583333333)</f>
        <v>43864.64583</v>
      </c>
      <c r="B1795" s="1">
        <f>IFERROR(__xludf.DUMMYFUNCTION("""COMPUTED_VALUE"""),1750.0)</f>
        <v>1750</v>
      </c>
      <c r="C1795" s="1">
        <f>IFERROR(__xludf.DUMMYFUNCTION("""COMPUTED_VALUE"""),1800.0)</f>
        <v>1800</v>
      </c>
      <c r="D1795" s="1">
        <f>IFERROR(__xludf.DUMMYFUNCTION("""COMPUTED_VALUE"""),1655.0)</f>
        <v>1655</v>
      </c>
      <c r="E1795" s="1">
        <f>IFERROR(__xludf.DUMMYFUNCTION("""COMPUTED_VALUE"""),1795.0)</f>
        <v>1795</v>
      </c>
      <c r="F1795" s="1">
        <f>IFERROR(__xludf.DUMMYFUNCTION("""COMPUTED_VALUE"""),117276.0)</f>
        <v>117276</v>
      </c>
    </row>
    <row r="1796">
      <c r="A1796" s="2">
        <f>IFERROR(__xludf.DUMMYFUNCTION("""COMPUTED_VALUE"""),43865.64583333333)</f>
        <v>43865.64583</v>
      </c>
      <c r="B1796" s="1">
        <f>IFERROR(__xludf.DUMMYFUNCTION("""COMPUTED_VALUE"""),1795.0)</f>
        <v>1795</v>
      </c>
      <c r="C1796" s="1">
        <f>IFERROR(__xludf.DUMMYFUNCTION("""COMPUTED_VALUE"""),1865.0)</f>
        <v>1865</v>
      </c>
      <c r="D1796" s="1">
        <f>IFERROR(__xludf.DUMMYFUNCTION("""COMPUTED_VALUE"""),1775.0)</f>
        <v>1775</v>
      </c>
      <c r="E1796" s="1">
        <f>IFERROR(__xludf.DUMMYFUNCTION("""COMPUTED_VALUE"""),1805.0)</f>
        <v>1805</v>
      </c>
      <c r="F1796" s="1">
        <f>IFERROR(__xludf.DUMMYFUNCTION("""COMPUTED_VALUE"""),67001.0)</f>
        <v>67001</v>
      </c>
    </row>
    <row r="1797">
      <c r="A1797" s="2">
        <f>IFERROR(__xludf.DUMMYFUNCTION("""COMPUTED_VALUE"""),43866.64583333333)</f>
        <v>43866.64583</v>
      </c>
      <c r="B1797" s="1">
        <f>IFERROR(__xludf.DUMMYFUNCTION("""COMPUTED_VALUE"""),1810.0)</f>
        <v>1810</v>
      </c>
      <c r="C1797" s="1">
        <f>IFERROR(__xludf.DUMMYFUNCTION("""COMPUTED_VALUE"""),2125.0)</f>
        <v>2125</v>
      </c>
      <c r="D1797" s="1">
        <f>IFERROR(__xludf.DUMMYFUNCTION("""COMPUTED_VALUE"""),1790.0)</f>
        <v>1790</v>
      </c>
      <c r="E1797" s="1">
        <f>IFERROR(__xludf.DUMMYFUNCTION("""COMPUTED_VALUE"""),1935.0)</f>
        <v>1935</v>
      </c>
      <c r="F1797" s="1">
        <f>IFERROR(__xludf.DUMMYFUNCTION("""COMPUTED_VALUE"""),614297.0)</f>
        <v>614297</v>
      </c>
    </row>
    <row r="1798">
      <c r="A1798" s="2">
        <f>IFERROR(__xludf.DUMMYFUNCTION("""COMPUTED_VALUE"""),43867.64583333333)</f>
        <v>43867.64583</v>
      </c>
      <c r="B1798" s="1">
        <f>IFERROR(__xludf.DUMMYFUNCTION("""COMPUTED_VALUE"""),1950.0)</f>
        <v>1950</v>
      </c>
      <c r="C1798" s="1">
        <f>IFERROR(__xludf.DUMMYFUNCTION("""COMPUTED_VALUE"""),1995.0)</f>
        <v>1995</v>
      </c>
      <c r="D1798" s="1">
        <f>IFERROR(__xludf.DUMMYFUNCTION("""COMPUTED_VALUE"""),1900.0)</f>
        <v>1900</v>
      </c>
      <c r="E1798" s="1">
        <f>IFERROR(__xludf.DUMMYFUNCTION("""COMPUTED_VALUE"""),1940.0)</f>
        <v>1940</v>
      </c>
      <c r="F1798" s="1">
        <f>IFERROR(__xludf.DUMMYFUNCTION("""COMPUTED_VALUE"""),133828.0)</f>
        <v>133828</v>
      </c>
    </row>
    <row r="1799">
      <c r="A1799" s="2">
        <f>IFERROR(__xludf.DUMMYFUNCTION("""COMPUTED_VALUE"""),43868.64583333333)</f>
        <v>43868.64583</v>
      </c>
      <c r="B1799" s="1">
        <f>IFERROR(__xludf.DUMMYFUNCTION("""COMPUTED_VALUE"""),1950.0)</f>
        <v>1950</v>
      </c>
      <c r="C1799" s="1">
        <f>IFERROR(__xludf.DUMMYFUNCTION("""COMPUTED_VALUE"""),1975.0)</f>
        <v>1975</v>
      </c>
      <c r="D1799" s="1">
        <f>IFERROR(__xludf.DUMMYFUNCTION("""COMPUTED_VALUE"""),1915.0)</f>
        <v>1915</v>
      </c>
      <c r="E1799" s="1">
        <f>IFERROR(__xludf.DUMMYFUNCTION("""COMPUTED_VALUE"""),1935.0)</f>
        <v>1935</v>
      </c>
      <c r="F1799" s="1">
        <f>IFERROR(__xludf.DUMMYFUNCTION("""COMPUTED_VALUE"""),56288.0)</f>
        <v>56288</v>
      </c>
    </row>
    <row r="1800">
      <c r="A1800" s="2">
        <f>IFERROR(__xludf.DUMMYFUNCTION("""COMPUTED_VALUE"""),43871.64583333333)</f>
        <v>43871.64583</v>
      </c>
      <c r="B1800" s="1">
        <f>IFERROR(__xludf.DUMMYFUNCTION("""COMPUTED_VALUE"""),1960.0)</f>
        <v>1960</v>
      </c>
      <c r="C1800" s="1">
        <f>IFERROR(__xludf.DUMMYFUNCTION("""COMPUTED_VALUE"""),1960.0)</f>
        <v>1960</v>
      </c>
      <c r="D1800" s="1">
        <f>IFERROR(__xludf.DUMMYFUNCTION("""COMPUTED_VALUE"""),1865.0)</f>
        <v>1865</v>
      </c>
      <c r="E1800" s="1">
        <f>IFERROR(__xludf.DUMMYFUNCTION("""COMPUTED_VALUE"""),1950.0)</f>
        <v>1950</v>
      </c>
      <c r="F1800" s="1">
        <f>IFERROR(__xludf.DUMMYFUNCTION("""COMPUTED_VALUE"""),53927.0)</f>
        <v>53927</v>
      </c>
    </row>
    <row r="1801">
      <c r="A1801" s="2">
        <f>IFERROR(__xludf.DUMMYFUNCTION("""COMPUTED_VALUE"""),43872.64583333333)</f>
        <v>43872.64583</v>
      </c>
      <c r="B1801" s="1">
        <f>IFERROR(__xludf.DUMMYFUNCTION("""COMPUTED_VALUE"""),1950.0)</f>
        <v>1950</v>
      </c>
      <c r="C1801" s="1">
        <f>IFERROR(__xludf.DUMMYFUNCTION("""COMPUTED_VALUE"""),2070.0)</f>
        <v>2070</v>
      </c>
      <c r="D1801" s="1">
        <f>IFERROR(__xludf.DUMMYFUNCTION("""COMPUTED_VALUE"""),1915.0)</f>
        <v>1915</v>
      </c>
      <c r="E1801" s="1">
        <f>IFERROR(__xludf.DUMMYFUNCTION("""COMPUTED_VALUE"""),1965.0)</f>
        <v>1965</v>
      </c>
      <c r="F1801" s="1">
        <f>IFERROR(__xludf.DUMMYFUNCTION("""COMPUTED_VALUE"""),125295.0)</f>
        <v>125295</v>
      </c>
    </row>
    <row r="1802">
      <c r="A1802" s="2">
        <f>IFERROR(__xludf.DUMMYFUNCTION("""COMPUTED_VALUE"""),43873.64583333333)</f>
        <v>43873.64583</v>
      </c>
      <c r="B1802" s="1">
        <f>IFERROR(__xludf.DUMMYFUNCTION("""COMPUTED_VALUE"""),1770.0)</f>
        <v>1770</v>
      </c>
      <c r="C1802" s="1">
        <f>IFERROR(__xludf.DUMMYFUNCTION("""COMPUTED_VALUE"""),1900.0)</f>
        <v>1900</v>
      </c>
      <c r="D1802" s="1">
        <f>IFERROR(__xludf.DUMMYFUNCTION("""COMPUTED_VALUE"""),1760.0)</f>
        <v>1760</v>
      </c>
      <c r="E1802" s="1">
        <f>IFERROR(__xludf.DUMMYFUNCTION("""COMPUTED_VALUE"""),1805.0)</f>
        <v>1805</v>
      </c>
      <c r="F1802" s="1">
        <f>IFERROR(__xludf.DUMMYFUNCTION("""COMPUTED_VALUE"""),606898.0)</f>
        <v>606898</v>
      </c>
    </row>
    <row r="1803">
      <c r="A1803" s="2">
        <f>IFERROR(__xludf.DUMMYFUNCTION("""COMPUTED_VALUE"""),43874.64583333333)</f>
        <v>43874.64583</v>
      </c>
      <c r="B1803" s="1">
        <f>IFERROR(__xludf.DUMMYFUNCTION("""COMPUTED_VALUE"""),1825.0)</f>
        <v>1825</v>
      </c>
      <c r="C1803" s="1">
        <f>IFERROR(__xludf.DUMMYFUNCTION("""COMPUTED_VALUE"""),1895.0)</f>
        <v>1895</v>
      </c>
      <c r="D1803" s="1">
        <f>IFERROR(__xludf.DUMMYFUNCTION("""COMPUTED_VALUE"""),1805.0)</f>
        <v>1805</v>
      </c>
      <c r="E1803" s="1">
        <f>IFERROR(__xludf.DUMMYFUNCTION("""COMPUTED_VALUE"""),1845.0)</f>
        <v>1845</v>
      </c>
      <c r="F1803" s="1">
        <f>IFERROR(__xludf.DUMMYFUNCTION("""COMPUTED_VALUE"""),154581.0)</f>
        <v>154581</v>
      </c>
    </row>
    <row r="1804">
      <c r="A1804" s="2">
        <f>IFERROR(__xludf.DUMMYFUNCTION("""COMPUTED_VALUE"""),43875.64583333333)</f>
        <v>43875.64583</v>
      </c>
      <c r="B1804" s="1">
        <f>IFERROR(__xludf.DUMMYFUNCTION("""COMPUTED_VALUE"""),1845.0)</f>
        <v>1845</v>
      </c>
      <c r="C1804" s="1">
        <f>IFERROR(__xludf.DUMMYFUNCTION("""COMPUTED_VALUE"""),1855.0)</f>
        <v>1855</v>
      </c>
      <c r="D1804" s="1">
        <f>IFERROR(__xludf.DUMMYFUNCTION("""COMPUTED_VALUE"""),1795.0)</f>
        <v>1795</v>
      </c>
      <c r="E1804" s="1">
        <f>IFERROR(__xludf.DUMMYFUNCTION("""COMPUTED_VALUE"""),1850.0)</f>
        <v>1850</v>
      </c>
      <c r="F1804" s="1">
        <f>IFERROR(__xludf.DUMMYFUNCTION("""COMPUTED_VALUE"""),110942.0)</f>
        <v>110942</v>
      </c>
    </row>
    <row r="1805">
      <c r="A1805" s="2">
        <f>IFERROR(__xludf.DUMMYFUNCTION("""COMPUTED_VALUE"""),43878.64583333333)</f>
        <v>43878.64583</v>
      </c>
      <c r="B1805" s="1">
        <f>IFERROR(__xludf.DUMMYFUNCTION("""COMPUTED_VALUE"""),1865.0)</f>
        <v>1865</v>
      </c>
      <c r="C1805" s="1">
        <f>IFERROR(__xludf.DUMMYFUNCTION("""COMPUTED_VALUE"""),1865.0)</f>
        <v>1865</v>
      </c>
      <c r="D1805" s="1">
        <f>IFERROR(__xludf.DUMMYFUNCTION("""COMPUTED_VALUE"""),1785.0)</f>
        <v>1785</v>
      </c>
      <c r="E1805" s="1">
        <f>IFERROR(__xludf.DUMMYFUNCTION("""COMPUTED_VALUE"""),1850.0)</f>
        <v>1850</v>
      </c>
      <c r="F1805" s="1">
        <f>IFERROR(__xludf.DUMMYFUNCTION("""COMPUTED_VALUE"""),85632.0)</f>
        <v>85632</v>
      </c>
    </row>
    <row r="1806">
      <c r="A1806" s="2">
        <f>IFERROR(__xludf.DUMMYFUNCTION("""COMPUTED_VALUE"""),43879.64583333333)</f>
        <v>43879.64583</v>
      </c>
      <c r="B1806" s="1">
        <f>IFERROR(__xludf.DUMMYFUNCTION("""COMPUTED_VALUE"""),1805.0)</f>
        <v>1805</v>
      </c>
      <c r="C1806" s="1">
        <f>IFERROR(__xludf.DUMMYFUNCTION("""COMPUTED_VALUE"""),1900.0)</f>
        <v>1900</v>
      </c>
      <c r="D1806" s="1">
        <f>IFERROR(__xludf.DUMMYFUNCTION("""COMPUTED_VALUE"""),1805.0)</f>
        <v>1805</v>
      </c>
      <c r="E1806" s="1">
        <f>IFERROR(__xludf.DUMMYFUNCTION("""COMPUTED_VALUE"""),1885.0)</f>
        <v>1885</v>
      </c>
      <c r="F1806" s="1">
        <f>IFERROR(__xludf.DUMMYFUNCTION("""COMPUTED_VALUE"""),73516.0)</f>
        <v>73516</v>
      </c>
    </row>
    <row r="1807">
      <c r="A1807" s="2">
        <f>IFERROR(__xludf.DUMMYFUNCTION("""COMPUTED_VALUE"""),43880.64583333333)</f>
        <v>43880.64583</v>
      </c>
      <c r="B1807" s="1">
        <f>IFERROR(__xludf.DUMMYFUNCTION("""COMPUTED_VALUE"""),1900.0)</f>
        <v>1900</v>
      </c>
      <c r="C1807" s="1">
        <f>IFERROR(__xludf.DUMMYFUNCTION("""COMPUTED_VALUE"""),2035.0)</f>
        <v>2035</v>
      </c>
      <c r="D1807" s="1">
        <f>IFERROR(__xludf.DUMMYFUNCTION("""COMPUTED_VALUE"""),1870.0)</f>
        <v>1870</v>
      </c>
      <c r="E1807" s="1">
        <f>IFERROR(__xludf.DUMMYFUNCTION("""COMPUTED_VALUE"""),1940.0)</f>
        <v>1940</v>
      </c>
      <c r="F1807" s="1">
        <f>IFERROR(__xludf.DUMMYFUNCTION("""COMPUTED_VALUE"""),111304.0)</f>
        <v>111304</v>
      </c>
    </row>
    <row r="1808">
      <c r="A1808" s="2">
        <f>IFERROR(__xludf.DUMMYFUNCTION("""COMPUTED_VALUE"""),43881.64583333333)</f>
        <v>43881.64583</v>
      </c>
      <c r="B1808" s="1">
        <f>IFERROR(__xludf.DUMMYFUNCTION("""COMPUTED_VALUE"""),1940.0)</f>
        <v>1940</v>
      </c>
      <c r="C1808" s="1">
        <f>IFERROR(__xludf.DUMMYFUNCTION("""COMPUTED_VALUE"""),2060.0)</f>
        <v>2060</v>
      </c>
      <c r="D1808" s="1">
        <f>IFERROR(__xludf.DUMMYFUNCTION("""COMPUTED_VALUE"""),1930.0)</f>
        <v>1930</v>
      </c>
      <c r="E1808" s="1">
        <f>IFERROR(__xludf.DUMMYFUNCTION("""COMPUTED_VALUE"""),2000.0)</f>
        <v>2000</v>
      </c>
      <c r="F1808" s="1">
        <f>IFERROR(__xludf.DUMMYFUNCTION("""COMPUTED_VALUE"""),228303.0)</f>
        <v>228303</v>
      </c>
    </row>
    <row r="1809">
      <c r="A1809" s="2">
        <f>IFERROR(__xludf.DUMMYFUNCTION("""COMPUTED_VALUE"""),43882.64583333333)</f>
        <v>43882.64583</v>
      </c>
      <c r="B1809" s="1">
        <f>IFERROR(__xludf.DUMMYFUNCTION("""COMPUTED_VALUE"""),2000.0)</f>
        <v>2000</v>
      </c>
      <c r="C1809" s="1">
        <f>IFERROR(__xludf.DUMMYFUNCTION("""COMPUTED_VALUE"""),2050.0)</f>
        <v>2050</v>
      </c>
      <c r="D1809" s="1">
        <f>IFERROR(__xludf.DUMMYFUNCTION("""COMPUTED_VALUE"""),1940.0)</f>
        <v>1940</v>
      </c>
      <c r="E1809" s="1">
        <f>IFERROR(__xludf.DUMMYFUNCTION("""COMPUTED_VALUE"""),1950.0)</f>
        <v>1950</v>
      </c>
      <c r="F1809" s="1">
        <f>IFERROR(__xludf.DUMMYFUNCTION("""COMPUTED_VALUE"""),62633.0)</f>
        <v>62633</v>
      </c>
    </row>
    <row r="1810">
      <c r="A1810" s="2">
        <f>IFERROR(__xludf.DUMMYFUNCTION("""COMPUTED_VALUE"""),43885.64583333333)</f>
        <v>43885.64583</v>
      </c>
      <c r="B1810" s="1">
        <f>IFERROR(__xludf.DUMMYFUNCTION("""COMPUTED_VALUE"""),1930.0)</f>
        <v>1930</v>
      </c>
      <c r="C1810" s="1">
        <f>IFERROR(__xludf.DUMMYFUNCTION("""COMPUTED_VALUE"""),1945.0)</f>
        <v>1945</v>
      </c>
      <c r="D1810" s="1">
        <f>IFERROR(__xludf.DUMMYFUNCTION("""COMPUTED_VALUE"""),1825.0)</f>
        <v>1825</v>
      </c>
      <c r="E1810" s="1">
        <f>IFERROR(__xludf.DUMMYFUNCTION("""COMPUTED_VALUE"""),1910.0)</f>
        <v>1910</v>
      </c>
      <c r="F1810" s="1">
        <f>IFERROR(__xludf.DUMMYFUNCTION("""COMPUTED_VALUE"""),70698.0)</f>
        <v>70698</v>
      </c>
    </row>
    <row r="1811">
      <c r="A1811" s="2">
        <f>IFERROR(__xludf.DUMMYFUNCTION("""COMPUTED_VALUE"""),43886.64583333333)</f>
        <v>43886.64583</v>
      </c>
      <c r="B1811" s="1">
        <f>IFERROR(__xludf.DUMMYFUNCTION("""COMPUTED_VALUE"""),1900.0)</f>
        <v>1900</v>
      </c>
      <c r="C1811" s="1">
        <f>IFERROR(__xludf.DUMMYFUNCTION("""COMPUTED_VALUE"""),1950.0)</f>
        <v>1950</v>
      </c>
      <c r="D1811" s="1">
        <f>IFERROR(__xludf.DUMMYFUNCTION("""COMPUTED_VALUE"""),1855.0)</f>
        <v>1855</v>
      </c>
      <c r="E1811" s="1">
        <f>IFERROR(__xludf.DUMMYFUNCTION("""COMPUTED_VALUE"""),1910.0)</f>
        <v>1910</v>
      </c>
      <c r="F1811" s="1">
        <f>IFERROR(__xludf.DUMMYFUNCTION("""COMPUTED_VALUE"""),32535.0)</f>
        <v>32535</v>
      </c>
    </row>
    <row r="1812">
      <c r="A1812" s="2">
        <f>IFERROR(__xludf.DUMMYFUNCTION("""COMPUTED_VALUE"""),43887.64583333333)</f>
        <v>43887.64583</v>
      </c>
      <c r="B1812" s="1">
        <f>IFERROR(__xludf.DUMMYFUNCTION("""COMPUTED_VALUE"""),1900.0)</f>
        <v>1900</v>
      </c>
      <c r="C1812" s="1">
        <f>IFERROR(__xludf.DUMMYFUNCTION("""COMPUTED_VALUE"""),1950.0)</f>
        <v>1950</v>
      </c>
      <c r="D1812" s="1">
        <f>IFERROR(__xludf.DUMMYFUNCTION("""COMPUTED_VALUE"""),1880.0)</f>
        <v>1880</v>
      </c>
      <c r="E1812" s="1">
        <f>IFERROR(__xludf.DUMMYFUNCTION("""COMPUTED_VALUE"""),1920.0)</f>
        <v>1920</v>
      </c>
      <c r="F1812" s="1">
        <f>IFERROR(__xludf.DUMMYFUNCTION("""COMPUTED_VALUE"""),27801.0)</f>
        <v>27801</v>
      </c>
    </row>
    <row r="1813">
      <c r="A1813" s="2">
        <f>IFERROR(__xludf.DUMMYFUNCTION("""COMPUTED_VALUE"""),43888.64583333333)</f>
        <v>43888.64583</v>
      </c>
      <c r="B1813" s="1">
        <f>IFERROR(__xludf.DUMMYFUNCTION("""COMPUTED_VALUE"""),1905.0)</f>
        <v>1905</v>
      </c>
      <c r="C1813" s="1">
        <f>IFERROR(__xludf.DUMMYFUNCTION("""COMPUTED_VALUE"""),2300.0)</f>
        <v>2300</v>
      </c>
      <c r="D1813" s="1">
        <f>IFERROR(__xludf.DUMMYFUNCTION("""COMPUTED_VALUE"""),1900.0)</f>
        <v>1900</v>
      </c>
      <c r="E1813" s="1">
        <f>IFERROR(__xludf.DUMMYFUNCTION("""COMPUTED_VALUE"""),2175.0)</f>
        <v>2175</v>
      </c>
      <c r="F1813" s="1">
        <f>IFERROR(__xludf.DUMMYFUNCTION("""COMPUTED_VALUE"""),689574.0)</f>
        <v>689574</v>
      </c>
    </row>
    <row r="1814">
      <c r="A1814" s="2">
        <f>IFERROR(__xludf.DUMMYFUNCTION("""COMPUTED_VALUE"""),43889.64583333333)</f>
        <v>43889.64583</v>
      </c>
      <c r="B1814" s="1">
        <f>IFERROR(__xludf.DUMMYFUNCTION("""COMPUTED_VALUE"""),2160.0)</f>
        <v>2160</v>
      </c>
      <c r="C1814" s="1">
        <f>IFERROR(__xludf.DUMMYFUNCTION("""COMPUTED_VALUE"""),2275.0)</f>
        <v>2275</v>
      </c>
      <c r="D1814" s="1">
        <f>IFERROR(__xludf.DUMMYFUNCTION("""COMPUTED_VALUE"""),1965.0)</f>
        <v>1965</v>
      </c>
      <c r="E1814" s="1">
        <f>IFERROR(__xludf.DUMMYFUNCTION("""COMPUTED_VALUE"""),2025.0)</f>
        <v>2025</v>
      </c>
      <c r="F1814" s="1">
        <f>IFERROR(__xludf.DUMMYFUNCTION("""COMPUTED_VALUE"""),413990.0)</f>
        <v>413990</v>
      </c>
    </row>
    <row r="1815">
      <c r="A1815" s="2">
        <f>IFERROR(__xludf.DUMMYFUNCTION("""COMPUTED_VALUE"""),43892.64583333333)</f>
        <v>43892.64583</v>
      </c>
      <c r="B1815" s="1">
        <f>IFERROR(__xludf.DUMMYFUNCTION("""COMPUTED_VALUE"""),1970.0)</f>
        <v>1970</v>
      </c>
      <c r="C1815" s="1">
        <f>IFERROR(__xludf.DUMMYFUNCTION("""COMPUTED_VALUE"""),2010.0)</f>
        <v>2010</v>
      </c>
      <c r="D1815" s="1">
        <f>IFERROR(__xludf.DUMMYFUNCTION("""COMPUTED_VALUE"""),1875.0)</f>
        <v>1875</v>
      </c>
      <c r="E1815" s="1">
        <f>IFERROR(__xludf.DUMMYFUNCTION("""COMPUTED_VALUE"""),1885.0)</f>
        <v>1885</v>
      </c>
      <c r="F1815" s="1">
        <f>IFERROR(__xludf.DUMMYFUNCTION("""COMPUTED_VALUE"""),148797.0)</f>
        <v>148797</v>
      </c>
    </row>
    <row r="1816">
      <c r="A1816" s="2">
        <f>IFERROR(__xludf.DUMMYFUNCTION("""COMPUTED_VALUE"""),43893.64583333333)</f>
        <v>43893.64583</v>
      </c>
      <c r="B1816" s="1">
        <f>IFERROR(__xludf.DUMMYFUNCTION("""COMPUTED_VALUE"""),1905.0)</f>
        <v>1905</v>
      </c>
      <c r="C1816" s="1">
        <f>IFERROR(__xludf.DUMMYFUNCTION("""COMPUTED_VALUE"""),1975.0)</f>
        <v>1975</v>
      </c>
      <c r="D1816" s="1">
        <f>IFERROR(__xludf.DUMMYFUNCTION("""COMPUTED_VALUE"""),1905.0)</f>
        <v>1905</v>
      </c>
      <c r="E1816" s="1">
        <f>IFERROR(__xludf.DUMMYFUNCTION("""COMPUTED_VALUE"""),1955.0)</f>
        <v>1955</v>
      </c>
      <c r="F1816" s="1">
        <f>IFERROR(__xludf.DUMMYFUNCTION("""COMPUTED_VALUE"""),80591.0)</f>
        <v>80591</v>
      </c>
    </row>
    <row r="1817">
      <c r="A1817" s="2">
        <f>IFERROR(__xludf.DUMMYFUNCTION("""COMPUTED_VALUE"""),43894.64583333333)</f>
        <v>43894.64583</v>
      </c>
      <c r="B1817" s="1">
        <f>IFERROR(__xludf.DUMMYFUNCTION("""COMPUTED_VALUE"""),1960.0)</f>
        <v>1960</v>
      </c>
      <c r="C1817" s="1">
        <f>IFERROR(__xludf.DUMMYFUNCTION("""COMPUTED_VALUE"""),2110.0)</f>
        <v>2110</v>
      </c>
      <c r="D1817" s="1">
        <f>IFERROR(__xludf.DUMMYFUNCTION("""COMPUTED_VALUE"""),1945.0)</f>
        <v>1945</v>
      </c>
      <c r="E1817" s="1">
        <f>IFERROR(__xludf.DUMMYFUNCTION("""COMPUTED_VALUE"""),2045.0)</f>
        <v>2045</v>
      </c>
      <c r="F1817" s="1">
        <f>IFERROR(__xludf.DUMMYFUNCTION("""COMPUTED_VALUE"""),122294.0)</f>
        <v>122294</v>
      </c>
    </row>
    <row r="1818">
      <c r="A1818" s="2">
        <f>IFERROR(__xludf.DUMMYFUNCTION("""COMPUTED_VALUE"""),43895.64583333333)</f>
        <v>43895.64583</v>
      </c>
      <c r="B1818" s="1">
        <f>IFERROR(__xludf.DUMMYFUNCTION("""COMPUTED_VALUE"""),2045.0)</f>
        <v>2045</v>
      </c>
      <c r="C1818" s="1">
        <f>IFERROR(__xludf.DUMMYFUNCTION("""COMPUTED_VALUE"""),2140.0)</f>
        <v>2140</v>
      </c>
      <c r="D1818" s="1">
        <f>IFERROR(__xludf.DUMMYFUNCTION("""COMPUTED_VALUE"""),2005.0)</f>
        <v>2005</v>
      </c>
      <c r="E1818" s="1">
        <f>IFERROR(__xludf.DUMMYFUNCTION("""COMPUTED_VALUE"""),2090.0)</f>
        <v>2090</v>
      </c>
      <c r="F1818" s="1">
        <f>IFERROR(__xludf.DUMMYFUNCTION("""COMPUTED_VALUE"""),96006.0)</f>
        <v>96006</v>
      </c>
    </row>
    <row r="1819">
      <c r="A1819" s="2">
        <f>IFERROR(__xludf.DUMMYFUNCTION("""COMPUTED_VALUE"""),43896.64583333333)</f>
        <v>43896.64583</v>
      </c>
      <c r="B1819" s="1">
        <f>IFERROR(__xludf.DUMMYFUNCTION("""COMPUTED_VALUE"""),2090.0)</f>
        <v>2090</v>
      </c>
      <c r="C1819" s="1">
        <f>IFERROR(__xludf.DUMMYFUNCTION("""COMPUTED_VALUE"""),2670.0)</f>
        <v>2670</v>
      </c>
      <c r="D1819" s="1">
        <f>IFERROR(__xludf.DUMMYFUNCTION("""COMPUTED_VALUE"""),2075.0)</f>
        <v>2075</v>
      </c>
      <c r="E1819" s="1">
        <f>IFERROR(__xludf.DUMMYFUNCTION("""COMPUTED_VALUE"""),2370.0)</f>
        <v>2370</v>
      </c>
      <c r="F1819" s="1">
        <f>IFERROR(__xludf.DUMMYFUNCTION("""COMPUTED_VALUE"""),7192253.0)</f>
        <v>7192253</v>
      </c>
    </row>
    <row r="1820">
      <c r="A1820" s="2">
        <f>IFERROR(__xludf.DUMMYFUNCTION("""COMPUTED_VALUE"""),43899.64583333333)</f>
        <v>43899.64583</v>
      </c>
      <c r="B1820" s="1">
        <f>IFERROR(__xludf.DUMMYFUNCTION("""COMPUTED_VALUE"""),2340.0)</f>
        <v>2340</v>
      </c>
      <c r="C1820" s="1">
        <f>IFERROR(__xludf.DUMMYFUNCTION("""COMPUTED_VALUE"""),2355.0)</f>
        <v>2355</v>
      </c>
      <c r="D1820" s="1">
        <f>IFERROR(__xludf.DUMMYFUNCTION("""COMPUTED_VALUE"""),2100.0)</f>
        <v>2100</v>
      </c>
      <c r="E1820" s="1">
        <f>IFERROR(__xludf.DUMMYFUNCTION("""COMPUTED_VALUE"""),2120.0)</f>
        <v>2120</v>
      </c>
      <c r="F1820" s="1">
        <f>IFERROR(__xludf.DUMMYFUNCTION("""COMPUTED_VALUE"""),1502435.0)</f>
        <v>1502435</v>
      </c>
    </row>
    <row r="1821">
      <c r="A1821" s="2">
        <f>IFERROR(__xludf.DUMMYFUNCTION("""COMPUTED_VALUE"""),43900.64583333333)</f>
        <v>43900.64583</v>
      </c>
      <c r="B1821" s="1">
        <f>IFERROR(__xludf.DUMMYFUNCTION("""COMPUTED_VALUE"""),2120.0)</f>
        <v>2120</v>
      </c>
      <c r="C1821" s="1">
        <f>IFERROR(__xludf.DUMMYFUNCTION("""COMPUTED_VALUE"""),2340.0)</f>
        <v>2340</v>
      </c>
      <c r="D1821" s="1">
        <f>IFERROR(__xludf.DUMMYFUNCTION("""COMPUTED_VALUE"""),1960.0)</f>
        <v>1960</v>
      </c>
      <c r="E1821" s="1">
        <f>IFERROR(__xludf.DUMMYFUNCTION("""COMPUTED_VALUE"""),2015.0)</f>
        <v>2015</v>
      </c>
      <c r="F1821" s="1">
        <f>IFERROR(__xludf.DUMMYFUNCTION("""COMPUTED_VALUE"""),1822772.0)</f>
        <v>1822772</v>
      </c>
    </row>
    <row r="1822">
      <c r="A1822" s="2">
        <f>IFERROR(__xludf.DUMMYFUNCTION("""COMPUTED_VALUE"""),43901.64583333333)</f>
        <v>43901.64583</v>
      </c>
      <c r="B1822" s="1">
        <f>IFERROR(__xludf.DUMMYFUNCTION("""COMPUTED_VALUE"""),2060.0)</f>
        <v>2060</v>
      </c>
      <c r="C1822" s="1">
        <f>IFERROR(__xludf.DUMMYFUNCTION("""COMPUTED_VALUE"""),2195.0)</f>
        <v>2195</v>
      </c>
      <c r="D1822" s="1">
        <f>IFERROR(__xludf.DUMMYFUNCTION("""COMPUTED_VALUE"""),1970.0)</f>
        <v>1970</v>
      </c>
      <c r="E1822" s="1">
        <f>IFERROR(__xludf.DUMMYFUNCTION("""COMPUTED_VALUE"""),2040.0)</f>
        <v>2040</v>
      </c>
      <c r="F1822" s="1">
        <f>IFERROR(__xludf.DUMMYFUNCTION("""COMPUTED_VALUE"""),668724.0)</f>
        <v>668724</v>
      </c>
    </row>
    <row r="1823">
      <c r="A1823" s="2">
        <f>IFERROR(__xludf.DUMMYFUNCTION("""COMPUTED_VALUE"""),43902.64583333333)</f>
        <v>43902.64583</v>
      </c>
      <c r="B1823" s="1">
        <f>IFERROR(__xludf.DUMMYFUNCTION("""COMPUTED_VALUE"""),2060.0)</f>
        <v>2060</v>
      </c>
      <c r="C1823" s="1">
        <f>IFERROR(__xludf.DUMMYFUNCTION("""COMPUTED_VALUE"""),2140.0)</f>
        <v>2140</v>
      </c>
      <c r="D1823" s="1">
        <f>IFERROR(__xludf.DUMMYFUNCTION("""COMPUTED_VALUE"""),1680.0)</f>
        <v>1680</v>
      </c>
      <c r="E1823" s="1">
        <f>IFERROR(__xludf.DUMMYFUNCTION("""COMPUTED_VALUE"""),1830.0)</f>
        <v>1830</v>
      </c>
      <c r="F1823" s="1">
        <f>IFERROR(__xludf.DUMMYFUNCTION("""COMPUTED_VALUE"""),870013.0)</f>
        <v>870013</v>
      </c>
    </row>
    <row r="1824">
      <c r="A1824" s="2">
        <f>IFERROR(__xludf.DUMMYFUNCTION("""COMPUTED_VALUE"""),43903.64583333333)</f>
        <v>43903.64583</v>
      </c>
      <c r="B1824" s="1">
        <f>IFERROR(__xludf.DUMMYFUNCTION("""COMPUTED_VALUE"""),1700.0)</f>
        <v>1700</v>
      </c>
      <c r="C1824" s="1">
        <f>IFERROR(__xludf.DUMMYFUNCTION("""COMPUTED_VALUE"""),1730.0)</f>
        <v>1730</v>
      </c>
      <c r="D1824" s="1">
        <f>IFERROR(__xludf.DUMMYFUNCTION("""COMPUTED_VALUE"""),1440.0)</f>
        <v>1440</v>
      </c>
      <c r="E1824" s="1">
        <f>IFERROR(__xludf.DUMMYFUNCTION("""COMPUTED_VALUE"""),1670.0)</f>
        <v>1670</v>
      </c>
      <c r="F1824" s="1">
        <f>IFERROR(__xludf.DUMMYFUNCTION("""COMPUTED_VALUE"""),379433.0)</f>
        <v>379433</v>
      </c>
    </row>
    <row r="1825">
      <c r="A1825" s="2">
        <f>IFERROR(__xludf.DUMMYFUNCTION("""COMPUTED_VALUE"""),43907.64583333333)</f>
        <v>43907.64583</v>
      </c>
      <c r="B1825" s="1">
        <f>IFERROR(__xludf.DUMMYFUNCTION("""COMPUTED_VALUE"""),1520.0)</f>
        <v>1520</v>
      </c>
      <c r="C1825" s="1">
        <f>IFERROR(__xludf.DUMMYFUNCTION("""COMPUTED_VALUE"""),1980.0)</f>
        <v>1980</v>
      </c>
      <c r="D1825" s="1">
        <f>IFERROR(__xludf.DUMMYFUNCTION("""COMPUTED_VALUE"""),1520.0)</f>
        <v>1520</v>
      </c>
      <c r="E1825" s="1">
        <f>IFERROR(__xludf.DUMMYFUNCTION("""COMPUTED_VALUE"""),1785.0)</f>
        <v>1785</v>
      </c>
      <c r="F1825" s="1">
        <f>IFERROR(__xludf.DUMMYFUNCTION("""COMPUTED_VALUE"""),749666.0)</f>
        <v>749666</v>
      </c>
    </row>
    <row r="1826">
      <c r="A1826" s="2">
        <f>IFERROR(__xludf.DUMMYFUNCTION("""COMPUTED_VALUE"""),43908.64583333333)</f>
        <v>43908.64583</v>
      </c>
      <c r="B1826" s="1">
        <f>IFERROR(__xludf.DUMMYFUNCTION("""COMPUTED_VALUE"""),1805.0)</f>
        <v>1805</v>
      </c>
      <c r="C1826" s="1">
        <f>IFERROR(__xludf.DUMMYFUNCTION("""COMPUTED_VALUE"""),1895.0)</f>
        <v>1895</v>
      </c>
      <c r="D1826" s="1">
        <f>IFERROR(__xludf.DUMMYFUNCTION("""COMPUTED_VALUE"""),1665.0)</f>
        <v>1665</v>
      </c>
      <c r="E1826" s="1">
        <f>IFERROR(__xludf.DUMMYFUNCTION("""COMPUTED_VALUE"""),1695.0)</f>
        <v>1695</v>
      </c>
      <c r="F1826" s="1">
        <f>IFERROR(__xludf.DUMMYFUNCTION("""COMPUTED_VALUE"""),230544.0)</f>
        <v>230544</v>
      </c>
    </row>
    <row r="1827">
      <c r="A1827" s="2">
        <f>IFERROR(__xludf.DUMMYFUNCTION("""COMPUTED_VALUE"""),43909.64583333333)</f>
        <v>43909.64583</v>
      </c>
      <c r="B1827" s="1">
        <f>IFERROR(__xludf.DUMMYFUNCTION("""COMPUTED_VALUE"""),1550.0)</f>
        <v>1550</v>
      </c>
      <c r="C1827" s="1">
        <f>IFERROR(__xludf.DUMMYFUNCTION("""COMPUTED_VALUE"""),1575.0)</f>
        <v>1575</v>
      </c>
      <c r="D1827" s="1">
        <f>IFERROR(__xludf.DUMMYFUNCTION("""COMPUTED_VALUE"""),1280.0)</f>
        <v>1280</v>
      </c>
      <c r="E1827" s="1">
        <f>IFERROR(__xludf.DUMMYFUNCTION("""COMPUTED_VALUE"""),1360.0)</f>
        <v>1360</v>
      </c>
      <c r="F1827" s="1">
        <f>IFERROR(__xludf.DUMMYFUNCTION("""COMPUTED_VALUE"""),1519430.0)</f>
        <v>1519430</v>
      </c>
    </row>
    <row r="1828">
      <c r="A1828" s="2">
        <f>IFERROR(__xludf.DUMMYFUNCTION("""COMPUTED_VALUE"""),43910.64583333333)</f>
        <v>43910.64583</v>
      </c>
      <c r="B1828" s="1">
        <f>IFERROR(__xludf.DUMMYFUNCTION("""COMPUTED_VALUE"""),1315.0)</f>
        <v>1315</v>
      </c>
      <c r="C1828" s="1">
        <f>IFERROR(__xludf.DUMMYFUNCTION("""COMPUTED_VALUE"""),1405.0)</f>
        <v>1405</v>
      </c>
      <c r="D1828" s="1">
        <f>IFERROR(__xludf.DUMMYFUNCTION("""COMPUTED_VALUE"""),1240.0)</f>
        <v>1240</v>
      </c>
      <c r="E1828" s="1">
        <f>IFERROR(__xludf.DUMMYFUNCTION("""COMPUTED_VALUE"""),1295.0)</f>
        <v>1295</v>
      </c>
      <c r="F1828" s="1">
        <f>IFERROR(__xludf.DUMMYFUNCTION("""COMPUTED_VALUE"""),326475.0)</f>
        <v>326475</v>
      </c>
    </row>
    <row r="1829">
      <c r="A1829" s="2">
        <f>IFERROR(__xludf.DUMMYFUNCTION("""COMPUTED_VALUE"""),43913.64583333333)</f>
        <v>43913.64583</v>
      </c>
      <c r="B1829" s="1">
        <f>IFERROR(__xludf.DUMMYFUNCTION("""COMPUTED_VALUE"""),1250.0)</f>
        <v>1250</v>
      </c>
      <c r="C1829" s="1">
        <f>IFERROR(__xludf.DUMMYFUNCTION("""COMPUTED_VALUE"""),1250.0)</f>
        <v>1250</v>
      </c>
      <c r="D1829" s="1">
        <f>IFERROR(__xludf.DUMMYFUNCTION("""COMPUTED_VALUE"""),1100.0)</f>
        <v>1100</v>
      </c>
      <c r="E1829" s="1">
        <f>IFERROR(__xludf.DUMMYFUNCTION("""COMPUTED_VALUE"""),1170.0)</f>
        <v>1170</v>
      </c>
      <c r="F1829" s="1">
        <f>IFERROR(__xludf.DUMMYFUNCTION("""COMPUTED_VALUE"""),164623.0)</f>
        <v>164623</v>
      </c>
    </row>
    <row r="1830">
      <c r="A1830" s="2">
        <f>IFERROR(__xludf.DUMMYFUNCTION("""COMPUTED_VALUE"""),43914.64583333333)</f>
        <v>43914.64583</v>
      </c>
      <c r="B1830" s="1">
        <f>IFERROR(__xludf.DUMMYFUNCTION("""COMPUTED_VALUE"""),1180.0)</f>
        <v>1180</v>
      </c>
      <c r="C1830" s="1">
        <f>IFERROR(__xludf.DUMMYFUNCTION("""COMPUTED_VALUE"""),1290.0)</f>
        <v>1290</v>
      </c>
      <c r="D1830" s="1">
        <f>IFERROR(__xludf.DUMMYFUNCTION("""COMPUTED_VALUE"""),1150.0)</f>
        <v>1150</v>
      </c>
      <c r="E1830" s="1">
        <f>IFERROR(__xludf.DUMMYFUNCTION("""COMPUTED_VALUE"""),1265.0)</f>
        <v>1265</v>
      </c>
      <c r="F1830" s="1">
        <f>IFERROR(__xludf.DUMMYFUNCTION("""COMPUTED_VALUE"""),199342.0)</f>
        <v>199342</v>
      </c>
    </row>
    <row r="1831">
      <c r="A1831" s="2">
        <f>IFERROR(__xludf.DUMMYFUNCTION("""COMPUTED_VALUE"""),43915.64583333333)</f>
        <v>43915.64583</v>
      </c>
      <c r="B1831" s="1">
        <f>IFERROR(__xludf.DUMMYFUNCTION("""COMPUTED_VALUE"""),1310.0)</f>
        <v>1310</v>
      </c>
      <c r="C1831" s="1">
        <f>IFERROR(__xludf.DUMMYFUNCTION("""COMPUTED_VALUE"""),1600.0)</f>
        <v>1600</v>
      </c>
      <c r="D1831" s="1">
        <f>IFERROR(__xludf.DUMMYFUNCTION("""COMPUTED_VALUE"""),1270.0)</f>
        <v>1270</v>
      </c>
      <c r="E1831" s="1">
        <f>IFERROR(__xludf.DUMMYFUNCTION("""COMPUTED_VALUE"""),1525.0)</f>
        <v>1525</v>
      </c>
      <c r="F1831" s="1">
        <f>IFERROR(__xludf.DUMMYFUNCTION("""COMPUTED_VALUE"""),530151.0)</f>
        <v>530151</v>
      </c>
    </row>
    <row r="1832">
      <c r="A1832" s="2">
        <f>IFERROR(__xludf.DUMMYFUNCTION("""COMPUTED_VALUE"""),43916.64583333333)</f>
        <v>43916.64583</v>
      </c>
      <c r="B1832" s="1">
        <f>IFERROR(__xludf.DUMMYFUNCTION("""COMPUTED_VALUE"""),1570.0)</f>
        <v>1570</v>
      </c>
      <c r="C1832" s="1">
        <f>IFERROR(__xludf.DUMMYFUNCTION("""COMPUTED_VALUE"""),1755.0)</f>
        <v>1755</v>
      </c>
      <c r="D1832" s="1">
        <f>IFERROR(__xludf.DUMMYFUNCTION("""COMPUTED_VALUE"""),1570.0)</f>
        <v>1570</v>
      </c>
      <c r="E1832" s="1">
        <f>IFERROR(__xludf.DUMMYFUNCTION("""COMPUTED_VALUE"""),1620.0)</f>
        <v>1620</v>
      </c>
      <c r="F1832" s="1">
        <f>IFERROR(__xludf.DUMMYFUNCTION("""COMPUTED_VALUE"""),520396.0)</f>
        <v>520396</v>
      </c>
    </row>
    <row r="1833">
      <c r="A1833" s="2">
        <f>IFERROR(__xludf.DUMMYFUNCTION("""COMPUTED_VALUE"""),43917.64583333333)</f>
        <v>43917.64583</v>
      </c>
      <c r="B1833" s="1">
        <f>IFERROR(__xludf.DUMMYFUNCTION("""COMPUTED_VALUE"""),1700.0)</f>
        <v>1700</v>
      </c>
      <c r="C1833" s="1">
        <f>IFERROR(__xludf.DUMMYFUNCTION("""COMPUTED_VALUE"""),1700.0)</f>
        <v>1700</v>
      </c>
      <c r="D1833" s="1">
        <f>IFERROR(__xludf.DUMMYFUNCTION("""COMPUTED_VALUE"""),1560.0)</f>
        <v>1560</v>
      </c>
      <c r="E1833" s="1">
        <f>IFERROR(__xludf.DUMMYFUNCTION("""COMPUTED_VALUE"""),1625.0)</f>
        <v>1625</v>
      </c>
      <c r="F1833" s="1">
        <f>IFERROR(__xludf.DUMMYFUNCTION("""COMPUTED_VALUE"""),353829.0)</f>
        <v>353829</v>
      </c>
    </row>
    <row r="1834">
      <c r="A1834" s="2">
        <f>IFERROR(__xludf.DUMMYFUNCTION("""COMPUTED_VALUE"""),43920.64583333333)</f>
        <v>43920.64583</v>
      </c>
      <c r="B1834" s="1">
        <f>IFERROR(__xludf.DUMMYFUNCTION("""COMPUTED_VALUE"""),1660.0)</f>
        <v>1660</v>
      </c>
      <c r="C1834" s="1">
        <f>IFERROR(__xludf.DUMMYFUNCTION("""COMPUTED_VALUE"""),1850.0)</f>
        <v>1850</v>
      </c>
      <c r="D1834" s="1">
        <f>IFERROR(__xludf.DUMMYFUNCTION("""COMPUTED_VALUE"""),1650.0)</f>
        <v>1650</v>
      </c>
      <c r="E1834" s="1">
        <f>IFERROR(__xludf.DUMMYFUNCTION("""COMPUTED_VALUE"""),1815.0)</f>
        <v>1815</v>
      </c>
      <c r="F1834" s="1">
        <f>IFERROR(__xludf.DUMMYFUNCTION("""COMPUTED_VALUE"""),379157.0)</f>
        <v>379157</v>
      </c>
    </row>
    <row r="1835">
      <c r="A1835" s="2">
        <f>IFERROR(__xludf.DUMMYFUNCTION("""COMPUTED_VALUE"""),43921.64583333333)</f>
        <v>43921.64583</v>
      </c>
      <c r="B1835" s="1">
        <f>IFERROR(__xludf.DUMMYFUNCTION("""COMPUTED_VALUE"""),1870.0)</f>
        <v>1870</v>
      </c>
      <c r="C1835" s="1">
        <f>IFERROR(__xludf.DUMMYFUNCTION("""COMPUTED_VALUE"""),2000.0)</f>
        <v>2000</v>
      </c>
      <c r="D1835" s="1">
        <f>IFERROR(__xludf.DUMMYFUNCTION("""COMPUTED_VALUE"""),1820.0)</f>
        <v>1820</v>
      </c>
      <c r="E1835" s="1">
        <f>IFERROR(__xludf.DUMMYFUNCTION("""COMPUTED_VALUE"""),1880.0)</f>
        <v>1880</v>
      </c>
      <c r="F1835" s="1">
        <f>IFERROR(__xludf.DUMMYFUNCTION("""COMPUTED_VALUE"""),338965.0)</f>
        <v>338965</v>
      </c>
    </row>
    <row r="1836">
      <c r="A1836" s="2">
        <f>IFERROR(__xludf.DUMMYFUNCTION("""COMPUTED_VALUE"""),43922.64583333333)</f>
        <v>43922.64583</v>
      </c>
      <c r="B1836" s="1">
        <f>IFERROR(__xludf.DUMMYFUNCTION("""COMPUTED_VALUE"""),1880.0)</f>
        <v>1880</v>
      </c>
      <c r="C1836" s="1">
        <f>IFERROR(__xludf.DUMMYFUNCTION("""COMPUTED_VALUE"""),1910.0)</f>
        <v>1910</v>
      </c>
      <c r="D1836" s="1">
        <f>IFERROR(__xludf.DUMMYFUNCTION("""COMPUTED_VALUE"""),1770.0)</f>
        <v>1770</v>
      </c>
      <c r="E1836" s="1">
        <f>IFERROR(__xludf.DUMMYFUNCTION("""COMPUTED_VALUE"""),1800.0)</f>
        <v>1800</v>
      </c>
      <c r="F1836" s="1">
        <f>IFERROR(__xludf.DUMMYFUNCTION("""COMPUTED_VALUE"""),206805.0)</f>
        <v>206805</v>
      </c>
    </row>
    <row r="1837">
      <c r="A1837" s="2">
        <f>IFERROR(__xludf.DUMMYFUNCTION("""COMPUTED_VALUE"""),43923.64583333333)</f>
        <v>43923.64583</v>
      </c>
      <c r="B1837" s="1">
        <f>IFERROR(__xludf.DUMMYFUNCTION("""COMPUTED_VALUE"""),1810.0)</f>
        <v>1810</v>
      </c>
      <c r="C1837" s="1">
        <f>IFERROR(__xludf.DUMMYFUNCTION("""COMPUTED_VALUE"""),2330.0)</f>
        <v>2330</v>
      </c>
      <c r="D1837" s="1">
        <f>IFERROR(__xludf.DUMMYFUNCTION("""COMPUTED_VALUE"""),1735.0)</f>
        <v>1735</v>
      </c>
      <c r="E1837" s="1">
        <f>IFERROR(__xludf.DUMMYFUNCTION("""COMPUTED_VALUE"""),2060.0)</f>
        <v>2060</v>
      </c>
      <c r="F1837" s="1">
        <f>IFERROR(__xludf.DUMMYFUNCTION("""COMPUTED_VALUE"""),2174428.0)</f>
        <v>2174428</v>
      </c>
    </row>
    <row r="1838">
      <c r="A1838" s="2">
        <f>IFERROR(__xludf.DUMMYFUNCTION("""COMPUTED_VALUE"""),43924.64583333333)</f>
        <v>43924.64583</v>
      </c>
      <c r="B1838" s="1">
        <f>IFERROR(__xludf.DUMMYFUNCTION("""COMPUTED_VALUE"""),2095.0)</f>
        <v>2095</v>
      </c>
      <c r="C1838" s="1">
        <f>IFERROR(__xludf.DUMMYFUNCTION("""COMPUTED_VALUE"""),2250.0)</f>
        <v>2250</v>
      </c>
      <c r="D1838" s="1">
        <f>IFERROR(__xludf.DUMMYFUNCTION("""COMPUTED_VALUE"""),1970.0)</f>
        <v>1970</v>
      </c>
      <c r="E1838" s="1">
        <f>IFERROR(__xludf.DUMMYFUNCTION("""COMPUTED_VALUE"""),2010.0)</f>
        <v>2010</v>
      </c>
      <c r="F1838" s="1">
        <f>IFERROR(__xludf.DUMMYFUNCTION("""COMPUTED_VALUE"""),433722.0)</f>
        <v>433722</v>
      </c>
    </row>
    <row r="1839">
      <c r="A1839" s="2">
        <f>IFERROR(__xludf.DUMMYFUNCTION("""COMPUTED_VALUE"""),43927.64583333333)</f>
        <v>43927.64583</v>
      </c>
      <c r="B1839" s="1">
        <f>IFERROR(__xludf.DUMMYFUNCTION("""COMPUTED_VALUE"""),2135.0)</f>
        <v>2135</v>
      </c>
      <c r="C1839" s="1">
        <f>IFERROR(__xludf.DUMMYFUNCTION("""COMPUTED_VALUE"""),2150.0)</f>
        <v>2150</v>
      </c>
      <c r="D1839" s="1">
        <f>IFERROR(__xludf.DUMMYFUNCTION("""COMPUTED_VALUE"""),1990.0)</f>
        <v>1990</v>
      </c>
      <c r="E1839" s="1">
        <f>IFERROR(__xludf.DUMMYFUNCTION("""COMPUTED_VALUE"""),2015.0)</f>
        <v>2015</v>
      </c>
      <c r="F1839" s="1">
        <f>IFERROR(__xludf.DUMMYFUNCTION("""COMPUTED_VALUE"""),274223.0)</f>
        <v>274223</v>
      </c>
    </row>
    <row r="1840">
      <c r="A1840" s="2">
        <f>IFERROR(__xludf.DUMMYFUNCTION("""COMPUTED_VALUE"""),43928.64583333333)</f>
        <v>43928.64583</v>
      </c>
      <c r="B1840" s="1">
        <f>IFERROR(__xludf.DUMMYFUNCTION("""COMPUTED_VALUE"""),2100.0)</f>
        <v>2100</v>
      </c>
      <c r="C1840" s="1">
        <f>IFERROR(__xludf.DUMMYFUNCTION("""COMPUTED_VALUE"""),2100.0)</f>
        <v>2100</v>
      </c>
      <c r="D1840" s="1">
        <f>IFERROR(__xludf.DUMMYFUNCTION("""COMPUTED_VALUE"""),1935.0)</f>
        <v>1935</v>
      </c>
      <c r="E1840" s="1">
        <f>IFERROR(__xludf.DUMMYFUNCTION("""COMPUTED_VALUE"""),1955.0)</f>
        <v>1955</v>
      </c>
      <c r="F1840" s="1">
        <f>IFERROR(__xludf.DUMMYFUNCTION("""COMPUTED_VALUE"""),276235.0)</f>
        <v>276235</v>
      </c>
    </row>
    <row r="1841">
      <c r="A1841" s="2">
        <f>IFERROR(__xludf.DUMMYFUNCTION("""COMPUTED_VALUE"""),43929.64583333333)</f>
        <v>43929.64583</v>
      </c>
      <c r="B1841" s="1">
        <f>IFERROR(__xludf.DUMMYFUNCTION("""COMPUTED_VALUE"""),2025.0)</f>
        <v>2025</v>
      </c>
      <c r="C1841" s="1">
        <f>IFERROR(__xludf.DUMMYFUNCTION("""COMPUTED_VALUE"""),2025.0)</f>
        <v>2025</v>
      </c>
      <c r="D1841" s="1">
        <f>IFERROR(__xludf.DUMMYFUNCTION("""COMPUTED_VALUE"""),1930.0)</f>
        <v>1930</v>
      </c>
      <c r="E1841" s="1">
        <f>IFERROR(__xludf.DUMMYFUNCTION("""COMPUTED_VALUE"""),1930.0)</f>
        <v>1930</v>
      </c>
      <c r="F1841" s="1">
        <f>IFERROR(__xludf.DUMMYFUNCTION("""COMPUTED_VALUE"""),137149.0)</f>
        <v>137149</v>
      </c>
    </row>
    <row r="1842">
      <c r="A1842" s="2">
        <f>IFERROR(__xludf.DUMMYFUNCTION("""COMPUTED_VALUE"""),43930.64583333333)</f>
        <v>43930.64583</v>
      </c>
      <c r="B1842" s="1">
        <f>IFERROR(__xludf.DUMMYFUNCTION("""COMPUTED_VALUE"""),1930.0)</f>
        <v>1930</v>
      </c>
      <c r="C1842" s="1">
        <f>IFERROR(__xludf.DUMMYFUNCTION("""COMPUTED_VALUE"""),2220.0)</f>
        <v>2220</v>
      </c>
      <c r="D1842" s="1">
        <f>IFERROR(__xludf.DUMMYFUNCTION("""COMPUTED_VALUE"""),1930.0)</f>
        <v>1930</v>
      </c>
      <c r="E1842" s="1">
        <f>IFERROR(__xludf.DUMMYFUNCTION("""COMPUTED_VALUE"""),2140.0)</f>
        <v>2140</v>
      </c>
      <c r="F1842" s="1">
        <f>IFERROR(__xludf.DUMMYFUNCTION("""COMPUTED_VALUE"""),435617.0)</f>
        <v>435617</v>
      </c>
    </row>
    <row r="1843">
      <c r="A1843" s="2">
        <f>IFERROR(__xludf.DUMMYFUNCTION("""COMPUTED_VALUE"""),43931.64583333333)</f>
        <v>43931.64583</v>
      </c>
      <c r="B1843" s="1">
        <f>IFERROR(__xludf.DUMMYFUNCTION("""COMPUTED_VALUE"""),2145.0)</f>
        <v>2145</v>
      </c>
      <c r="C1843" s="1">
        <f>IFERROR(__xludf.DUMMYFUNCTION("""COMPUTED_VALUE"""),2450.0)</f>
        <v>2450</v>
      </c>
      <c r="D1843" s="1">
        <f>IFERROR(__xludf.DUMMYFUNCTION("""COMPUTED_VALUE"""),2110.0)</f>
        <v>2110</v>
      </c>
      <c r="E1843" s="1">
        <f>IFERROR(__xludf.DUMMYFUNCTION("""COMPUTED_VALUE"""),2215.0)</f>
        <v>2215</v>
      </c>
      <c r="F1843" s="1">
        <f>IFERROR(__xludf.DUMMYFUNCTION("""COMPUTED_VALUE"""),544973.0)</f>
        <v>544973</v>
      </c>
    </row>
    <row r="1844">
      <c r="A1844" s="2">
        <f>IFERROR(__xludf.DUMMYFUNCTION("""COMPUTED_VALUE"""),43934.64583333333)</f>
        <v>43934.64583</v>
      </c>
      <c r="B1844" s="1">
        <f>IFERROR(__xludf.DUMMYFUNCTION("""COMPUTED_VALUE"""),2220.0)</f>
        <v>2220</v>
      </c>
      <c r="C1844" s="1">
        <f>IFERROR(__xludf.DUMMYFUNCTION("""COMPUTED_VALUE"""),2245.0)</f>
        <v>2245</v>
      </c>
      <c r="D1844" s="1">
        <f>IFERROR(__xludf.DUMMYFUNCTION("""COMPUTED_VALUE"""),2150.0)</f>
        <v>2150</v>
      </c>
      <c r="E1844" s="1">
        <f>IFERROR(__xludf.DUMMYFUNCTION("""COMPUTED_VALUE"""),2190.0)</f>
        <v>2190</v>
      </c>
      <c r="F1844" s="1">
        <f>IFERROR(__xludf.DUMMYFUNCTION("""COMPUTED_VALUE"""),176355.0)</f>
        <v>176355</v>
      </c>
    </row>
    <row r="1845">
      <c r="A1845" s="2">
        <f>IFERROR(__xludf.DUMMYFUNCTION("""COMPUTED_VALUE"""),43935.64583333333)</f>
        <v>43935.64583</v>
      </c>
      <c r="B1845" s="1">
        <f>IFERROR(__xludf.DUMMYFUNCTION("""COMPUTED_VALUE"""),2200.0)</f>
        <v>2200</v>
      </c>
      <c r="C1845" s="1">
        <f>IFERROR(__xludf.DUMMYFUNCTION("""COMPUTED_VALUE"""),2320.0)</f>
        <v>2320</v>
      </c>
      <c r="D1845" s="1">
        <f>IFERROR(__xludf.DUMMYFUNCTION("""COMPUTED_VALUE"""),2160.0)</f>
        <v>2160</v>
      </c>
      <c r="E1845" s="1">
        <f>IFERROR(__xludf.DUMMYFUNCTION("""COMPUTED_VALUE"""),2250.0)</f>
        <v>2250</v>
      </c>
      <c r="F1845" s="1">
        <f>IFERROR(__xludf.DUMMYFUNCTION("""COMPUTED_VALUE"""),219855.0)</f>
        <v>219855</v>
      </c>
    </row>
    <row r="1846">
      <c r="A1846" s="2">
        <f>IFERROR(__xludf.DUMMYFUNCTION("""COMPUTED_VALUE"""),43937.64583333333)</f>
        <v>43937.64583</v>
      </c>
      <c r="B1846" s="1">
        <f>IFERROR(__xludf.DUMMYFUNCTION("""COMPUTED_VALUE"""),2315.0)</f>
        <v>2315</v>
      </c>
      <c r="C1846" s="1">
        <f>IFERROR(__xludf.DUMMYFUNCTION("""COMPUTED_VALUE"""),2315.0)</f>
        <v>2315</v>
      </c>
      <c r="D1846" s="1">
        <f>IFERROR(__xludf.DUMMYFUNCTION("""COMPUTED_VALUE"""),2130.0)</f>
        <v>2130</v>
      </c>
      <c r="E1846" s="1">
        <f>IFERROR(__xludf.DUMMYFUNCTION("""COMPUTED_VALUE"""),2195.0)</f>
        <v>2195</v>
      </c>
      <c r="F1846" s="1">
        <f>IFERROR(__xludf.DUMMYFUNCTION("""COMPUTED_VALUE"""),223822.0)</f>
        <v>223822</v>
      </c>
    </row>
    <row r="1847">
      <c r="A1847" s="2">
        <f>IFERROR(__xludf.DUMMYFUNCTION("""COMPUTED_VALUE"""),43938.64583333333)</f>
        <v>43938.64583</v>
      </c>
      <c r="B1847" s="1">
        <f>IFERROR(__xludf.DUMMYFUNCTION("""COMPUTED_VALUE"""),2290.0)</f>
        <v>2290</v>
      </c>
      <c r="C1847" s="1">
        <f>IFERROR(__xludf.DUMMYFUNCTION("""COMPUTED_VALUE"""),2385.0)</f>
        <v>2385</v>
      </c>
      <c r="D1847" s="1">
        <f>IFERROR(__xludf.DUMMYFUNCTION("""COMPUTED_VALUE"""),2190.0)</f>
        <v>2190</v>
      </c>
      <c r="E1847" s="1">
        <f>IFERROR(__xludf.DUMMYFUNCTION("""COMPUTED_VALUE"""),2210.0)</f>
        <v>2210</v>
      </c>
      <c r="F1847" s="1">
        <f>IFERROR(__xludf.DUMMYFUNCTION("""COMPUTED_VALUE"""),345088.0)</f>
        <v>345088</v>
      </c>
    </row>
    <row r="1848">
      <c r="A1848" s="2">
        <f>IFERROR(__xludf.DUMMYFUNCTION("""COMPUTED_VALUE"""),43941.64583333333)</f>
        <v>43941.64583</v>
      </c>
      <c r="B1848" s="1">
        <f>IFERROR(__xludf.DUMMYFUNCTION("""COMPUTED_VALUE"""),2220.0)</f>
        <v>2220</v>
      </c>
      <c r="C1848" s="1">
        <f>IFERROR(__xludf.DUMMYFUNCTION("""COMPUTED_VALUE"""),2330.0)</f>
        <v>2330</v>
      </c>
      <c r="D1848" s="1">
        <f>IFERROR(__xludf.DUMMYFUNCTION("""COMPUTED_VALUE"""),2210.0)</f>
        <v>2210</v>
      </c>
      <c r="E1848" s="1">
        <f>IFERROR(__xludf.DUMMYFUNCTION("""COMPUTED_VALUE"""),2315.0)</f>
        <v>2315</v>
      </c>
      <c r="F1848" s="1">
        <f>IFERROR(__xludf.DUMMYFUNCTION("""COMPUTED_VALUE"""),220723.0)</f>
        <v>220723</v>
      </c>
    </row>
    <row r="1849">
      <c r="A1849" s="2">
        <f>IFERROR(__xludf.DUMMYFUNCTION("""COMPUTED_VALUE"""),43942.64583333333)</f>
        <v>43942.64583</v>
      </c>
      <c r="B1849" s="1">
        <f>IFERROR(__xludf.DUMMYFUNCTION("""COMPUTED_VALUE"""),2340.0)</f>
        <v>2340</v>
      </c>
      <c r="C1849" s="1">
        <f>IFERROR(__xludf.DUMMYFUNCTION("""COMPUTED_VALUE"""),2345.0)</f>
        <v>2345</v>
      </c>
      <c r="D1849" s="1">
        <f>IFERROR(__xludf.DUMMYFUNCTION("""COMPUTED_VALUE"""),2110.0)</f>
        <v>2110</v>
      </c>
      <c r="E1849" s="1">
        <f>IFERROR(__xludf.DUMMYFUNCTION("""COMPUTED_VALUE"""),2300.0)</f>
        <v>2300</v>
      </c>
      <c r="F1849" s="1">
        <f>IFERROR(__xludf.DUMMYFUNCTION("""COMPUTED_VALUE"""),281390.0)</f>
        <v>281390</v>
      </c>
    </row>
    <row r="1850">
      <c r="A1850" s="2">
        <f>IFERROR(__xludf.DUMMYFUNCTION("""COMPUTED_VALUE"""),43943.64583333333)</f>
        <v>43943.64583</v>
      </c>
      <c r="B1850" s="1">
        <f>IFERROR(__xludf.DUMMYFUNCTION("""COMPUTED_VALUE"""),2245.0)</f>
        <v>2245</v>
      </c>
      <c r="C1850" s="1">
        <f>IFERROR(__xludf.DUMMYFUNCTION("""COMPUTED_VALUE"""),2340.0)</f>
        <v>2340</v>
      </c>
      <c r="D1850" s="1">
        <f>IFERROR(__xludf.DUMMYFUNCTION("""COMPUTED_VALUE"""),2200.0)</f>
        <v>2200</v>
      </c>
      <c r="E1850" s="1">
        <f>IFERROR(__xludf.DUMMYFUNCTION("""COMPUTED_VALUE"""),2330.0)</f>
        <v>2330</v>
      </c>
      <c r="F1850" s="1">
        <f>IFERROR(__xludf.DUMMYFUNCTION("""COMPUTED_VALUE"""),88152.0)</f>
        <v>88152</v>
      </c>
    </row>
    <row r="1851">
      <c r="A1851" s="2">
        <f>IFERROR(__xludf.DUMMYFUNCTION("""COMPUTED_VALUE"""),43944.64583333333)</f>
        <v>43944.64583</v>
      </c>
      <c r="B1851" s="1">
        <f>IFERROR(__xludf.DUMMYFUNCTION("""COMPUTED_VALUE"""),2350.0)</f>
        <v>2350</v>
      </c>
      <c r="C1851" s="1">
        <f>IFERROR(__xludf.DUMMYFUNCTION("""COMPUTED_VALUE"""),2400.0)</f>
        <v>2400</v>
      </c>
      <c r="D1851" s="1">
        <f>IFERROR(__xludf.DUMMYFUNCTION("""COMPUTED_VALUE"""),2310.0)</f>
        <v>2310</v>
      </c>
      <c r="E1851" s="1">
        <f>IFERROR(__xludf.DUMMYFUNCTION("""COMPUTED_VALUE"""),2395.0)</f>
        <v>2395</v>
      </c>
      <c r="F1851" s="1">
        <f>IFERROR(__xludf.DUMMYFUNCTION("""COMPUTED_VALUE"""),139900.0)</f>
        <v>139900</v>
      </c>
    </row>
    <row r="1852">
      <c r="A1852" s="2">
        <f>IFERROR(__xludf.DUMMYFUNCTION("""COMPUTED_VALUE"""),43945.64583333333)</f>
        <v>43945.64583</v>
      </c>
      <c r="B1852" s="1">
        <f>IFERROR(__xludf.DUMMYFUNCTION("""COMPUTED_VALUE"""),2395.0)</f>
        <v>2395</v>
      </c>
      <c r="C1852" s="1">
        <f>IFERROR(__xludf.DUMMYFUNCTION("""COMPUTED_VALUE"""),2425.0)</f>
        <v>2425</v>
      </c>
      <c r="D1852" s="1">
        <f>IFERROR(__xludf.DUMMYFUNCTION("""COMPUTED_VALUE"""),2315.0)</f>
        <v>2315</v>
      </c>
      <c r="E1852" s="1">
        <f>IFERROR(__xludf.DUMMYFUNCTION("""COMPUTED_VALUE"""),2325.0)</f>
        <v>2325</v>
      </c>
      <c r="F1852" s="1">
        <f>IFERROR(__xludf.DUMMYFUNCTION("""COMPUTED_VALUE"""),152251.0)</f>
        <v>152251</v>
      </c>
    </row>
    <row r="1853">
      <c r="A1853" s="2">
        <f>IFERROR(__xludf.DUMMYFUNCTION("""COMPUTED_VALUE"""),43948.64583333333)</f>
        <v>43948.64583</v>
      </c>
      <c r="B1853" s="1">
        <f>IFERROR(__xludf.DUMMYFUNCTION("""COMPUTED_VALUE"""),2325.0)</f>
        <v>2325</v>
      </c>
      <c r="C1853" s="1">
        <f>IFERROR(__xludf.DUMMYFUNCTION("""COMPUTED_VALUE"""),2360.0)</f>
        <v>2360</v>
      </c>
      <c r="D1853" s="1">
        <f>IFERROR(__xludf.DUMMYFUNCTION("""COMPUTED_VALUE"""),2305.0)</f>
        <v>2305</v>
      </c>
      <c r="E1853" s="1">
        <f>IFERROR(__xludf.DUMMYFUNCTION("""COMPUTED_VALUE"""),2345.0)</f>
        <v>2345</v>
      </c>
      <c r="F1853" s="1">
        <f>IFERROR(__xludf.DUMMYFUNCTION("""COMPUTED_VALUE"""),85801.0)</f>
        <v>85801</v>
      </c>
    </row>
    <row r="1854">
      <c r="A1854" s="2">
        <f>IFERROR(__xludf.DUMMYFUNCTION("""COMPUTED_VALUE"""),43949.64583333333)</f>
        <v>43949.64583</v>
      </c>
      <c r="B1854" s="1">
        <f>IFERROR(__xludf.DUMMYFUNCTION("""COMPUTED_VALUE"""),2370.0)</f>
        <v>2370</v>
      </c>
      <c r="C1854" s="1">
        <f>IFERROR(__xludf.DUMMYFUNCTION("""COMPUTED_VALUE"""),2880.0)</f>
        <v>2880</v>
      </c>
      <c r="D1854" s="1">
        <f>IFERROR(__xludf.DUMMYFUNCTION("""COMPUTED_VALUE"""),2345.0)</f>
        <v>2345</v>
      </c>
      <c r="E1854" s="1">
        <f>IFERROR(__xludf.DUMMYFUNCTION("""COMPUTED_VALUE"""),2600.0)</f>
        <v>2600</v>
      </c>
      <c r="F1854" s="1">
        <f>IFERROR(__xludf.DUMMYFUNCTION("""COMPUTED_VALUE"""),1817568.0)</f>
        <v>1817568</v>
      </c>
    </row>
    <row r="1855">
      <c r="A1855" s="2">
        <f>IFERROR(__xludf.DUMMYFUNCTION("""COMPUTED_VALUE"""),43950.64583333333)</f>
        <v>43950.64583</v>
      </c>
      <c r="B1855" s="1">
        <f>IFERROR(__xludf.DUMMYFUNCTION("""COMPUTED_VALUE"""),2765.0)</f>
        <v>2765</v>
      </c>
      <c r="C1855" s="1">
        <f>IFERROR(__xludf.DUMMYFUNCTION("""COMPUTED_VALUE"""),2765.0)</f>
        <v>2765</v>
      </c>
      <c r="D1855" s="1">
        <f>IFERROR(__xludf.DUMMYFUNCTION("""COMPUTED_VALUE"""),2590.0)</f>
        <v>2590</v>
      </c>
      <c r="E1855" s="1">
        <f>IFERROR(__xludf.DUMMYFUNCTION("""COMPUTED_VALUE"""),2665.0)</f>
        <v>2665</v>
      </c>
      <c r="F1855" s="1">
        <f>IFERROR(__xludf.DUMMYFUNCTION("""COMPUTED_VALUE"""),258507.0)</f>
        <v>258507</v>
      </c>
    </row>
    <row r="1856">
      <c r="A1856" s="2">
        <f>IFERROR(__xludf.DUMMYFUNCTION("""COMPUTED_VALUE"""),43955.64583333333)</f>
        <v>43955.64583</v>
      </c>
      <c r="B1856" s="1">
        <f>IFERROR(__xludf.DUMMYFUNCTION("""COMPUTED_VALUE"""),2670.0)</f>
        <v>2670</v>
      </c>
      <c r="C1856" s="1">
        <f>IFERROR(__xludf.DUMMYFUNCTION("""COMPUTED_VALUE"""),2750.0)</f>
        <v>2750</v>
      </c>
      <c r="D1856" s="1">
        <f>IFERROR(__xludf.DUMMYFUNCTION("""COMPUTED_VALUE"""),2650.0)</f>
        <v>2650</v>
      </c>
      <c r="E1856" s="1">
        <f>IFERROR(__xludf.DUMMYFUNCTION("""COMPUTED_VALUE"""),2680.0)</f>
        <v>2680</v>
      </c>
      <c r="F1856" s="1">
        <f>IFERROR(__xludf.DUMMYFUNCTION("""COMPUTED_VALUE"""),123602.0)</f>
        <v>123602</v>
      </c>
    </row>
    <row r="1857">
      <c r="A1857" s="2">
        <f>IFERROR(__xludf.DUMMYFUNCTION("""COMPUTED_VALUE"""),43957.64583333333)</f>
        <v>43957.64583</v>
      </c>
      <c r="B1857" s="1">
        <f>IFERROR(__xludf.DUMMYFUNCTION("""COMPUTED_VALUE"""),2760.0)</f>
        <v>2760</v>
      </c>
      <c r="C1857" s="1">
        <f>IFERROR(__xludf.DUMMYFUNCTION("""COMPUTED_VALUE"""),2760.0)</f>
        <v>2760</v>
      </c>
      <c r="D1857" s="1">
        <f>IFERROR(__xludf.DUMMYFUNCTION("""COMPUTED_VALUE"""),2560.0)</f>
        <v>2560</v>
      </c>
      <c r="E1857" s="1">
        <f>IFERROR(__xludf.DUMMYFUNCTION("""COMPUTED_VALUE"""),2630.0)</f>
        <v>2630</v>
      </c>
      <c r="F1857" s="1">
        <f>IFERROR(__xludf.DUMMYFUNCTION("""COMPUTED_VALUE"""),148883.0)</f>
        <v>148883</v>
      </c>
    </row>
    <row r="1858">
      <c r="A1858" s="2">
        <f>IFERROR(__xludf.DUMMYFUNCTION("""COMPUTED_VALUE"""),43958.64583333333)</f>
        <v>43958.64583</v>
      </c>
      <c r="B1858" s="1">
        <f>IFERROR(__xludf.DUMMYFUNCTION("""COMPUTED_VALUE"""),2625.0)</f>
        <v>2625</v>
      </c>
      <c r="C1858" s="1">
        <f>IFERROR(__xludf.DUMMYFUNCTION("""COMPUTED_VALUE"""),2630.0)</f>
        <v>2630</v>
      </c>
      <c r="D1858" s="1">
        <f>IFERROR(__xludf.DUMMYFUNCTION("""COMPUTED_VALUE"""),2510.0)</f>
        <v>2510</v>
      </c>
      <c r="E1858" s="1">
        <f>IFERROR(__xludf.DUMMYFUNCTION("""COMPUTED_VALUE"""),2630.0)</f>
        <v>2630</v>
      </c>
      <c r="F1858" s="1">
        <f>IFERROR(__xludf.DUMMYFUNCTION("""COMPUTED_VALUE"""),126294.0)</f>
        <v>126294</v>
      </c>
    </row>
    <row r="1859">
      <c r="A1859" s="2">
        <f>IFERROR(__xludf.DUMMYFUNCTION("""COMPUTED_VALUE"""),43959.64583333333)</f>
        <v>43959.64583</v>
      </c>
      <c r="B1859" s="1">
        <f>IFERROR(__xludf.DUMMYFUNCTION("""COMPUTED_VALUE"""),2630.0)</f>
        <v>2630</v>
      </c>
      <c r="C1859" s="1">
        <f>IFERROR(__xludf.DUMMYFUNCTION("""COMPUTED_VALUE"""),2700.0)</f>
        <v>2700</v>
      </c>
      <c r="D1859" s="1">
        <f>IFERROR(__xludf.DUMMYFUNCTION("""COMPUTED_VALUE"""),2585.0)</f>
        <v>2585</v>
      </c>
      <c r="E1859" s="1">
        <f>IFERROR(__xludf.DUMMYFUNCTION("""COMPUTED_VALUE"""),2670.0)</f>
        <v>2670</v>
      </c>
      <c r="F1859" s="1">
        <f>IFERROR(__xludf.DUMMYFUNCTION("""COMPUTED_VALUE"""),70372.0)</f>
        <v>70372</v>
      </c>
    </row>
    <row r="1860">
      <c r="A1860" s="2">
        <f>IFERROR(__xludf.DUMMYFUNCTION("""COMPUTED_VALUE"""),43962.64583333333)</f>
        <v>43962.64583</v>
      </c>
      <c r="B1860" s="1">
        <f>IFERROR(__xludf.DUMMYFUNCTION("""COMPUTED_VALUE"""),2665.0)</f>
        <v>2665</v>
      </c>
      <c r="C1860" s="1">
        <f>IFERROR(__xludf.DUMMYFUNCTION("""COMPUTED_VALUE"""),2750.0)</f>
        <v>2750</v>
      </c>
      <c r="D1860" s="1">
        <f>IFERROR(__xludf.DUMMYFUNCTION("""COMPUTED_VALUE"""),2645.0)</f>
        <v>2645</v>
      </c>
      <c r="E1860" s="1">
        <f>IFERROR(__xludf.DUMMYFUNCTION("""COMPUTED_VALUE"""),2730.0)</f>
        <v>2730</v>
      </c>
      <c r="F1860" s="1">
        <f>IFERROR(__xludf.DUMMYFUNCTION("""COMPUTED_VALUE"""),163688.0)</f>
        <v>163688</v>
      </c>
    </row>
    <row r="1861">
      <c r="A1861" s="2">
        <f>IFERROR(__xludf.DUMMYFUNCTION("""COMPUTED_VALUE"""),43963.64583333333)</f>
        <v>43963.64583</v>
      </c>
      <c r="B1861" s="1">
        <f>IFERROR(__xludf.DUMMYFUNCTION("""COMPUTED_VALUE"""),2730.0)</f>
        <v>2730</v>
      </c>
      <c r="C1861" s="1">
        <f>IFERROR(__xludf.DUMMYFUNCTION("""COMPUTED_VALUE"""),3135.0)</f>
        <v>3135</v>
      </c>
      <c r="D1861" s="1">
        <f>IFERROR(__xludf.DUMMYFUNCTION("""COMPUTED_VALUE"""),2715.0)</f>
        <v>2715</v>
      </c>
      <c r="E1861" s="1">
        <f>IFERROR(__xludf.DUMMYFUNCTION("""COMPUTED_VALUE"""),3005.0)</f>
        <v>3005</v>
      </c>
      <c r="F1861" s="1">
        <f>IFERROR(__xludf.DUMMYFUNCTION("""COMPUTED_VALUE"""),760722.0)</f>
        <v>760722</v>
      </c>
    </row>
    <row r="1862">
      <c r="A1862" s="2">
        <f>IFERROR(__xludf.DUMMYFUNCTION("""COMPUTED_VALUE"""),43964.64583333333)</f>
        <v>43964.64583</v>
      </c>
      <c r="B1862" s="1">
        <f>IFERROR(__xludf.DUMMYFUNCTION("""COMPUTED_VALUE"""),3030.0)</f>
        <v>3030</v>
      </c>
      <c r="C1862" s="1">
        <f>IFERROR(__xludf.DUMMYFUNCTION("""COMPUTED_VALUE"""),3330.0)</f>
        <v>3330</v>
      </c>
      <c r="D1862" s="1">
        <f>IFERROR(__xludf.DUMMYFUNCTION("""COMPUTED_VALUE"""),2965.0)</f>
        <v>2965</v>
      </c>
      <c r="E1862" s="1">
        <f>IFERROR(__xludf.DUMMYFUNCTION("""COMPUTED_VALUE"""),3290.0)</f>
        <v>3290</v>
      </c>
      <c r="F1862" s="1">
        <f>IFERROR(__xludf.DUMMYFUNCTION("""COMPUTED_VALUE"""),519497.0)</f>
        <v>519497</v>
      </c>
    </row>
    <row r="1863">
      <c r="A1863" s="2">
        <f>IFERROR(__xludf.DUMMYFUNCTION("""COMPUTED_VALUE"""),43965.64583333333)</f>
        <v>43965.64583</v>
      </c>
      <c r="B1863" s="1">
        <f>IFERROR(__xludf.DUMMYFUNCTION("""COMPUTED_VALUE"""),3290.0)</f>
        <v>3290</v>
      </c>
      <c r="C1863" s="1">
        <f>IFERROR(__xludf.DUMMYFUNCTION("""COMPUTED_VALUE"""),3365.0)</f>
        <v>3365</v>
      </c>
      <c r="D1863" s="1">
        <f>IFERROR(__xludf.DUMMYFUNCTION("""COMPUTED_VALUE"""),3160.0)</f>
        <v>3160</v>
      </c>
      <c r="E1863" s="1">
        <f>IFERROR(__xludf.DUMMYFUNCTION("""COMPUTED_VALUE"""),3285.0)</f>
        <v>3285</v>
      </c>
      <c r="F1863" s="1">
        <f>IFERROR(__xludf.DUMMYFUNCTION("""COMPUTED_VALUE"""),326228.0)</f>
        <v>326228</v>
      </c>
    </row>
    <row r="1864">
      <c r="A1864" s="2">
        <f>IFERROR(__xludf.DUMMYFUNCTION("""COMPUTED_VALUE"""),43966.64583333333)</f>
        <v>43966.64583</v>
      </c>
      <c r="B1864" s="1">
        <f>IFERROR(__xludf.DUMMYFUNCTION("""COMPUTED_VALUE"""),3300.0)</f>
        <v>3300</v>
      </c>
      <c r="C1864" s="1">
        <f>IFERROR(__xludf.DUMMYFUNCTION("""COMPUTED_VALUE"""),3555.0)</f>
        <v>3555</v>
      </c>
      <c r="D1864" s="1">
        <f>IFERROR(__xludf.DUMMYFUNCTION("""COMPUTED_VALUE"""),3230.0)</f>
        <v>3230</v>
      </c>
      <c r="E1864" s="1">
        <f>IFERROR(__xludf.DUMMYFUNCTION("""COMPUTED_VALUE"""),3300.0)</f>
        <v>3300</v>
      </c>
      <c r="F1864" s="1">
        <f>IFERROR(__xludf.DUMMYFUNCTION("""COMPUTED_VALUE"""),393532.0)</f>
        <v>393532</v>
      </c>
    </row>
    <row r="1865">
      <c r="A1865" s="2">
        <f>IFERROR(__xludf.DUMMYFUNCTION("""COMPUTED_VALUE"""),43969.64583333333)</f>
        <v>43969.64583</v>
      </c>
      <c r="B1865" s="1">
        <f>IFERROR(__xludf.DUMMYFUNCTION("""COMPUTED_VALUE"""),3330.0)</f>
        <v>3330</v>
      </c>
      <c r="C1865" s="1">
        <f>IFERROR(__xludf.DUMMYFUNCTION("""COMPUTED_VALUE"""),3430.0)</f>
        <v>3430</v>
      </c>
      <c r="D1865" s="1">
        <f>IFERROR(__xludf.DUMMYFUNCTION("""COMPUTED_VALUE"""),3195.0)</f>
        <v>3195</v>
      </c>
      <c r="E1865" s="1">
        <f>IFERROR(__xludf.DUMMYFUNCTION("""COMPUTED_VALUE"""),3270.0)</f>
        <v>3270</v>
      </c>
      <c r="F1865" s="1">
        <f>IFERROR(__xludf.DUMMYFUNCTION("""COMPUTED_VALUE"""),324590.0)</f>
        <v>324590</v>
      </c>
    </row>
    <row r="1866">
      <c r="A1866" s="2">
        <f>IFERROR(__xludf.DUMMYFUNCTION("""COMPUTED_VALUE"""),43970.64583333333)</f>
        <v>43970.64583</v>
      </c>
      <c r="B1866" s="1">
        <f>IFERROR(__xludf.DUMMYFUNCTION("""COMPUTED_VALUE"""),3255.0)</f>
        <v>3255</v>
      </c>
      <c r="C1866" s="1">
        <f>IFERROR(__xludf.DUMMYFUNCTION("""COMPUTED_VALUE"""),3270.0)</f>
        <v>3270</v>
      </c>
      <c r="D1866" s="1">
        <f>IFERROR(__xludf.DUMMYFUNCTION("""COMPUTED_VALUE"""),3050.0)</f>
        <v>3050</v>
      </c>
      <c r="E1866" s="1">
        <f>IFERROR(__xludf.DUMMYFUNCTION("""COMPUTED_VALUE"""),3165.0)</f>
        <v>3165</v>
      </c>
      <c r="F1866" s="1">
        <f>IFERROR(__xludf.DUMMYFUNCTION("""COMPUTED_VALUE"""),179608.0)</f>
        <v>179608</v>
      </c>
    </row>
    <row r="1867">
      <c r="A1867" s="2">
        <f>IFERROR(__xludf.DUMMYFUNCTION("""COMPUTED_VALUE"""),43971.64583333333)</f>
        <v>43971.64583</v>
      </c>
      <c r="B1867" s="1">
        <f>IFERROR(__xludf.DUMMYFUNCTION("""COMPUTED_VALUE"""),3170.0)</f>
        <v>3170</v>
      </c>
      <c r="C1867" s="1">
        <f>IFERROR(__xludf.DUMMYFUNCTION("""COMPUTED_VALUE"""),3215.0)</f>
        <v>3215</v>
      </c>
      <c r="D1867" s="1">
        <f>IFERROR(__xludf.DUMMYFUNCTION("""COMPUTED_VALUE"""),3105.0)</f>
        <v>3105</v>
      </c>
      <c r="E1867" s="1">
        <f>IFERROR(__xludf.DUMMYFUNCTION("""COMPUTED_VALUE"""),3170.0)</f>
        <v>3170</v>
      </c>
      <c r="F1867" s="1">
        <f>IFERROR(__xludf.DUMMYFUNCTION("""COMPUTED_VALUE"""),87680.0)</f>
        <v>87680</v>
      </c>
    </row>
    <row r="1868">
      <c r="A1868" s="2">
        <f>IFERROR(__xludf.DUMMYFUNCTION("""COMPUTED_VALUE"""),43972.64583333333)</f>
        <v>43972.64583</v>
      </c>
      <c r="B1868" s="1">
        <f>IFERROR(__xludf.DUMMYFUNCTION("""COMPUTED_VALUE"""),3240.0)</f>
        <v>3240</v>
      </c>
      <c r="C1868" s="1">
        <f>IFERROR(__xludf.DUMMYFUNCTION("""COMPUTED_VALUE"""),3240.0)</f>
        <v>3240</v>
      </c>
      <c r="D1868" s="1">
        <f>IFERROR(__xludf.DUMMYFUNCTION("""COMPUTED_VALUE"""),3140.0)</f>
        <v>3140</v>
      </c>
      <c r="E1868" s="1">
        <f>IFERROR(__xludf.DUMMYFUNCTION("""COMPUTED_VALUE"""),3175.0)</f>
        <v>3175</v>
      </c>
      <c r="F1868" s="1">
        <f>IFERROR(__xludf.DUMMYFUNCTION("""COMPUTED_VALUE"""),66898.0)</f>
        <v>66898</v>
      </c>
    </row>
    <row r="1869">
      <c r="A1869" s="2">
        <f>IFERROR(__xludf.DUMMYFUNCTION("""COMPUTED_VALUE"""),43973.64583333333)</f>
        <v>43973.64583</v>
      </c>
      <c r="B1869" s="1">
        <f>IFERROR(__xludf.DUMMYFUNCTION("""COMPUTED_VALUE"""),3175.0)</f>
        <v>3175</v>
      </c>
      <c r="C1869" s="1">
        <f>IFERROR(__xludf.DUMMYFUNCTION("""COMPUTED_VALUE"""),3460.0)</f>
        <v>3460</v>
      </c>
      <c r="D1869" s="1">
        <f>IFERROR(__xludf.DUMMYFUNCTION("""COMPUTED_VALUE"""),3135.0)</f>
        <v>3135</v>
      </c>
      <c r="E1869" s="1">
        <f>IFERROR(__xludf.DUMMYFUNCTION("""COMPUTED_VALUE"""),3285.0)</f>
        <v>3285</v>
      </c>
      <c r="F1869" s="1">
        <f>IFERROR(__xludf.DUMMYFUNCTION("""COMPUTED_VALUE"""),251784.0)</f>
        <v>251784</v>
      </c>
    </row>
    <row r="1870">
      <c r="A1870" s="2">
        <f>IFERROR(__xludf.DUMMYFUNCTION("""COMPUTED_VALUE"""),43976.64583333333)</f>
        <v>43976.64583</v>
      </c>
      <c r="B1870" s="1">
        <f>IFERROR(__xludf.DUMMYFUNCTION("""COMPUTED_VALUE"""),3690.0)</f>
        <v>3690</v>
      </c>
      <c r="C1870" s="1">
        <f>IFERROR(__xludf.DUMMYFUNCTION("""COMPUTED_VALUE"""),3815.0)</f>
        <v>3815</v>
      </c>
      <c r="D1870" s="1">
        <f>IFERROR(__xludf.DUMMYFUNCTION("""COMPUTED_VALUE"""),3325.0)</f>
        <v>3325</v>
      </c>
      <c r="E1870" s="1">
        <f>IFERROR(__xludf.DUMMYFUNCTION("""COMPUTED_VALUE"""),3660.0)</f>
        <v>3660</v>
      </c>
      <c r="F1870" s="1">
        <f>IFERROR(__xludf.DUMMYFUNCTION("""COMPUTED_VALUE"""),963982.0)</f>
        <v>963982</v>
      </c>
    </row>
    <row r="1871">
      <c r="A1871" s="2">
        <f>IFERROR(__xludf.DUMMYFUNCTION("""COMPUTED_VALUE"""),43977.64583333333)</f>
        <v>43977.64583</v>
      </c>
      <c r="B1871" s="1">
        <f>IFERROR(__xludf.DUMMYFUNCTION("""COMPUTED_VALUE"""),3755.0)</f>
        <v>3755</v>
      </c>
      <c r="C1871" s="1">
        <f>IFERROR(__xludf.DUMMYFUNCTION("""COMPUTED_VALUE"""),3755.0)</f>
        <v>3755</v>
      </c>
      <c r="D1871" s="1">
        <f>IFERROR(__xludf.DUMMYFUNCTION("""COMPUTED_VALUE"""),3515.0)</f>
        <v>3515</v>
      </c>
      <c r="E1871" s="1">
        <f>IFERROR(__xludf.DUMMYFUNCTION("""COMPUTED_VALUE"""),3660.0)</f>
        <v>3660</v>
      </c>
      <c r="F1871" s="1">
        <f>IFERROR(__xludf.DUMMYFUNCTION("""COMPUTED_VALUE"""),179161.0)</f>
        <v>179161</v>
      </c>
    </row>
    <row r="1872">
      <c r="A1872" s="2">
        <f>IFERROR(__xludf.DUMMYFUNCTION("""COMPUTED_VALUE"""),43978.64583333333)</f>
        <v>43978.64583</v>
      </c>
      <c r="B1872" s="1">
        <f>IFERROR(__xludf.DUMMYFUNCTION("""COMPUTED_VALUE"""),3715.0)</f>
        <v>3715</v>
      </c>
      <c r="C1872" s="1">
        <f>IFERROR(__xludf.DUMMYFUNCTION("""COMPUTED_VALUE"""),3885.0)</f>
        <v>3885</v>
      </c>
      <c r="D1872" s="1">
        <f>IFERROR(__xludf.DUMMYFUNCTION("""COMPUTED_VALUE"""),3635.0)</f>
        <v>3635</v>
      </c>
      <c r="E1872" s="1">
        <f>IFERROR(__xludf.DUMMYFUNCTION("""COMPUTED_VALUE"""),3860.0)</f>
        <v>3860</v>
      </c>
      <c r="F1872" s="1">
        <f>IFERROR(__xludf.DUMMYFUNCTION("""COMPUTED_VALUE"""),285820.0)</f>
        <v>285820</v>
      </c>
    </row>
    <row r="1873">
      <c r="A1873" s="2">
        <f>IFERROR(__xludf.DUMMYFUNCTION("""COMPUTED_VALUE"""),43979.64583333333)</f>
        <v>43979.64583</v>
      </c>
      <c r="B1873" s="1">
        <f>IFERROR(__xludf.DUMMYFUNCTION("""COMPUTED_VALUE"""),3860.0)</f>
        <v>3860</v>
      </c>
      <c r="C1873" s="1">
        <f>IFERROR(__xludf.DUMMYFUNCTION("""COMPUTED_VALUE"""),4610.0)</f>
        <v>4610</v>
      </c>
      <c r="D1873" s="1">
        <f>IFERROR(__xludf.DUMMYFUNCTION("""COMPUTED_VALUE"""),3860.0)</f>
        <v>3860</v>
      </c>
      <c r="E1873" s="1">
        <f>IFERROR(__xludf.DUMMYFUNCTION("""COMPUTED_VALUE"""),4500.0)</f>
        <v>4500</v>
      </c>
      <c r="F1873" s="1">
        <f>IFERROR(__xludf.DUMMYFUNCTION("""COMPUTED_VALUE"""),1311912.0)</f>
        <v>1311912</v>
      </c>
    </row>
    <row r="1874">
      <c r="A1874" s="2">
        <f>IFERROR(__xludf.DUMMYFUNCTION("""COMPUTED_VALUE"""),43980.64583333333)</f>
        <v>43980.64583</v>
      </c>
      <c r="B1874" s="1">
        <f>IFERROR(__xludf.DUMMYFUNCTION("""COMPUTED_VALUE"""),4500.0)</f>
        <v>4500</v>
      </c>
      <c r="C1874" s="1">
        <f>IFERROR(__xludf.DUMMYFUNCTION("""COMPUTED_VALUE"""),4995.0)</f>
        <v>4995</v>
      </c>
      <c r="D1874" s="1">
        <f>IFERROR(__xludf.DUMMYFUNCTION("""COMPUTED_VALUE"""),4410.0)</f>
        <v>4410</v>
      </c>
      <c r="E1874" s="1">
        <f>IFERROR(__xludf.DUMMYFUNCTION("""COMPUTED_VALUE"""),4945.0)</f>
        <v>4945</v>
      </c>
      <c r="F1874" s="1">
        <f>IFERROR(__xludf.DUMMYFUNCTION("""COMPUTED_VALUE"""),909227.0)</f>
        <v>909227</v>
      </c>
    </row>
    <row r="1875">
      <c r="A1875" s="2">
        <f>IFERROR(__xludf.DUMMYFUNCTION("""COMPUTED_VALUE"""),43983.64583333333)</f>
        <v>43983.64583</v>
      </c>
      <c r="B1875" s="1">
        <f>IFERROR(__xludf.DUMMYFUNCTION("""COMPUTED_VALUE"""),4855.0)</f>
        <v>4855</v>
      </c>
      <c r="C1875" s="1">
        <f>IFERROR(__xludf.DUMMYFUNCTION("""COMPUTED_VALUE"""),4995.0)</f>
        <v>4995</v>
      </c>
      <c r="D1875" s="1">
        <f>IFERROR(__xludf.DUMMYFUNCTION("""COMPUTED_VALUE"""),4810.0)</f>
        <v>4810</v>
      </c>
      <c r="E1875" s="1">
        <f>IFERROR(__xludf.DUMMYFUNCTION("""COMPUTED_VALUE"""),4865.0)</f>
        <v>4865</v>
      </c>
      <c r="F1875" s="1">
        <f>IFERROR(__xludf.DUMMYFUNCTION("""COMPUTED_VALUE"""),387235.0)</f>
        <v>387235</v>
      </c>
    </row>
    <row r="1876">
      <c r="A1876" s="2">
        <f>IFERROR(__xludf.DUMMYFUNCTION("""COMPUTED_VALUE"""),43984.64583333333)</f>
        <v>43984.64583</v>
      </c>
      <c r="B1876" s="1">
        <f>IFERROR(__xludf.DUMMYFUNCTION("""COMPUTED_VALUE"""),4865.0)</f>
        <v>4865</v>
      </c>
      <c r="C1876" s="1">
        <f>IFERROR(__xludf.DUMMYFUNCTION("""COMPUTED_VALUE"""),4865.0)</f>
        <v>4865</v>
      </c>
      <c r="D1876" s="1">
        <f>IFERROR(__xludf.DUMMYFUNCTION("""COMPUTED_VALUE"""),4290.0)</f>
        <v>4290</v>
      </c>
      <c r="E1876" s="1">
        <f>IFERROR(__xludf.DUMMYFUNCTION("""COMPUTED_VALUE"""),4485.0)</f>
        <v>4485</v>
      </c>
      <c r="F1876" s="1">
        <f>IFERROR(__xludf.DUMMYFUNCTION("""COMPUTED_VALUE"""),548617.0)</f>
        <v>548617</v>
      </c>
    </row>
    <row r="1877">
      <c r="A1877" s="2">
        <f>IFERROR(__xludf.DUMMYFUNCTION("""COMPUTED_VALUE"""),43985.64583333333)</f>
        <v>43985.64583</v>
      </c>
      <c r="B1877" s="1">
        <f>IFERROR(__xludf.DUMMYFUNCTION("""COMPUTED_VALUE"""),4485.0)</f>
        <v>4485</v>
      </c>
      <c r="C1877" s="1">
        <f>IFERROR(__xludf.DUMMYFUNCTION("""COMPUTED_VALUE"""),4500.0)</f>
        <v>4500</v>
      </c>
      <c r="D1877" s="1">
        <f>IFERROR(__xludf.DUMMYFUNCTION("""COMPUTED_VALUE"""),4105.0)</f>
        <v>4105</v>
      </c>
      <c r="E1877" s="1">
        <f>IFERROR(__xludf.DUMMYFUNCTION("""COMPUTED_VALUE"""),4220.0)</f>
        <v>4220</v>
      </c>
      <c r="F1877" s="1">
        <f>IFERROR(__xludf.DUMMYFUNCTION("""COMPUTED_VALUE"""),353618.0)</f>
        <v>353618</v>
      </c>
    </row>
    <row r="1878">
      <c r="A1878" s="2">
        <f>IFERROR(__xludf.DUMMYFUNCTION("""COMPUTED_VALUE"""),43986.64583333333)</f>
        <v>43986.64583</v>
      </c>
      <c r="B1878" s="1">
        <f>IFERROR(__xludf.DUMMYFUNCTION("""COMPUTED_VALUE"""),4125.0)</f>
        <v>4125</v>
      </c>
      <c r="C1878" s="1">
        <f>IFERROR(__xludf.DUMMYFUNCTION("""COMPUTED_VALUE"""),4495.0)</f>
        <v>4495</v>
      </c>
      <c r="D1878" s="1">
        <f>IFERROR(__xludf.DUMMYFUNCTION("""COMPUTED_VALUE"""),3860.0)</f>
        <v>3860</v>
      </c>
      <c r="E1878" s="1">
        <f>IFERROR(__xludf.DUMMYFUNCTION("""COMPUTED_VALUE"""),4380.0)</f>
        <v>4380</v>
      </c>
      <c r="F1878" s="1">
        <f>IFERROR(__xludf.DUMMYFUNCTION("""COMPUTED_VALUE"""),480403.0)</f>
        <v>480403</v>
      </c>
    </row>
    <row r="1879">
      <c r="A1879" s="2">
        <f>IFERROR(__xludf.DUMMYFUNCTION("""COMPUTED_VALUE"""),43987.64583333333)</f>
        <v>43987.64583</v>
      </c>
      <c r="B1879" s="1">
        <f>IFERROR(__xludf.DUMMYFUNCTION("""COMPUTED_VALUE"""),4340.0)</f>
        <v>4340</v>
      </c>
      <c r="C1879" s="1">
        <f>IFERROR(__xludf.DUMMYFUNCTION("""COMPUTED_VALUE"""),4400.0)</f>
        <v>4400</v>
      </c>
      <c r="D1879" s="1">
        <f>IFERROR(__xludf.DUMMYFUNCTION("""COMPUTED_VALUE"""),4240.0)</f>
        <v>4240</v>
      </c>
      <c r="E1879" s="1">
        <f>IFERROR(__xludf.DUMMYFUNCTION("""COMPUTED_VALUE"""),4345.0)</f>
        <v>4345</v>
      </c>
      <c r="F1879" s="1">
        <f>IFERROR(__xludf.DUMMYFUNCTION("""COMPUTED_VALUE"""),88261.0)</f>
        <v>88261</v>
      </c>
    </row>
    <row r="1880">
      <c r="A1880" s="2">
        <f>IFERROR(__xludf.DUMMYFUNCTION("""COMPUTED_VALUE"""),43990.64583333333)</f>
        <v>43990.64583</v>
      </c>
      <c r="B1880" s="1">
        <f>IFERROR(__xludf.DUMMYFUNCTION("""COMPUTED_VALUE"""),4395.0)</f>
        <v>4395</v>
      </c>
      <c r="C1880" s="1">
        <f>IFERROR(__xludf.DUMMYFUNCTION("""COMPUTED_VALUE"""),4395.0)</f>
        <v>4395</v>
      </c>
      <c r="D1880" s="1">
        <f>IFERROR(__xludf.DUMMYFUNCTION("""COMPUTED_VALUE"""),4010.0)</f>
        <v>4010</v>
      </c>
      <c r="E1880" s="1">
        <f>IFERROR(__xludf.DUMMYFUNCTION("""COMPUTED_VALUE"""),4130.0)</f>
        <v>4130</v>
      </c>
      <c r="F1880" s="1">
        <f>IFERROR(__xludf.DUMMYFUNCTION("""COMPUTED_VALUE"""),199321.0)</f>
        <v>199321</v>
      </c>
    </row>
    <row r="1881">
      <c r="A1881" s="2">
        <f>IFERROR(__xludf.DUMMYFUNCTION("""COMPUTED_VALUE"""),43991.64583333333)</f>
        <v>43991.64583</v>
      </c>
      <c r="B1881" s="1">
        <f>IFERROR(__xludf.DUMMYFUNCTION("""COMPUTED_VALUE"""),4080.0)</f>
        <v>4080</v>
      </c>
      <c r="C1881" s="1">
        <f>IFERROR(__xludf.DUMMYFUNCTION("""COMPUTED_VALUE"""),4170.0)</f>
        <v>4170</v>
      </c>
      <c r="D1881" s="1">
        <f>IFERROR(__xludf.DUMMYFUNCTION("""COMPUTED_VALUE"""),4040.0)</f>
        <v>4040</v>
      </c>
      <c r="E1881" s="1">
        <f>IFERROR(__xludf.DUMMYFUNCTION("""COMPUTED_VALUE"""),4125.0)</f>
        <v>4125</v>
      </c>
      <c r="F1881" s="1">
        <f>IFERROR(__xludf.DUMMYFUNCTION("""COMPUTED_VALUE"""),80053.0)</f>
        <v>80053</v>
      </c>
    </row>
    <row r="1882">
      <c r="A1882" s="2">
        <f>IFERROR(__xludf.DUMMYFUNCTION("""COMPUTED_VALUE"""),43992.64583333333)</f>
        <v>43992.64583</v>
      </c>
      <c r="B1882" s="1">
        <f>IFERROR(__xludf.DUMMYFUNCTION("""COMPUTED_VALUE"""),4190.0)</f>
        <v>4190</v>
      </c>
      <c r="C1882" s="1">
        <f>IFERROR(__xludf.DUMMYFUNCTION("""COMPUTED_VALUE"""),4205.0)</f>
        <v>4205</v>
      </c>
      <c r="D1882" s="1">
        <f>IFERROR(__xludf.DUMMYFUNCTION("""COMPUTED_VALUE"""),4055.0)</f>
        <v>4055</v>
      </c>
      <c r="E1882" s="1">
        <f>IFERROR(__xludf.DUMMYFUNCTION("""COMPUTED_VALUE"""),4125.0)</f>
        <v>4125</v>
      </c>
      <c r="F1882" s="1">
        <f>IFERROR(__xludf.DUMMYFUNCTION("""COMPUTED_VALUE"""),75054.0)</f>
        <v>75054</v>
      </c>
    </row>
    <row r="1883">
      <c r="A1883" s="2">
        <f>IFERROR(__xludf.DUMMYFUNCTION("""COMPUTED_VALUE"""),43993.64583333333)</f>
        <v>43993.64583</v>
      </c>
      <c r="B1883" s="1">
        <f>IFERROR(__xludf.DUMMYFUNCTION("""COMPUTED_VALUE"""),4075.0)</f>
        <v>4075</v>
      </c>
      <c r="C1883" s="1">
        <f>IFERROR(__xludf.DUMMYFUNCTION("""COMPUTED_VALUE"""),4290.0)</f>
        <v>4290</v>
      </c>
      <c r="D1883" s="1">
        <f>IFERROR(__xludf.DUMMYFUNCTION("""COMPUTED_VALUE"""),4065.0)</f>
        <v>4065</v>
      </c>
      <c r="E1883" s="1">
        <f>IFERROR(__xludf.DUMMYFUNCTION("""COMPUTED_VALUE"""),4170.0)</f>
        <v>4170</v>
      </c>
      <c r="F1883" s="1">
        <f>IFERROR(__xludf.DUMMYFUNCTION("""COMPUTED_VALUE"""),156367.0)</f>
        <v>156367</v>
      </c>
    </row>
    <row r="1884">
      <c r="A1884" s="2">
        <f>IFERROR(__xludf.DUMMYFUNCTION("""COMPUTED_VALUE"""),43994.64583333333)</f>
        <v>43994.64583</v>
      </c>
      <c r="B1884" s="1">
        <f>IFERROR(__xludf.DUMMYFUNCTION("""COMPUTED_VALUE"""),4070.0)</f>
        <v>4070</v>
      </c>
      <c r="C1884" s="1">
        <f>IFERROR(__xludf.DUMMYFUNCTION("""COMPUTED_VALUE"""),4125.0)</f>
        <v>4125</v>
      </c>
      <c r="D1884" s="1">
        <f>IFERROR(__xludf.DUMMYFUNCTION("""COMPUTED_VALUE"""),3985.0)</f>
        <v>3985</v>
      </c>
      <c r="E1884" s="1">
        <f>IFERROR(__xludf.DUMMYFUNCTION("""COMPUTED_VALUE"""),4045.0)</f>
        <v>4045</v>
      </c>
      <c r="F1884" s="1">
        <f>IFERROR(__xludf.DUMMYFUNCTION("""COMPUTED_VALUE"""),119930.0)</f>
        <v>119930</v>
      </c>
    </row>
    <row r="1885">
      <c r="A1885" s="2">
        <f>IFERROR(__xludf.DUMMYFUNCTION("""COMPUTED_VALUE"""),43997.64583333333)</f>
        <v>43997.64583</v>
      </c>
      <c r="B1885" s="1">
        <f>IFERROR(__xludf.DUMMYFUNCTION("""COMPUTED_VALUE"""),4045.0)</f>
        <v>4045</v>
      </c>
      <c r="C1885" s="1">
        <f>IFERROR(__xludf.DUMMYFUNCTION("""COMPUTED_VALUE"""),4180.0)</f>
        <v>4180</v>
      </c>
      <c r="D1885" s="1">
        <f>IFERROR(__xludf.DUMMYFUNCTION("""COMPUTED_VALUE"""),3850.0)</f>
        <v>3850</v>
      </c>
      <c r="E1885" s="1">
        <f>IFERROR(__xludf.DUMMYFUNCTION("""COMPUTED_VALUE"""),3910.0)</f>
        <v>3910</v>
      </c>
      <c r="F1885" s="1">
        <f>IFERROR(__xludf.DUMMYFUNCTION("""COMPUTED_VALUE"""),120996.0)</f>
        <v>120996</v>
      </c>
    </row>
    <row r="1886">
      <c r="A1886" s="2">
        <f>IFERROR(__xludf.DUMMYFUNCTION("""COMPUTED_VALUE"""),43998.64583333333)</f>
        <v>43998.64583</v>
      </c>
      <c r="B1886" s="1">
        <f>IFERROR(__xludf.DUMMYFUNCTION("""COMPUTED_VALUE"""),4105.0)</f>
        <v>4105</v>
      </c>
      <c r="C1886" s="1">
        <f>IFERROR(__xludf.DUMMYFUNCTION("""COMPUTED_VALUE"""),4105.0)</f>
        <v>4105</v>
      </c>
      <c r="D1886" s="1">
        <f>IFERROR(__xludf.DUMMYFUNCTION("""COMPUTED_VALUE"""),3910.0)</f>
        <v>3910</v>
      </c>
      <c r="E1886" s="1">
        <f>IFERROR(__xludf.DUMMYFUNCTION("""COMPUTED_VALUE"""),4005.0)</f>
        <v>4005</v>
      </c>
      <c r="F1886" s="1">
        <f>IFERROR(__xludf.DUMMYFUNCTION("""COMPUTED_VALUE"""),117608.0)</f>
        <v>117608</v>
      </c>
    </row>
    <row r="1887">
      <c r="A1887" s="2">
        <f>IFERROR(__xludf.DUMMYFUNCTION("""COMPUTED_VALUE"""),43999.64583333333)</f>
        <v>43999.64583</v>
      </c>
      <c r="B1887" s="1">
        <f>IFERROR(__xludf.DUMMYFUNCTION("""COMPUTED_VALUE"""),4005.0)</f>
        <v>4005</v>
      </c>
      <c r="C1887" s="1">
        <f>IFERROR(__xludf.DUMMYFUNCTION("""COMPUTED_VALUE"""),4090.0)</f>
        <v>4090</v>
      </c>
      <c r="D1887" s="1">
        <f>IFERROR(__xludf.DUMMYFUNCTION("""COMPUTED_VALUE"""),3970.0)</f>
        <v>3970</v>
      </c>
      <c r="E1887" s="1">
        <f>IFERROR(__xludf.DUMMYFUNCTION("""COMPUTED_VALUE"""),4045.0)</f>
        <v>4045</v>
      </c>
      <c r="F1887" s="1">
        <f>IFERROR(__xludf.DUMMYFUNCTION("""COMPUTED_VALUE"""),78385.0)</f>
        <v>78385</v>
      </c>
    </row>
    <row r="1888">
      <c r="A1888" s="2">
        <f>IFERROR(__xludf.DUMMYFUNCTION("""COMPUTED_VALUE"""),44000.64583333333)</f>
        <v>44000.64583</v>
      </c>
      <c r="B1888" s="1">
        <f>IFERROR(__xludf.DUMMYFUNCTION("""COMPUTED_VALUE"""),4120.0)</f>
        <v>4120</v>
      </c>
      <c r="C1888" s="1">
        <f>IFERROR(__xludf.DUMMYFUNCTION("""COMPUTED_VALUE"""),4120.0)</f>
        <v>4120</v>
      </c>
      <c r="D1888" s="1">
        <f>IFERROR(__xludf.DUMMYFUNCTION("""COMPUTED_VALUE"""),4000.0)</f>
        <v>4000</v>
      </c>
      <c r="E1888" s="1">
        <f>IFERROR(__xludf.DUMMYFUNCTION("""COMPUTED_VALUE"""),4020.0)</f>
        <v>4020</v>
      </c>
      <c r="F1888" s="1">
        <f>IFERROR(__xludf.DUMMYFUNCTION("""COMPUTED_VALUE"""),51177.0)</f>
        <v>51177</v>
      </c>
    </row>
    <row r="1889">
      <c r="A1889" s="2">
        <f>IFERROR(__xludf.DUMMYFUNCTION("""COMPUTED_VALUE"""),44001.64583333333)</f>
        <v>44001.64583</v>
      </c>
      <c r="B1889" s="1">
        <f>IFERROR(__xludf.DUMMYFUNCTION("""COMPUTED_VALUE"""),4020.0)</f>
        <v>4020</v>
      </c>
      <c r="C1889" s="1">
        <f>IFERROR(__xludf.DUMMYFUNCTION("""COMPUTED_VALUE"""),4115.0)</f>
        <v>4115</v>
      </c>
      <c r="D1889" s="1">
        <f>IFERROR(__xludf.DUMMYFUNCTION("""COMPUTED_VALUE"""),4000.0)</f>
        <v>4000</v>
      </c>
      <c r="E1889" s="1">
        <f>IFERROR(__xludf.DUMMYFUNCTION("""COMPUTED_VALUE"""),4000.0)</f>
        <v>4000</v>
      </c>
      <c r="F1889" s="1">
        <f>IFERROR(__xludf.DUMMYFUNCTION("""COMPUTED_VALUE"""),81691.0)</f>
        <v>81691</v>
      </c>
    </row>
    <row r="1890">
      <c r="A1890" s="2">
        <f>IFERROR(__xludf.DUMMYFUNCTION("""COMPUTED_VALUE"""),44004.64583333333)</f>
        <v>44004.64583</v>
      </c>
      <c r="B1890" s="1">
        <f>IFERROR(__xludf.DUMMYFUNCTION("""COMPUTED_VALUE"""),4095.0)</f>
        <v>4095</v>
      </c>
      <c r="C1890" s="1">
        <f>IFERROR(__xludf.DUMMYFUNCTION("""COMPUTED_VALUE"""),4340.0)</f>
        <v>4340</v>
      </c>
      <c r="D1890" s="1">
        <f>IFERROR(__xludf.DUMMYFUNCTION("""COMPUTED_VALUE"""),4035.0)</f>
        <v>4035</v>
      </c>
      <c r="E1890" s="1">
        <f>IFERROR(__xludf.DUMMYFUNCTION("""COMPUTED_VALUE"""),4310.0)</f>
        <v>4310</v>
      </c>
      <c r="F1890" s="1">
        <f>IFERROR(__xludf.DUMMYFUNCTION("""COMPUTED_VALUE"""),276372.0)</f>
        <v>276372</v>
      </c>
    </row>
    <row r="1891">
      <c r="A1891" s="2">
        <f>IFERROR(__xludf.DUMMYFUNCTION("""COMPUTED_VALUE"""),44005.64583333333)</f>
        <v>44005.64583</v>
      </c>
      <c r="B1891" s="1">
        <f>IFERROR(__xludf.DUMMYFUNCTION("""COMPUTED_VALUE"""),4335.0)</f>
        <v>4335</v>
      </c>
      <c r="C1891" s="1">
        <f>IFERROR(__xludf.DUMMYFUNCTION("""COMPUTED_VALUE"""),4335.0)</f>
        <v>4335</v>
      </c>
      <c r="D1891" s="1">
        <f>IFERROR(__xludf.DUMMYFUNCTION("""COMPUTED_VALUE"""),4065.0)</f>
        <v>4065</v>
      </c>
      <c r="E1891" s="1">
        <f>IFERROR(__xludf.DUMMYFUNCTION("""COMPUTED_VALUE"""),4140.0)</f>
        <v>4140</v>
      </c>
      <c r="F1891" s="1">
        <f>IFERROR(__xludf.DUMMYFUNCTION("""COMPUTED_VALUE"""),157823.0)</f>
        <v>157823</v>
      </c>
    </row>
    <row r="1892">
      <c r="A1892" s="2">
        <f>IFERROR(__xludf.DUMMYFUNCTION("""COMPUTED_VALUE"""),44006.64583333333)</f>
        <v>44006.64583</v>
      </c>
      <c r="B1892" s="1">
        <f>IFERROR(__xludf.DUMMYFUNCTION("""COMPUTED_VALUE"""),4150.0)</f>
        <v>4150</v>
      </c>
      <c r="C1892" s="1">
        <f>IFERROR(__xludf.DUMMYFUNCTION("""COMPUTED_VALUE"""),4230.0)</f>
        <v>4230</v>
      </c>
      <c r="D1892" s="1">
        <f>IFERROR(__xludf.DUMMYFUNCTION("""COMPUTED_VALUE"""),4070.0)</f>
        <v>4070</v>
      </c>
      <c r="E1892" s="1">
        <f>IFERROR(__xludf.DUMMYFUNCTION("""COMPUTED_VALUE"""),4230.0)</f>
        <v>4230</v>
      </c>
      <c r="F1892" s="1">
        <f>IFERROR(__xludf.DUMMYFUNCTION("""COMPUTED_VALUE"""),81212.0)</f>
        <v>81212</v>
      </c>
    </row>
    <row r="1893">
      <c r="A1893" s="2">
        <f>IFERROR(__xludf.DUMMYFUNCTION("""COMPUTED_VALUE"""),44007.64583333333)</f>
        <v>44007.64583</v>
      </c>
      <c r="B1893" s="1">
        <f>IFERROR(__xludf.DUMMYFUNCTION("""COMPUTED_VALUE"""),4230.0)</f>
        <v>4230</v>
      </c>
      <c r="C1893" s="1">
        <f>IFERROR(__xludf.DUMMYFUNCTION("""COMPUTED_VALUE"""),4280.0)</f>
        <v>4280</v>
      </c>
      <c r="D1893" s="1">
        <f>IFERROR(__xludf.DUMMYFUNCTION("""COMPUTED_VALUE"""),3990.0)</f>
        <v>3990</v>
      </c>
      <c r="E1893" s="1">
        <f>IFERROR(__xludf.DUMMYFUNCTION("""COMPUTED_VALUE"""),4015.0)</f>
        <v>4015</v>
      </c>
      <c r="F1893" s="1">
        <f>IFERROR(__xludf.DUMMYFUNCTION("""COMPUTED_VALUE"""),98949.0)</f>
        <v>98949</v>
      </c>
    </row>
    <row r="1894">
      <c r="A1894" s="2">
        <f>IFERROR(__xludf.DUMMYFUNCTION("""COMPUTED_VALUE"""),44008.64583333333)</f>
        <v>44008.64583</v>
      </c>
      <c r="B1894" s="1">
        <f>IFERROR(__xludf.DUMMYFUNCTION("""COMPUTED_VALUE"""),4180.0)</f>
        <v>4180</v>
      </c>
      <c r="C1894" s="1">
        <f>IFERROR(__xludf.DUMMYFUNCTION("""COMPUTED_VALUE"""),4180.0)</f>
        <v>4180</v>
      </c>
      <c r="D1894" s="1">
        <f>IFERROR(__xludf.DUMMYFUNCTION("""COMPUTED_VALUE"""),4005.0)</f>
        <v>4005</v>
      </c>
      <c r="E1894" s="1">
        <f>IFERROR(__xludf.DUMMYFUNCTION("""COMPUTED_VALUE"""),4015.0)</f>
        <v>4015</v>
      </c>
      <c r="F1894" s="1">
        <f>IFERROR(__xludf.DUMMYFUNCTION("""COMPUTED_VALUE"""),54353.0)</f>
        <v>54353</v>
      </c>
    </row>
    <row r="1895">
      <c r="A1895" s="2">
        <f>IFERROR(__xludf.DUMMYFUNCTION("""COMPUTED_VALUE"""),44011.64583333333)</f>
        <v>44011.64583</v>
      </c>
      <c r="B1895" s="1">
        <f>IFERROR(__xludf.DUMMYFUNCTION("""COMPUTED_VALUE"""),3975.0)</f>
        <v>3975</v>
      </c>
      <c r="C1895" s="1">
        <f>IFERROR(__xludf.DUMMYFUNCTION("""COMPUTED_VALUE"""),4015.0)</f>
        <v>4015</v>
      </c>
      <c r="D1895" s="1">
        <f>IFERROR(__xludf.DUMMYFUNCTION("""COMPUTED_VALUE"""),3800.0)</f>
        <v>3800</v>
      </c>
      <c r="E1895" s="1">
        <f>IFERROR(__xludf.DUMMYFUNCTION("""COMPUTED_VALUE"""),3850.0)</f>
        <v>3850</v>
      </c>
      <c r="F1895" s="1">
        <f>IFERROR(__xludf.DUMMYFUNCTION("""COMPUTED_VALUE"""),103765.0)</f>
        <v>103765</v>
      </c>
    </row>
    <row r="1896">
      <c r="A1896" s="2">
        <f>IFERROR(__xludf.DUMMYFUNCTION("""COMPUTED_VALUE"""),44012.64583333333)</f>
        <v>44012.64583</v>
      </c>
      <c r="B1896" s="1">
        <f>IFERROR(__xludf.DUMMYFUNCTION("""COMPUTED_VALUE"""),3985.0)</f>
        <v>3985</v>
      </c>
      <c r="C1896" s="1">
        <f>IFERROR(__xludf.DUMMYFUNCTION("""COMPUTED_VALUE"""),3985.0)</f>
        <v>3985</v>
      </c>
      <c r="D1896" s="1">
        <f>IFERROR(__xludf.DUMMYFUNCTION("""COMPUTED_VALUE"""),3830.0)</f>
        <v>3830</v>
      </c>
      <c r="E1896" s="1">
        <f>IFERROR(__xludf.DUMMYFUNCTION("""COMPUTED_VALUE"""),3835.0)</f>
        <v>3835</v>
      </c>
      <c r="F1896" s="1">
        <f>IFERROR(__xludf.DUMMYFUNCTION("""COMPUTED_VALUE"""),55146.0)</f>
        <v>55146</v>
      </c>
    </row>
    <row r="1897">
      <c r="A1897" s="2">
        <f>IFERROR(__xludf.DUMMYFUNCTION("""COMPUTED_VALUE"""),44013.64583333333)</f>
        <v>44013.64583</v>
      </c>
      <c r="B1897" s="1">
        <f>IFERROR(__xludf.DUMMYFUNCTION("""COMPUTED_VALUE"""),3945.0)</f>
        <v>3945</v>
      </c>
      <c r="C1897" s="1">
        <f>IFERROR(__xludf.DUMMYFUNCTION("""COMPUTED_VALUE"""),3945.0)</f>
        <v>3945</v>
      </c>
      <c r="D1897" s="1">
        <f>IFERROR(__xludf.DUMMYFUNCTION("""COMPUTED_VALUE"""),3765.0)</f>
        <v>3765</v>
      </c>
      <c r="E1897" s="1">
        <f>IFERROR(__xludf.DUMMYFUNCTION("""COMPUTED_VALUE"""),3775.0)</f>
        <v>3775</v>
      </c>
      <c r="F1897" s="1">
        <f>IFERROR(__xludf.DUMMYFUNCTION("""COMPUTED_VALUE"""),27989.0)</f>
        <v>27989</v>
      </c>
    </row>
    <row r="1898">
      <c r="A1898" s="2">
        <f>IFERROR(__xludf.DUMMYFUNCTION("""COMPUTED_VALUE"""),44014.64583333333)</f>
        <v>44014.64583</v>
      </c>
      <c r="B1898" s="1">
        <f>IFERROR(__xludf.DUMMYFUNCTION("""COMPUTED_VALUE"""),3775.0)</f>
        <v>3775</v>
      </c>
      <c r="C1898" s="1">
        <f>IFERROR(__xludf.DUMMYFUNCTION("""COMPUTED_VALUE"""),3835.0)</f>
        <v>3835</v>
      </c>
      <c r="D1898" s="1">
        <f>IFERROR(__xludf.DUMMYFUNCTION("""COMPUTED_VALUE"""),3620.0)</f>
        <v>3620</v>
      </c>
      <c r="E1898" s="1">
        <f>IFERROR(__xludf.DUMMYFUNCTION("""COMPUTED_VALUE"""),3695.0)</f>
        <v>3695</v>
      </c>
      <c r="F1898" s="1">
        <f>IFERROR(__xludf.DUMMYFUNCTION("""COMPUTED_VALUE"""),97892.0)</f>
        <v>97892</v>
      </c>
    </row>
    <row r="1899">
      <c r="A1899" s="2">
        <f>IFERROR(__xludf.DUMMYFUNCTION("""COMPUTED_VALUE"""),44015.64583333333)</f>
        <v>44015.64583</v>
      </c>
      <c r="B1899" s="1">
        <f>IFERROR(__xludf.DUMMYFUNCTION("""COMPUTED_VALUE"""),3795.0)</f>
        <v>3795</v>
      </c>
      <c r="C1899" s="1">
        <f>IFERROR(__xludf.DUMMYFUNCTION("""COMPUTED_VALUE"""),3825.0)</f>
        <v>3825</v>
      </c>
      <c r="D1899" s="1">
        <f>IFERROR(__xludf.DUMMYFUNCTION("""COMPUTED_VALUE"""),3640.0)</f>
        <v>3640</v>
      </c>
      <c r="E1899" s="1">
        <f>IFERROR(__xludf.DUMMYFUNCTION("""COMPUTED_VALUE"""),3825.0)</f>
        <v>3825</v>
      </c>
      <c r="F1899" s="1">
        <f>IFERROR(__xludf.DUMMYFUNCTION("""COMPUTED_VALUE"""),122072.0)</f>
        <v>122072</v>
      </c>
    </row>
    <row r="1900">
      <c r="A1900" s="2">
        <f>IFERROR(__xludf.DUMMYFUNCTION("""COMPUTED_VALUE"""),44018.64583333333)</f>
        <v>44018.64583</v>
      </c>
      <c r="B1900" s="1">
        <f>IFERROR(__xludf.DUMMYFUNCTION("""COMPUTED_VALUE"""),3950.0)</f>
        <v>3950</v>
      </c>
      <c r="C1900" s="1">
        <f>IFERROR(__xludf.DUMMYFUNCTION("""COMPUTED_VALUE"""),4150.0)</f>
        <v>4150</v>
      </c>
      <c r="D1900" s="1">
        <f>IFERROR(__xludf.DUMMYFUNCTION("""COMPUTED_VALUE"""),3900.0)</f>
        <v>3900</v>
      </c>
      <c r="E1900" s="1">
        <f>IFERROR(__xludf.DUMMYFUNCTION("""COMPUTED_VALUE"""),4015.0)</f>
        <v>4015</v>
      </c>
      <c r="F1900" s="1">
        <f>IFERROR(__xludf.DUMMYFUNCTION("""COMPUTED_VALUE"""),82935.0)</f>
        <v>82935</v>
      </c>
    </row>
    <row r="1901">
      <c r="A1901" s="2">
        <f>IFERROR(__xludf.DUMMYFUNCTION("""COMPUTED_VALUE"""),44019.64583333333)</f>
        <v>44019.64583</v>
      </c>
      <c r="B1901" s="1">
        <f>IFERROR(__xludf.DUMMYFUNCTION("""COMPUTED_VALUE"""),4150.0)</f>
        <v>4150</v>
      </c>
      <c r="C1901" s="1">
        <f>IFERROR(__xludf.DUMMYFUNCTION("""COMPUTED_VALUE"""),4500.0)</f>
        <v>4500</v>
      </c>
      <c r="D1901" s="1">
        <f>IFERROR(__xludf.DUMMYFUNCTION("""COMPUTED_VALUE"""),4100.0)</f>
        <v>4100</v>
      </c>
      <c r="E1901" s="1">
        <f>IFERROR(__xludf.DUMMYFUNCTION("""COMPUTED_VALUE"""),4245.0)</f>
        <v>4245</v>
      </c>
      <c r="F1901" s="1">
        <f>IFERROR(__xludf.DUMMYFUNCTION("""COMPUTED_VALUE"""),356375.0)</f>
        <v>356375</v>
      </c>
    </row>
    <row r="1902">
      <c r="A1902" s="2">
        <f>IFERROR(__xludf.DUMMYFUNCTION("""COMPUTED_VALUE"""),44020.64583333333)</f>
        <v>44020.64583</v>
      </c>
      <c r="B1902" s="1">
        <f>IFERROR(__xludf.DUMMYFUNCTION("""COMPUTED_VALUE"""),4400.0)</f>
        <v>4400</v>
      </c>
      <c r="C1902" s="1">
        <f>IFERROR(__xludf.DUMMYFUNCTION("""COMPUTED_VALUE"""),4400.0)</f>
        <v>4400</v>
      </c>
      <c r="D1902" s="1">
        <f>IFERROR(__xludf.DUMMYFUNCTION("""COMPUTED_VALUE"""),4160.0)</f>
        <v>4160</v>
      </c>
      <c r="E1902" s="1">
        <f>IFERROR(__xludf.DUMMYFUNCTION("""COMPUTED_VALUE"""),4215.0)</f>
        <v>4215</v>
      </c>
      <c r="F1902" s="1">
        <f>IFERROR(__xludf.DUMMYFUNCTION("""COMPUTED_VALUE"""),121198.0)</f>
        <v>121198</v>
      </c>
    </row>
    <row r="1903">
      <c r="A1903" s="2">
        <f>IFERROR(__xludf.DUMMYFUNCTION("""COMPUTED_VALUE"""),44021.64583333333)</f>
        <v>44021.64583</v>
      </c>
      <c r="B1903" s="1">
        <f>IFERROR(__xludf.DUMMYFUNCTION("""COMPUTED_VALUE"""),4215.0)</f>
        <v>4215</v>
      </c>
      <c r="C1903" s="1">
        <f>IFERROR(__xludf.DUMMYFUNCTION("""COMPUTED_VALUE"""),4270.0)</f>
        <v>4270</v>
      </c>
      <c r="D1903" s="1">
        <f>IFERROR(__xludf.DUMMYFUNCTION("""COMPUTED_VALUE"""),4090.0)</f>
        <v>4090</v>
      </c>
      <c r="E1903" s="1">
        <f>IFERROR(__xludf.DUMMYFUNCTION("""COMPUTED_VALUE"""),4120.0)</f>
        <v>4120</v>
      </c>
      <c r="F1903" s="1">
        <f>IFERROR(__xludf.DUMMYFUNCTION("""COMPUTED_VALUE"""),74890.0)</f>
        <v>74890</v>
      </c>
    </row>
    <row r="1904">
      <c r="A1904" s="2">
        <f>IFERROR(__xludf.DUMMYFUNCTION("""COMPUTED_VALUE"""),44022.64583333333)</f>
        <v>44022.64583</v>
      </c>
      <c r="B1904" s="1">
        <f>IFERROR(__xludf.DUMMYFUNCTION("""COMPUTED_VALUE"""),4120.0)</f>
        <v>4120</v>
      </c>
      <c r="C1904" s="1">
        <f>IFERROR(__xludf.DUMMYFUNCTION("""COMPUTED_VALUE"""),4285.0)</f>
        <v>4285</v>
      </c>
      <c r="D1904" s="1">
        <f>IFERROR(__xludf.DUMMYFUNCTION("""COMPUTED_VALUE"""),4080.0)</f>
        <v>4080</v>
      </c>
      <c r="E1904" s="1">
        <f>IFERROR(__xludf.DUMMYFUNCTION("""COMPUTED_VALUE"""),4275.0)</f>
        <v>4275</v>
      </c>
      <c r="F1904" s="1">
        <f>IFERROR(__xludf.DUMMYFUNCTION("""COMPUTED_VALUE"""),92016.0)</f>
        <v>92016</v>
      </c>
    </row>
    <row r="1905">
      <c r="A1905" s="2">
        <f>IFERROR(__xludf.DUMMYFUNCTION("""COMPUTED_VALUE"""),44025.64583333333)</f>
        <v>44025.64583</v>
      </c>
      <c r="B1905" s="1">
        <f>IFERROR(__xludf.DUMMYFUNCTION("""COMPUTED_VALUE"""),4280.0)</f>
        <v>4280</v>
      </c>
      <c r="C1905" s="1">
        <f>IFERROR(__xludf.DUMMYFUNCTION("""COMPUTED_VALUE"""),4900.0)</f>
        <v>4900</v>
      </c>
      <c r="D1905" s="1">
        <f>IFERROR(__xludf.DUMMYFUNCTION("""COMPUTED_VALUE"""),4155.0)</f>
        <v>4155</v>
      </c>
      <c r="E1905" s="1">
        <f>IFERROR(__xludf.DUMMYFUNCTION("""COMPUTED_VALUE"""),4330.0)</f>
        <v>4330</v>
      </c>
      <c r="F1905" s="1">
        <f>IFERROR(__xludf.DUMMYFUNCTION("""COMPUTED_VALUE"""),1304239.0)</f>
        <v>1304239</v>
      </c>
    </row>
    <row r="1906">
      <c r="A1906" s="2">
        <f>IFERROR(__xludf.DUMMYFUNCTION("""COMPUTED_VALUE"""),44026.64583333333)</f>
        <v>44026.64583</v>
      </c>
      <c r="B1906" s="1">
        <f>IFERROR(__xludf.DUMMYFUNCTION("""COMPUTED_VALUE"""),4455.0)</f>
        <v>4455</v>
      </c>
      <c r="C1906" s="1">
        <f>IFERROR(__xludf.DUMMYFUNCTION("""COMPUTED_VALUE"""),4455.0)</f>
        <v>4455</v>
      </c>
      <c r="D1906" s="1">
        <f>IFERROR(__xludf.DUMMYFUNCTION("""COMPUTED_VALUE"""),4280.0)</f>
        <v>4280</v>
      </c>
      <c r="E1906" s="1">
        <f>IFERROR(__xludf.DUMMYFUNCTION("""COMPUTED_VALUE"""),4365.0)</f>
        <v>4365</v>
      </c>
      <c r="F1906" s="1">
        <f>IFERROR(__xludf.DUMMYFUNCTION("""COMPUTED_VALUE"""),146952.0)</f>
        <v>146952</v>
      </c>
    </row>
    <row r="1907">
      <c r="A1907" s="2">
        <f>IFERROR(__xludf.DUMMYFUNCTION("""COMPUTED_VALUE"""),44027.64583333333)</f>
        <v>44027.64583</v>
      </c>
      <c r="B1907" s="1">
        <f>IFERROR(__xludf.DUMMYFUNCTION("""COMPUTED_VALUE"""),4300.0)</f>
        <v>4300</v>
      </c>
      <c r="C1907" s="1">
        <f>IFERROR(__xludf.DUMMYFUNCTION("""COMPUTED_VALUE"""),4390.0)</f>
        <v>4390</v>
      </c>
      <c r="D1907" s="1">
        <f>IFERROR(__xludf.DUMMYFUNCTION("""COMPUTED_VALUE"""),4215.0)</f>
        <v>4215</v>
      </c>
      <c r="E1907" s="1">
        <f>IFERROR(__xludf.DUMMYFUNCTION("""COMPUTED_VALUE"""),4390.0)</f>
        <v>4390</v>
      </c>
      <c r="F1907" s="1">
        <f>IFERROR(__xludf.DUMMYFUNCTION("""COMPUTED_VALUE"""),106975.0)</f>
        <v>106975</v>
      </c>
    </row>
    <row r="1908">
      <c r="A1908" s="2">
        <f>IFERROR(__xludf.DUMMYFUNCTION("""COMPUTED_VALUE"""),44028.64583333333)</f>
        <v>44028.64583</v>
      </c>
      <c r="B1908" s="1">
        <f>IFERROR(__xludf.DUMMYFUNCTION("""COMPUTED_VALUE"""),4300.0)</f>
        <v>4300</v>
      </c>
      <c r="C1908" s="1">
        <f>IFERROR(__xludf.DUMMYFUNCTION("""COMPUTED_VALUE"""),4440.0)</f>
        <v>4440</v>
      </c>
      <c r="D1908" s="1">
        <f>IFERROR(__xludf.DUMMYFUNCTION("""COMPUTED_VALUE"""),4300.0)</f>
        <v>4300</v>
      </c>
      <c r="E1908" s="1">
        <f>IFERROR(__xludf.DUMMYFUNCTION("""COMPUTED_VALUE"""),4390.0)</f>
        <v>4390</v>
      </c>
      <c r="F1908" s="1">
        <f>IFERROR(__xludf.DUMMYFUNCTION("""COMPUTED_VALUE"""),35906.0)</f>
        <v>35906</v>
      </c>
    </row>
    <row r="1909">
      <c r="A1909" s="2">
        <f>IFERROR(__xludf.DUMMYFUNCTION("""COMPUTED_VALUE"""),44029.64583333333)</f>
        <v>44029.64583</v>
      </c>
      <c r="B1909" s="1">
        <f>IFERROR(__xludf.DUMMYFUNCTION("""COMPUTED_VALUE"""),4260.0)</f>
        <v>4260</v>
      </c>
      <c r="C1909" s="1">
        <f>IFERROR(__xludf.DUMMYFUNCTION("""COMPUTED_VALUE"""),4400.0)</f>
        <v>4400</v>
      </c>
      <c r="D1909" s="1">
        <f>IFERROR(__xludf.DUMMYFUNCTION("""COMPUTED_VALUE"""),4260.0)</f>
        <v>4260</v>
      </c>
      <c r="E1909" s="1">
        <f>IFERROR(__xludf.DUMMYFUNCTION("""COMPUTED_VALUE"""),4395.0)</f>
        <v>4395</v>
      </c>
      <c r="F1909" s="1">
        <f>IFERROR(__xludf.DUMMYFUNCTION("""COMPUTED_VALUE"""),69270.0)</f>
        <v>69270</v>
      </c>
    </row>
    <row r="1910">
      <c r="A1910" s="2">
        <f>IFERROR(__xludf.DUMMYFUNCTION("""COMPUTED_VALUE"""),44032.64583333333)</f>
        <v>44032.64583</v>
      </c>
      <c r="B1910" s="1">
        <f>IFERROR(__xludf.DUMMYFUNCTION("""COMPUTED_VALUE"""),4485.0)</f>
        <v>4485</v>
      </c>
      <c r="C1910" s="1">
        <f>IFERROR(__xludf.DUMMYFUNCTION("""COMPUTED_VALUE"""),4585.0)</f>
        <v>4585</v>
      </c>
      <c r="D1910" s="1">
        <f>IFERROR(__xludf.DUMMYFUNCTION("""COMPUTED_VALUE"""),4360.0)</f>
        <v>4360</v>
      </c>
      <c r="E1910" s="1">
        <f>IFERROR(__xludf.DUMMYFUNCTION("""COMPUTED_VALUE"""),4515.0)</f>
        <v>4515</v>
      </c>
      <c r="F1910" s="1">
        <f>IFERROR(__xludf.DUMMYFUNCTION("""COMPUTED_VALUE"""),155048.0)</f>
        <v>155048</v>
      </c>
    </row>
    <row r="1911">
      <c r="A1911" s="2">
        <f>IFERROR(__xludf.DUMMYFUNCTION("""COMPUTED_VALUE"""),44033.64583333333)</f>
        <v>44033.64583</v>
      </c>
      <c r="B1911" s="1">
        <f>IFERROR(__xludf.DUMMYFUNCTION("""COMPUTED_VALUE"""),4515.0)</f>
        <v>4515</v>
      </c>
      <c r="C1911" s="1">
        <f>IFERROR(__xludf.DUMMYFUNCTION("""COMPUTED_VALUE"""),4685.0)</f>
        <v>4685</v>
      </c>
      <c r="D1911" s="1">
        <f>IFERROR(__xludf.DUMMYFUNCTION("""COMPUTED_VALUE"""),4510.0)</f>
        <v>4510</v>
      </c>
      <c r="E1911" s="1">
        <f>IFERROR(__xludf.DUMMYFUNCTION("""COMPUTED_VALUE"""),4620.0)</f>
        <v>4620</v>
      </c>
      <c r="F1911" s="1">
        <f>IFERROR(__xludf.DUMMYFUNCTION("""COMPUTED_VALUE"""),112530.0)</f>
        <v>112530</v>
      </c>
    </row>
    <row r="1912">
      <c r="A1912" s="2">
        <f>IFERROR(__xludf.DUMMYFUNCTION("""COMPUTED_VALUE"""),44034.64583333333)</f>
        <v>44034.64583</v>
      </c>
      <c r="B1912" s="1">
        <f>IFERROR(__xludf.DUMMYFUNCTION("""COMPUTED_VALUE"""),4620.0)</f>
        <v>4620</v>
      </c>
      <c r="C1912" s="1">
        <f>IFERROR(__xludf.DUMMYFUNCTION("""COMPUTED_VALUE"""),4650.0)</f>
        <v>4650</v>
      </c>
      <c r="D1912" s="1">
        <f>IFERROR(__xludf.DUMMYFUNCTION("""COMPUTED_VALUE"""),4555.0)</f>
        <v>4555</v>
      </c>
      <c r="E1912" s="1">
        <f>IFERROR(__xludf.DUMMYFUNCTION("""COMPUTED_VALUE"""),4635.0)</f>
        <v>4635</v>
      </c>
      <c r="F1912" s="1">
        <f>IFERROR(__xludf.DUMMYFUNCTION("""COMPUTED_VALUE"""),64665.0)</f>
        <v>64665</v>
      </c>
    </row>
    <row r="1913">
      <c r="A1913" s="2">
        <f>IFERROR(__xludf.DUMMYFUNCTION("""COMPUTED_VALUE"""),44035.64583333333)</f>
        <v>44035.64583</v>
      </c>
      <c r="B1913" s="1">
        <f>IFERROR(__xludf.DUMMYFUNCTION("""COMPUTED_VALUE"""),4635.0)</f>
        <v>4635</v>
      </c>
      <c r="C1913" s="1">
        <f>IFERROR(__xludf.DUMMYFUNCTION("""COMPUTED_VALUE"""),4780.0)</f>
        <v>4780</v>
      </c>
      <c r="D1913" s="1">
        <f>IFERROR(__xludf.DUMMYFUNCTION("""COMPUTED_VALUE"""),4600.0)</f>
        <v>4600</v>
      </c>
      <c r="E1913" s="1">
        <f>IFERROR(__xludf.DUMMYFUNCTION("""COMPUTED_VALUE"""),4700.0)</f>
        <v>4700</v>
      </c>
      <c r="F1913" s="1">
        <f>IFERROR(__xludf.DUMMYFUNCTION("""COMPUTED_VALUE"""),76112.0)</f>
        <v>76112</v>
      </c>
    </row>
    <row r="1914">
      <c r="A1914" s="2">
        <f>IFERROR(__xludf.DUMMYFUNCTION("""COMPUTED_VALUE"""),44036.64583333333)</f>
        <v>44036.64583</v>
      </c>
      <c r="B1914" s="1">
        <f>IFERROR(__xludf.DUMMYFUNCTION("""COMPUTED_VALUE"""),4950.0)</f>
        <v>4950</v>
      </c>
      <c r="C1914" s="1">
        <f>IFERROR(__xludf.DUMMYFUNCTION("""COMPUTED_VALUE"""),4950.0)</f>
        <v>4950</v>
      </c>
      <c r="D1914" s="1">
        <f>IFERROR(__xludf.DUMMYFUNCTION("""COMPUTED_VALUE"""),4690.0)</f>
        <v>4690</v>
      </c>
      <c r="E1914" s="1">
        <f>IFERROR(__xludf.DUMMYFUNCTION("""COMPUTED_VALUE"""),4795.0)</f>
        <v>4795</v>
      </c>
      <c r="F1914" s="1">
        <f>IFERROR(__xludf.DUMMYFUNCTION("""COMPUTED_VALUE"""),184759.0)</f>
        <v>184759</v>
      </c>
    </row>
    <row r="1915">
      <c r="A1915" s="2">
        <f>IFERROR(__xludf.DUMMYFUNCTION("""COMPUTED_VALUE"""),44039.64583333333)</f>
        <v>44039.64583</v>
      </c>
      <c r="B1915" s="1">
        <f>IFERROR(__xludf.DUMMYFUNCTION("""COMPUTED_VALUE"""),4995.0)</f>
        <v>4995</v>
      </c>
      <c r="C1915" s="1">
        <f>IFERROR(__xludf.DUMMYFUNCTION("""COMPUTED_VALUE"""),4995.0)</f>
        <v>4995</v>
      </c>
      <c r="D1915" s="1">
        <f>IFERROR(__xludf.DUMMYFUNCTION("""COMPUTED_VALUE"""),4800.0)</f>
        <v>4800</v>
      </c>
      <c r="E1915" s="1">
        <f>IFERROR(__xludf.DUMMYFUNCTION("""COMPUTED_VALUE"""),4870.0)</f>
        <v>4870</v>
      </c>
      <c r="F1915" s="1">
        <f>IFERROR(__xludf.DUMMYFUNCTION("""COMPUTED_VALUE"""),101847.0)</f>
        <v>101847</v>
      </c>
    </row>
    <row r="1916">
      <c r="A1916" s="2">
        <f>IFERROR(__xludf.DUMMYFUNCTION("""COMPUTED_VALUE"""),44040.64583333333)</f>
        <v>44040.64583</v>
      </c>
      <c r="B1916" s="1">
        <f>IFERROR(__xludf.DUMMYFUNCTION("""COMPUTED_VALUE"""),4870.0)</f>
        <v>4870</v>
      </c>
      <c r="C1916" s="1">
        <f>IFERROR(__xludf.DUMMYFUNCTION("""COMPUTED_VALUE"""),4930.0)</f>
        <v>4930</v>
      </c>
      <c r="D1916" s="1">
        <f>IFERROR(__xludf.DUMMYFUNCTION("""COMPUTED_VALUE"""),4750.0)</f>
        <v>4750</v>
      </c>
      <c r="E1916" s="1">
        <f>IFERROR(__xludf.DUMMYFUNCTION("""COMPUTED_VALUE"""),4830.0)</f>
        <v>4830</v>
      </c>
      <c r="F1916" s="1">
        <f>IFERROR(__xludf.DUMMYFUNCTION("""COMPUTED_VALUE"""),70415.0)</f>
        <v>70415</v>
      </c>
    </row>
    <row r="1917">
      <c r="A1917" s="2">
        <f>IFERROR(__xludf.DUMMYFUNCTION("""COMPUTED_VALUE"""),44041.64583333333)</f>
        <v>44041.64583</v>
      </c>
      <c r="B1917" s="1">
        <f>IFERROR(__xludf.DUMMYFUNCTION("""COMPUTED_VALUE"""),4800.0)</f>
        <v>4800</v>
      </c>
      <c r="C1917" s="1">
        <f>IFERROR(__xludf.DUMMYFUNCTION("""COMPUTED_VALUE"""),4900.0)</f>
        <v>4900</v>
      </c>
      <c r="D1917" s="1">
        <f>IFERROR(__xludf.DUMMYFUNCTION("""COMPUTED_VALUE"""),4775.0)</f>
        <v>4775</v>
      </c>
      <c r="E1917" s="1">
        <f>IFERROR(__xludf.DUMMYFUNCTION("""COMPUTED_VALUE"""),4880.0)</f>
        <v>4880</v>
      </c>
      <c r="F1917" s="1">
        <f>IFERROR(__xludf.DUMMYFUNCTION("""COMPUTED_VALUE"""),73188.0)</f>
        <v>73188</v>
      </c>
    </row>
    <row r="1918">
      <c r="A1918" s="2">
        <f>IFERROR(__xludf.DUMMYFUNCTION("""COMPUTED_VALUE"""),44042.64583333333)</f>
        <v>44042.64583</v>
      </c>
      <c r="B1918" s="1">
        <f>IFERROR(__xludf.DUMMYFUNCTION("""COMPUTED_VALUE"""),4880.0)</f>
        <v>4880</v>
      </c>
      <c r="C1918" s="1">
        <f>IFERROR(__xludf.DUMMYFUNCTION("""COMPUTED_VALUE"""),4990.0)</f>
        <v>4990</v>
      </c>
      <c r="D1918" s="1">
        <f>IFERROR(__xludf.DUMMYFUNCTION("""COMPUTED_VALUE"""),4790.0)</f>
        <v>4790</v>
      </c>
      <c r="E1918" s="1">
        <f>IFERROR(__xludf.DUMMYFUNCTION("""COMPUTED_VALUE"""),4950.0)</f>
        <v>4950</v>
      </c>
      <c r="F1918" s="1">
        <f>IFERROR(__xludf.DUMMYFUNCTION("""COMPUTED_VALUE"""),86207.0)</f>
        <v>86207</v>
      </c>
    </row>
    <row r="1919">
      <c r="A1919" s="2">
        <f>IFERROR(__xludf.DUMMYFUNCTION("""COMPUTED_VALUE"""),44043.64583333333)</f>
        <v>44043.64583</v>
      </c>
      <c r="B1919" s="1">
        <f>IFERROR(__xludf.DUMMYFUNCTION("""COMPUTED_VALUE"""),4990.0)</f>
        <v>4990</v>
      </c>
      <c r="C1919" s="1">
        <f>IFERROR(__xludf.DUMMYFUNCTION("""COMPUTED_VALUE"""),5760.0)</f>
        <v>5760</v>
      </c>
      <c r="D1919" s="1">
        <f>IFERROR(__xludf.DUMMYFUNCTION("""COMPUTED_VALUE"""),4950.0)</f>
        <v>4950</v>
      </c>
      <c r="E1919" s="1">
        <f>IFERROR(__xludf.DUMMYFUNCTION("""COMPUTED_VALUE"""),5440.0)</f>
        <v>5440</v>
      </c>
      <c r="F1919" s="1">
        <f>IFERROR(__xludf.DUMMYFUNCTION("""COMPUTED_VALUE"""),716304.0)</f>
        <v>716304</v>
      </c>
    </row>
    <row r="1920">
      <c r="A1920" s="2">
        <f>IFERROR(__xludf.DUMMYFUNCTION("""COMPUTED_VALUE"""),44046.64583333333)</f>
        <v>44046.64583</v>
      </c>
      <c r="B1920" s="1">
        <f>IFERROR(__xludf.DUMMYFUNCTION("""COMPUTED_VALUE"""),5680.0)</f>
        <v>5680</v>
      </c>
      <c r="C1920" s="1">
        <f>IFERROR(__xludf.DUMMYFUNCTION("""COMPUTED_VALUE"""),6100.0)</f>
        <v>6100</v>
      </c>
      <c r="D1920" s="1">
        <f>IFERROR(__xludf.DUMMYFUNCTION("""COMPUTED_VALUE"""),5600.0)</f>
        <v>5600</v>
      </c>
      <c r="E1920" s="1">
        <f>IFERROR(__xludf.DUMMYFUNCTION("""COMPUTED_VALUE"""),6090.0)</f>
        <v>6090</v>
      </c>
      <c r="F1920" s="1">
        <f>IFERROR(__xludf.DUMMYFUNCTION("""COMPUTED_VALUE"""),575166.0)</f>
        <v>575166</v>
      </c>
    </row>
    <row r="1921">
      <c r="A1921" s="2">
        <f>IFERROR(__xludf.DUMMYFUNCTION("""COMPUTED_VALUE"""),44047.64583333333)</f>
        <v>44047.64583</v>
      </c>
      <c r="B1921" s="1">
        <f>IFERROR(__xludf.DUMMYFUNCTION("""COMPUTED_VALUE"""),6150.0)</f>
        <v>6150</v>
      </c>
      <c r="C1921" s="1">
        <f>IFERROR(__xludf.DUMMYFUNCTION("""COMPUTED_VALUE"""),6410.0)</f>
        <v>6410</v>
      </c>
      <c r="D1921" s="1">
        <f>IFERROR(__xludf.DUMMYFUNCTION("""COMPUTED_VALUE"""),6000.0)</f>
        <v>6000</v>
      </c>
      <c r="E1921" s="1">
        <f>IFERROR(__xludf.DUMMYFUNCTION("""COMPUTED_VALUE"""),6160.0)</f>
        <v>6160</v>
      </c>
      <c r="F1921" s="1">
        <f>IFERROR(__xludf.DUMMYFUNCTION("""COMPUTED_VALUE"""),410588.0)</f>
        <v>410588</v>
      </c>
    </row>
    <row r="1922">
      <c r="A1922" s="2">
        <f>IFERROR(__xludf.DUMMYFUNCTION("""COMPUTED_VALUE"""),44048.64583333333)</f>
        <v>44048.64583</v>
      </c>
      <c r="B1922" s="1">
        <f>IFERROR(__xludf.DUMMYFUNCTION("""COMPUTED_VALUE"""),6230.0)</f>
        <v>6230</v>
      </c>
      <c r="C1922" s="1">
        <f>IFERROR(__xludf.DUMMYFUNCTION("""COMPUTED_VALUE"""),6230.0)</f>
        <v>6230</v>
      </c>
      <c r="D1922" s="1">
        <f>IFERROR(__xludf.DUMMYFUNCTION("""COMPUTED_VALUE"""),6030.0)</f>
        <v>6030</v>
      </c>
      <c r="E1922" s="1">
        <f>IFERROR(__xludf.DUMMYFUNCTION("""COMPUTED_VALUE"""),6180.0)</f>
        <v>6180</v>
      </c>
      <c r="F1922" s="1">
        <f>IFERROR(__xludf.DUMMYFUNCTION("""COMPUTED_VALUE"""),160758.0)</f>
        <v>160758</v>
      </c>
    </row>
    <row r="1923">
      <c r="A1923" s="2">
        <f>IFERROR(__xludf.DUMMYFUNCTION("""COMPUTED_VALUE"""),44049.64583333333)</f>
        <v>44049.64583</v>
      </c>
      <c r="B1923" s="1">
        <f>IFERROR(__xludf.DUMMYFUNCTION("""COMPUTED_VALUE"""),6240.0)</f>
        <v>6240</v>
      </c>
      <c r="C1923" s="1">
        <f>IFERROR(__xludf.DUMMYFUNCTION("""COMPUTED_VALUE"""),6240.0)</f>
        <v>6240</v>
      </c>
      <c r="D1923" s="1">
        <f>IFERROR(__xludf.DUMMYFUNCTION("""COMPUTED_VALUE"""),6090.0)</f>
        <v>6090</v>
      </c>
      <c r="E1923" s="1">
        <f>IFERROR(__xludf.DUMMYFUNCTION("""COMPUTED_VALUE"""),6150.0)</f>
        <v>6150</v>
      </c>
      <c r="F1923" s="1">
        <f>IFERROR(__xludf.DUMMYFUNCTION("""COMPUTED_VALUE"""),165488.0)</f>
        <v>165488</v>
      </c>
    </row>
    <row r="1924">
      <c r="A1924" s="2">
        <f>IFERROR(__xludf.DUMMYFUNCTION("""COMPUTED_VALUE"""),44050.64583333333)</f>
        <v>44050.64583</v>
      </c>
      <c r="B1924" s="1">
        <f>IFERROR(__xludf.DUMMYFUNCTION("""COMPUTED_VALUE"""),6150.0)</f>
        <v>6150</v>
      </c>
      <c r="C1924" s="1">
        <f>IFERROR(__xludf.DUMMYFUNCTION("""COMPUTED_VALUE"""),6420.0)</f>
        <v>6420</v>
      </c>
      <c r="D1924" s="1">
        <f>IFERROR(__xludf.DUMMYFUNCTION("""COMPUTED_VALUE"""),6050.0)</f>
        <v>6050</v>
      </c>
      <c r="E1924" s="1">
        <f>IFERROR(__xludf.DUMMYFUNCTION("""COMPUTED_VALUE"""),6170.0)</f>
        <v>6170</v>
      </c>
      <c r="F1924" s="1">
        <f>IFERROR(__xludf.DUMMYFUNCTION("""COMPUTED_VALUE"""),204697.0)</f>
        <v>204697</v>
      </c>
    </row>
    <row r="1925">
      <c r="A1925" s="2">
        <f>IFERROR(__xludf.DUMMYFUNCTION("""COMPUTED_VALUE"""),44053.64583333333)</f>
        <v>44053.64583</v>
      </c>
      <c r="B1925" s="1">
        <f>IFERROR(__xludf.DUMMYFUNCTION("""COMPUTED_VALUE"""),6250.0)</f>
        <v>6250</v>
      </c>
      <c r="C1925" s="1">
        <f>IFERROR(__xludf.DUMMYFUNCTION("""COMPUTED_VALUE"""),6500.0)</f>
        <v>6500</v>
      </c>
      <c r="D1925" s="1">
        <f>IFERROR(__xludf.DUMMYFUNCTION("""COMPUTED_VALUE"""),6190.0)</f>
        <v>6190</v>
      </c>
      <c r="E1925" s="1">
        <f>IFERROR(__xludf.DUMMYFUNCTION("""COMPUTED_VALUE"""),6380.0)</f>
        <v>6380</v>
      </c>
      <c r="F1925" s="1">
        <f>IFERROR(__xludf.DUMMYFUNCTION("""COMPUTED_VALUE"""),241688.0)</f>
        <v>241688</v>
      </c>
    </row>
    <row r="1926">
      <c r="A1926" s="2">
        <f>IFERROR(__xludf.DUMMYFUNCTION("""COMPUTED_VALUE"""),44054.64583333333)</f>
        <v>44054.64583</v>
      </c>
      <c r="B1926" s="1">
        <f>IFERROR(__xludf.DUMMYFUNCTION("""COMPUTED_VALUE"""),6380.0)</f>
        <v>6380</v>
      </c>
      <c r="C1926" s="1">
        <f>IFERROR(__xludf.DUMMYFUNCTION("""COMPUTED_VALUE"""),6380.0)</f>
        <v>6380</v>
      </c>
      <c r="D1926" s="1">
        <f>IFERROR(__xludf.DUMMYFUNCTION("""COMPUTED_VALUE"""),5910.0)</f>
        <v>5910</v>
      </c>
      <c r="E1926" s="1">
        <f>IFERROR(__xludf.DUMMYFUNCTION("""COMPUTED_VALUE"""),6030.0)</f>
        <v>6030</v>
      </c>
      <c r="F1926" s="1">
        <f>IFERROR(__xludf.DUMMYFUNCTION("""COMPUTED_VALUE"""),343466.0)</f>
        <v>343466</v>
      </c>
    </row>
    <row r="1927">
      <c r="A1927" s="2">
        <f>IFERROR(__xludf.DUMMYFUNCTION("""COMPUTED_VALUE"""),44055.64583333333)</f>
        <v>44055.64583</v>
      </c>
      <c r="B1927" s="1">
        <f>IFERROR(__xludf.DUMMYFUNCTION("""COMPUTED_VALUE"""),5950.0)</f>
        <v>5950</v>
      </c>
      <c r="C1927" s="1">
        <f>IFERROR(__xludf.DUMMYFUNCTION("""COMPUTED_VALUE"""),5950.0)</f>
        <v>5950</v>
      </c>
      <c r="D1927" s="1">
        <f>IFERROR(__xludf.DUMMYFUNCTION("""COMPUTED_VALUE"""),5470.0)</f>
        <v>5470</v>
      </c>
      <c r="E1927" s="1">
        <f>IFERROR(__xludf.DUMMYFUNCTION("""COMPUTED_VALUE"""),5880.0)</f>
        <v>5880</v>
      </c>
      <c r="F1927" s="1">
        <f>IFERROR(__xludf.DUMMYFUNCTION("""COMPUTED_VALUE"""),425378.0)</f>
        <v>425378</v>
      </c>
    </row>
    <row r="1928">
      <c r="A1928" s="2">
        <f>IFERROR(__xludf.DUMMYFUNCTION("""COMPUTED_VALUE"""),44056.64583333333)</f>
        <v>44056.64583</v>
      </c>
      <c r="B1928" s="1">
        <f>IFERROR(__xludf.DUMMYFUNCTION("""COMPUTED_VALUE"""),5800.0)</f>
        <v>5800</v>
      </c>
      <c r="C1928" s="1">
        <f>IFERROR(__xludf.DUMMYFUNCTION("""COMPUTED_VALUE"""),5880.0)</f>
        <v>5880</v>
      </c>
      <c r="D1928" s="1">
        <f>IFERROR(__xludf.DUMMYFUNCTION("""COMPUTED_VALUE"""),5610.0)</f>
        <v>5610</v>
      </c>
      <c r="E1928" s="1">
        <f>IFERROR(__xludf.DUMMYFUNCTION("""COMPUTED_VALUE"""),5700.0)</f>
        <v>5700</v>
      </c>
      <c r="F1928" s="1">
        <f>IFERROR(__xludf.DUMMYFUNCTION("""COMPUTED_VALUE"""),158684.0)</f>
        <v>158684</v>
      </c>
    </row>
    <row r="1929">
      <c r="A1929" s="2">
        <f>IFERROR(__xludf.DUMMYFUNCTION("""COMPUTED_VALUE"""),44057.64583333333)</f>
        <v>44057.64583</v>
      </c>
      <c r="B1929" s="1">
        <f>IFERROR(__xludf.DUMMYFUNCTION("""COMPUTED_VALUE"""),5680.0)</f>
        <v>5680</v>
      </c>
      <c r="C1929" s="1">
        <f>IFERROR(__xludf.DUMMYFUNCTION("""COMPUTED_VALUE"""),5700.0)</f>
        <v>5700</v>
      </c>
      <c r="D1929" s="1">
        <f>IFERROR(__xludf.DUMMYFUNCTION("""COMPUTED_VALUE"""),5250.0)</f>
        <v>5250</v>
      </c>
      <c r="E1929" s="1">
        <f>IFERROR(__xludf.DUMMYFUNCTION("""COMPUTED_VALUE"""),5540.0)</f>
        <v>5540</v>
      </c>
      <c r="F1929" s="1">
        <f>IFERROR(__xludf.DUMMYFUNCTION("""COMPUTED_VALUE"""),199373.0)</f>
        <v>199373</v>
      </c>
    </row>
    <row r="1930">
      <c r="A1930" s="2">
        <f>IFERROR(__xludf.DUMMYFUNCTION("""COMPUTED_VALUE"""),44061.64583333333)</f>
        <v>44061.64583</v>
      </c>
      <c r="B1930" s="1">
        <f>IFERROR(__xludf.DUMMYFUNCTION("""COMPUTED_VALUE"""),5530.0)</f>
        <v>5530</v>
      </c>
      <c r="C1930" s="1">
        <f>IFERROR(__xludf.DUMMYFUNCTION("""COMPUTED_VALUE"""),5820.0)</f>
        <v>5820</v>
      </c>
      <c r="D1930" s="1">
        <f>IFERROR(__xludf.DUMMYFUNCTION("""COMPUTED_VALUE"""),5050.0)</f>
        <v>5050</v>
      </c>
      <c r="E1930" s="1">
        <f>IFERROR(__xludf.DUMMYFUNCTION("""COMPUTED_VALUE"""),5130.0)</f>
        <v>5130</v>
      </c>
      <c r="F1930" s="1">
        <f>IFERROR(__xludf.DUMMYFUNCTION("""COMPUTED_VALUE"""),214904.0)</f>
        <v>214904</v>
      </c>
    </row>
    <row r="1931">
      <c r="A1931" s="2">
        <f>IFERROR(__xludf.DUMMYFUNCTION("""COMPUTED_VALUE"""),44062.64583333333)</f>
        <v>44062.64583</v>
      </c>
      <c r="B1931" s="1">
        <f>IFERROR(__xludf.DUMMYFUNCTION("""COMPUTED_VALUE"""),5240.0)</f>
        <v>5240</v>
      </c>
      <c r="C1931" s="1">
        <f>IFERROR(__xludf.DUMMYFUNCTION("""COMPUTED_VALUE"""),5250.0)</f>
        <v>5250</v>
      </c>
      <c r="D1931" s="1">
        <f>IFERROR(__xludf.DUMMYFUNCTION("""COMPUTED_VALUE"""),4810.0)</f>
        <v>4810</v>
      </c>
      <c r="E1931" s="1">
        <f>IFERROR(__xludf.DUMMYFUNCTION("""COMPUTED_VALUE"""),5030.0)</f>
        <v>5030</v>
      </c>
      <c r="F1931" s="1">
        <f>IFERROR(__xludf.DUMMYFUNCTION("""COMPUTED_VALUE"""),279737.0)</f>
        <v>279737</v>
      </c>
    </row>
    <row r="1932">
      <c r="A1932" s="2">
        <f>IFERROR(__xludf.DUMMYFUNCTION("""COMPUTED_VALUE"""),44063.64583333333)</f>
        <v>44063.64583</v>
      </c>
      <c r="B1932" s="1">
        <f>IFERROR(__xludf.DUMMYFUNCTION("""COMPUTED_VALUE"""),5160.0)</f>
        <v>5160</v>
      </c>
      <c r="C1932" s="1">
        <f>IFERROR(__xludf.DUMMYFUNCTION("""COMPUTED_VALUE"""),5160.0)</f>
        <v>5160</v>
      </c>
      <c r="D1932" s="1">
        <f>IFERROR(__xludf.DUMMYFUNCTION("""COMPUTED_VALUE"""),4540.0)</f>
        <v>4540</v>
      </c>
      <c r="E1932" s="1">
        <f>IFERROR(__xludf.DUMMYFUNCTION("""COMPUTED_VALUE"""),4670.0)</f>
        <v>4670</v>
      </c>
      <c r="F1932" s="1">
        <f>IFERROR(__xludf.DUMMYFUNCTION("""COMPUTED_VALUE"""),296583.0)</f>
        <v>296583</v>
      </c>
    </row>
    <row r="1933">
      <c r="A1933" s="2">
        <f>IFERROR(__xludf.DUMMYFUNCTION("""COMPUTED_VALUE"""),44064.64583333333)</f>
        <v>44064.64583</v>
      </c>
      <c r="B1933" s="1">
        <f>IFERROR(__xludf.DUMMYFUNCTION("""COMPUTED_VALUE"""),4860.0)</f>
        <v>4860</v>
      </c>
      <c r="C1933" s="1">
        <f>IFERROR(__xludf.DUMMYFUNCTION("""COMPUTED_VALUE"""),5080.0)</f>
        <v>5080</v>
      </c>
      <c r="D1933" s="1">
        <f>IFERROR(__xludf.DUMMYFUNCTION("""COMPUTED_VALUE"""),4375.0)</f>
        <v>4375</v>
      </c>
      <c r="E1933" s="1">
        <f>IFERROR(__xludf.DUMMYFUNCTION("""COMPUTED_VALUE"""),4850.0)</f>
        <v>4850</v>
      </c>
      <c r="F1933" s="1">
        <f>IFERROR(__xludf.DUMMYFUNCTION("""COMPUTED_VALUE"""),320002.0)</f>
        <v>320002</v>
      </c>
    </row>
    <row r="1934">
      <c r="A1934" s="2">
        <f>IFERROR(__xludf.DUMMYFUNCTION("""COMPUTED_VALUE"""),44067.64583333333)</f>
        <v>44067.64583</v>
      </c>
      <c r="B1934" s="1">
        <f>IFERROR(__xludf.DUMMYFUNCTION("""COMPUTED_VALUE"""),4805.0)</f>
        <v>4805</v>
      </c>
      <c r="C1934" s="1">
        <f>IFERROR(__xludf.DUMMYFUNCTION("""COMPUTED_VALUE"""),5070.0)</f>
        <v>5070</v>
      </c>
      <c r="D1934" s="1">
        <f>IFERROR(__xludf.DUMMYFUNCTION("""COMPUTED_VALUE"""),4780.0)</f>
        <v>4780</v>
      </c>
      <c r="E1934" s="1">
        <f>IFERROR(__xludf.DUMMYFUNCTION("""COMPUTED_VALUE"""),4850.0)</f>
        <v>4850</v>
      </c>
      <c r="F1934" s="1">
        <f>IFERROR(__xludf.DUMMYFUNCTION("""COMPUTED_VALUE"""),66476.0)</f>
        <v>66476</v>
      </c>
    </row>
    <row r="1935">
      <c r="A1935" s="2">
        <f>IFERROR(__xludf.DUMMYFUNCTION("""COMPUTED_VALUE"""),44068.64583333333)</f>
        <v>44068.64583</v>
      </c>
      <c r="B1935" s="1">
        <f>IFERROR(__xludf.DUMMYFUNCTION("""COMPUTED_VALUE"""),4930.0)</f>
        <v>4930</v>
      </c>
      <c r="C1935" s="1">
        <f>IFERROR(__xludf.DUMMYFUNCTION("""COMPUTED_VALUE"""),4930.0)</f>
        <v>4930</v>
      </c>
      <c r="D1935" s="1">
        <f>IFERROR(__xludf.DUMMYFUNCTION("""COMPUTED_VALUE"""),4730.0)</f>
        <v>4730</v>
      </c>
      <c r="E1935" s="1">
        <f>IFERROR(__xludf.DUMMYFUNCTION("""COMPUTED_VALUE"""),4870.0)</f>
        <v>4870</v>
      </c>
      <c r="F1935" s="1">
        <f>IFERROR(__xludf.DUMMYFUNCTION("""COMPUTED_VALUE"""),130186.0)</f>
        <v>130186</v>
      </c>
    </row>
    <row r="1936">
      <c r="A1936" s="2">
        <f>IFERROR(__xludf.DUMMYFUNCTION("""COMPUTED_VALUE"""),44069.64583333333)</f>
        <v>44069.64583</v>
      </c>
      <c r="B1936" s="1">
        <f>IFERROR(__xludf.DUMMYFUNCTION("""COMPUTED_VALUE"""),4900.0)</f>
        <v>4900</v>
      </c>
      <c r="C1936" s="1">
        <f>IFERROR(__xludf.DUMMYFUNCTION("""COMPUTED_VALUE"""),5030.0)</f>
        <v>5030</v>
      </c>
      <c r="D1936" s="1">
        <f>IFERROR(__xludf.DUMMYFUNCTION("""COMPUTED_VALUE"""),4775.0)</f>
        <v>4775</v>
      </c>
      <c r="E1936" s="1">
        <f>IFERROR(__xludf.DUMMYFUNCTION("""COMPUTED_VALUE"""),4995.0)</f>
        <v>4995</v>
      </c>
      <c r="F1936" s="1">
        <f>IFERROR(__xludf.DUMMYFUNCTION("""COMPUTED_VALUE"""),116037.0)</f>
        <v>116037</v>
      </c>
    </row>
    <row r="1937">
      <c r="A1937" s="2">
        <f>IFERROR(__xludf.DUMMYFUNCTION("""COMPUTED_VALUE"""),44070.64583333333)</f>
        <v>44070.64583</v>
      </c>
      <c r="B1937" s="1">
        <f>IFERROR(__xludf.DUMMYFUNCTION("""COMPUTED_VALUE"""),5010.0)</f>
        <v>5010</v>
      </c>
      <c r="C1937" s="1">
        <f>IFERROR(__xludf.DUMMYFUNCTION("""COMPUTED_VALUE"""),5100.0)</f>
        <v>5100</v>
      </c>
      <c r="D1937" s="1">
        <f>IFERROR(__xludf.DUMMYFUNCTION("""COMPUTED_VALUE"""),4800.0)</f>
        <v>4800</v>
      </c>
      <c r="E1937" s="1">
        <f>IFERROR(__xludf.DUMMYFUNCTION("""COMPUTED_VALUE"""),4895.0)</f>
        <v>4895</v>
      </c>
      <c r="F1937" s="1">
        <f>IFERROR(__xludf.DUMMYFUNCTION("""COMPUTED_VALUE"""),111902.0)</f>
        <v>111902</v>
      </c>
    </row>
    <row r="1938">
      <c r="A1938" s="2">
        <f>IFERROR(__xludf.DUMMYFUNCTION("""COMPUTED_VALUE"""),44071.64583333333)</f>
        <v>44071.64583</v>
      </c>
      <c r="B1938" s="1">
        <f>IFERROR(__xludf.DUMMYFUNCTION("""COMPUTED_VALUE"""),5000.0)</f>
        <v>5000</v>
      </c>
      <c r="C1938" s="1">
        <f>IFERROR(__xludf.DUMMYFUNCTION("""COMPUTED_VALUE"""),5000.0)</f>
        <v>5000</v>
      </c>
      <c r="D1938" s="1">
        <f>IFERROR(__xludf.DUMMYFUNCTION("""COMPUTED_VALUE"""),4840.0)</f>
        <v>4840</v>
      </c>
      <c r="E1938" s="1">
        <f>IFERROR(__xludf.DUMMYFUNCTION("""COMPUTED_VALUE"""),4900.0)</f>
        <v>4900</v>
      </c>
      <c r="F1938" s="1">
        <f>IFERROR(__xludf.DUMMYFUNCTION("""COMPUTED_VALUE"""),46486.0)</f>
        <v>46486</v>
      </c>
    </row>
    <row r="1939">
      <c r="A1939" s="2">
        <f>IFERROR(__xludf.DUMMYFUNCTION("""COMPUTED_VALUE"""),44074.64583333333)</f>
        <v>44074.64583</v>
      </c>
      <c r="B1939" s="1">
        <f>IFERROR(__xludf.DUMMYFUNCTION("""COMPUTED_VALUE"""),5270.0)</f>
        <v>5270</v>
      </c>
      <c r="C1939" s="1">
        <f>IFERROR(__xludf.DUMMYFUNCTION("""COMPUTED_VALUE"""),5270.0)</f>
        <v>5270</v>
      </c>
      <c r="D1939" s="1">
        <f>IFERROR(__xludf.DUMMYFUNCTION("""COMPUTED_VALUE"""),4745.0)</f>
        <v>4745</v>
      </c>
      <c r="E1939" s="1">
        <f>IFERROR(__xludf.DUMMYFUNCTION("""COMPUTED_VALUE"""),4835.0)</f>
        <v>4835</v>
      </c>
      <c r="F1939" s="1">
        <f>IFERROR(__xludf.DUMMYFUNCTION("""COMPUTED_VALUE"""),139577.0)</f>
        <v>139577</v>
      </c>
    </row>
    <row r="1940">
      <c r="A1940" s="2">
        <f>IFERROR(__xludf.DUMMYFUNCTION("""COMPUTED_VALUE"""),44075.64583333333)</f>
        <v>44075.64583</v>
      </c>
      <c r="B1940" s="1">
        <f>IFERROR(__xludf.DUMMYFUNCTION("""COMPUTED_VALUE"""),4900.0)</f>
        <v>4900</v>
      </c>
      <c r="C1940" s="1">
        <f>IFERROR(__xludf.DUMMYFUNCTION("""COMPUTED_VALUE"""),4900.0)</f>
        <v>4900</v>
      </c>
      <c r="D1940" s="1">
        <f>IFERROR(__xludf.DUMMYFUNCTION("""COMPUTED_VALUE"""),4700.0)</f>
        <v>4700</v>
      </c>
      <c r="E1940" s="1">
        <f>IFERROR(__xludf.DUMMYFUNCTION("""COMPUTED_VALUE"""),4800.0)</f>
        <v>4800</v>
      </c>
      <c r="F1940" s="1">
        <f>IFERROR(__xludf.DUMMYFUNCTION("""COMPUTED_VALUE"""),58784.0)</f>
        <v>58784</v>
      </c>
    </row>
    <row r="1941">
      <c r="A1941" s="2">
        <f>IFERROR(__xludf.DUMMYFUNCTION("""COMPUTED_VALUE"""),44076.64583333333)</f>
        <v>44076.64583</v>
      </c>
      <c r="B1941" s="1">
        <f>IFERROR(__xludf.DUMMYFUNCTION("""COMPUTED_VALUE"""),4800.0)</f>
        <v>4800</v>
      </c>
      <c r="C1941" s="1">
        <f>IFERROR(__xludf.DUMMYFUNCTION("""COMPUTED_VALUE"""),4845.0)</f>
        <v>4845</v>
      </c>
      <c r="D1941" s="1">
        <f>IFERROR(__xludf.DUMMYFUNCTION("""COMPUTED_VALUE"""),4595.0)</f>
        <v>4595</v>
      </c>
      <c r="E1941" s="1">
        <f>IFERROR(__xludf.DUMMYFUNCTION("""COMPUTED_VALUE"""),4750.0)</f>
        <v>4750</v>
      </c>
      <c r="F1941" s="1">
        <f>IFERROR(__xludf.DUMMYFUNCTION("""COMPUTED_VALUE"""),98869.0)</f>
        <v>98869</v>
      </c>
    </row>
    <row r="1942">
      <c r="A1942" s="2">
        <f>IFERROR(__xludf.DUMMYFUNCTION("""COMPUTED_VALUE"""),44077.64583333333)</f>
        <v>44077.64583</v>
      </c>
      <c r="B1942" s="1">
        <f>IFERROR(__xludf.DUMMYFUNCTION("""COMPUTED_VALUE"""),4795.0)</f>
        <v>4795</v>
      </c>
      <c r="C1942" s="1">
        <f>IFERROR(__xludf.DUMMYFUNCTION("""COMPUTED_VALUE"""),4875.0)</f>
        <v>4875</v>
      </c>
      <c r="D1942" s="1">
        <f>IFERROR(__xludf.DUMMYFUNCTION("""COMPUTED_VALUE"""),4710.0)</f>
        <v>4710</v>
      </c>
      <c r="E1942" s="1">
        <f>IFERROR(__xludf.DUMMYFUNCTION("""COMPUTED_VALUE"""),4810.0)</f>
        <v>4810</v>
      </c>
      <c r="F1942" s="1">
        <f>IFERROR(__xludf.DUMMYFUNCTION("""COMPUTED_VALUE"""),91167.0)</f>
        <v>91167</v>
      </c>
    </row>
    <row r="1943">
      <c r="A1943" s="2">
        <f>IFERROR(__xludf.DUMMYFUNCTION("""COMPUTED_VALUE"""),44078.64583333333)</f>
        <v>44078.64583</v>
      </c>
      <c r="B1943" s="1">
        <f>IFERROR(__xludf.DUMMYFUNCTION("""COMPUTED_VALUE"""),4700.0)</f>
        <v>4700</v>
      </c>
      <c r="C1943" s="1">
        <f>IFERROR(__xludf.DUMMYFUNCTION("""COMPUTED_VALUE"""),4755.0)</f>
        <v>4755</v>
      </c>
      <c r="D1943" s="1">
        <f>IFERROR(__xludf.DUMMYFUNCTION("""COMPUTED_VALUE"""),4430.0)</f>
        <v>4430</v>
      </c>
      <c r="E1943" s="1">
        <f>IFERROR(__xludf.DUMMYFUNCTION("""COMPUTED_VALUE"""),4510.0)</f>
        <v>4510</v>
      </c>
      <c r="F1943" s="1">
        <f>IFERROR(__xludf.DUMMYFUNCTION("""COMPUTED_VALUE"""),324549.0)</f>
        <v>324549</v>
      </c>
    </row>
    <row r="1944">
      <c r="A1944" s="2">
        <f>IFERROR(__xludf.DUMMYFUNCTION("""COMPUTED_VALUE"""),44081.64583333333)</f>
        <v>44081.64583</v>
      </c>
      <c r="B1944" s="1">
        <f>IFERROR(__xludf.DUMMYFUNCTION("""COMPUTED_VALUE"""),4520.0)</f>
        <v>4520</v>
      </c>
      <c r="C1944" s="1">
        <f>IFERROR(__xludf.DUMMYFUNCTION("""COMPUTED_VALUE"""),4670.0)</f>
        <v>4670</v>
      </c>
      <c r="D1944" s="1">
        <f>IFERROR(__xludf.DUMMYFUNCTION("""COMPUTED_VALUE"""),4510.0)</f>
        <v>4510</v>
      </c>
      <c r="E1944" s="1">
        <f>IFERROR(__xludf.DUMMYFUNCTION("""COMPUTED_VALUE"""),4630.0)</f>
        <v>4630</v>
      </c>
      <c r="F1944" s="1">
        <f>IFERROR(__xludf.DUMMYFUNCTION("""COMPUTED_VALUE"""),111279.0)</f>
        <v>111279</v>
      </c>
    </row>
    <row r="1945">
      <c r="A1945" s="2">
        <f>IFERROR(__xludf.DUMMYFUNCTION("""COMPUTED_VALUE"""),44083.64583333333)</f>
        <v>44083.64583</v>
      </c>
      <c r="B1945" s="1">
        <f>IFERROR(__xludf.DUMMYFUNCTION("""COMPUTED_VALUE"""),4730.0)</f>
        <v>4730</v>
      </c>
      <c r="C1945" s="1">
        <f>IFERROR(__xludf.DUMMYFUNCTION("""COMPUTED_VALUE"""),5350.0)</f>
        <v>5350</v>
      </c>
      <c r="D1945" s="1">
        <f>IFERROR(__xludf.DUMMYFUNCTION("""COMPUTED_VALUE"""),4610.0)</f>
        <v>4610</v>
      </c>
      <c r="E1945" s="1">
        <f>IFERROR(__xludf.DUMMYFUNCTION("""COMPUTED_VALUE"""),5270.0)</f>
        <v>5270</v>
      </c>
      <c r="F1945" s="1">
        <f>IFERROR(__xludf.DUMMYFUNCTION("""COMPUTED_VALUE"""),302085.0)</f>
        <v>302085</v>
      </c>
    </row>
    <row r="1946">
      <c r="A1946" s="2">
        <f>IFERROR(__xludf.DUMMYFUNCTION("""COMPUTED_VALUE"""),44084.64583333333)</f>
        <v>44084.64583</v>
      </c>
      <c r="B1946" s="1">
        <f>IFERROR(__xludf.DUMMYFUNCTION("""COMPUTED_VALUE"""),5320.0)</f>
        <v>5320</v>
      </c>
      <c r="C1946" s="1">
        <f>IFERROR(__xludf.DUMMYFUNCTION("""COMPUTED_VALUE"""),5440.0)</f>
        <v>5440</v>
      </c>
      <c r="D1946" s="1">
        <f>IFERROR(__xludf.DUMMYFUNCTION("""COMPUTED_VALUE"""),5140.0)</f>
        <v>5140</v>
      </c>
      <c r="E1946" s="1">
        <f>IFERROR(__xludf.DUMMYFUNCTION("""COMPUTED_VALUE"""),5310.0)</f>
        <v>5310</v>
      </c>
      <c r="F1946" s="1">
        <f>IFERROR(__xludf.DUMMYFUNCTION("""COMPUTED_VALUE"""),150108.0)</f>
        <v>150108</v>
      </c>
    </row>
    <row r="1947">
      <c r="A1947" s="2">
        <f>IFERROR(__xludf.DUMMYFUNCTION("""COMPUTED_VALUE"""),44085.64583333333)</f>
        <v>44085.64583</v>
      </c>
      <c r="B1947" s="1">
        <f>IFERROR(__xludf.DUMMYFUNCTION("""COMPUTED_VALUE"""),5310.0)</f>
        <v>5310</v>
      </c>
      <c r="C1947" s="1">
        <f>IFERROR(__xludf.DUMMYFUNCTION("""COMPUTED_VALUE"""),6410.0)</f>
        <v>6410</v>
      </c>
      <c r="D1947" s="1">
        <f>IFERROR(__xludf.DUMMYFUNCTION("""COMPUTED_VALUE"""),5010.0)</f>
        <v>5010</v>
      </c>
      <c r="E1947" s="1">
        <f>IFERROR(__xludf.DUMMYFUNCTION("""COMPUTED_VALUE"""),6000.0)</f>
        <v>6000</v>
      </c>
      <c r="F1947" s="1">
        <f>IFERROR(__xludf.DUMMYFUNCTION("""COMPUTED_VALUE"""),1137240.0)</f>
        <v>1137240</v>
      </c>
    </row>
    <row r="1948">
      <c r="A1948" s="2">
        <f>IFERROR(__xludf.DUMMYFUNCTION("""COMPUTED_VALUE"""),44088.64583333333)</f>
        <v>44088.64583</v>
      </c>
      <c r="B1948" s="1">
        <f>IFERROR(__xludf.DUMMYFUNCTION("""COMPUTED_VALUE"""),5690.0)</f>
        <v>5690</v>
      </c>
      <c r="C1948" s="1">
        <f>IFERROR(__xludf.DUMMYFUNCTION("""COMPUTED_VALUE"""),5980.0)</f>
        <v>5980</v>
      </c>
      <c r="D1948" s="1">
        <f>IFERROR(__xludf.DUMMYFUNCTION("""COMPUTED_VALUE"""),5490.0)</f>
        <v>5490</v>
      </c>
      <c r="E1948" s="1">
        <f>IFERROR(__xludf.DUMMYFUNCTION("""COMPUTED_VALUE"""),5570.0)</f>
        <v>5570</v>
      </c>
      <c r="F1948" s="1">
        <f>IFERROR(__xludf.DUMMYFUNCTION("""COMPUTED_VALUE"""),636743.0)</f>
        <v>636743</v>
      </c>
    </row>
    <row r="1949">
      <c r="A1949" s="2">
        <f>IFERROR(__xludf.DUMMYFUNCTION("""COMPUTED_VALUE"""),44089.64583333333)</f>
        <v>44089.64583</v>
      </c>
      <c r="B1949" s="1">
        <f>IFERROR(__xludf.DUMMYFUNCTION("""COMPUTED_VALUE"""),5570.0)</f>
        <v>5570</v>
      </c>
      <c r="C1949" s="1">
        <f>IFERROR(__xludf.DUMMYFUNCTION("""COMPUTED_VALUE"""),5570.0)</f>
        <v>5570</v>
      </c>
      <c r="D1949" s="1">
        <f>IFERROR(__xludf.DUMMYFUNCTION("""COMPUTED_VALUE"""),5230.0)</f>
        <v>5230</v>
      </c>
      <c r="E1949" s="1">
        <f>IFERROR(__xludf.DUMMYFUNCTION("""COMPUTED_VALUE"""),5280.0)</f>
        <v>5280</v>
      </c>
      <c r="F1949" s="1">
        <f>IFERROR(__xludf.DUMMYFUNCTION("""COMPUTED_VALUE"""),247929.0)</f>
        <v>247929</v>
      </c>
    </row>
    <row r="1950">
      <c r="A1950" s="2">
        <f>IFERROR(__xludf.DUMMYFUNCTION("""COMPUTED_VALUE"""),44090.64583333333)</f>
        <v>44090.64583</v>
      </c>
      <c r="B1950" s="1">
        <f>IFERROR(__xludf.DUMMYFUNCTION("""COMPUTED_VALUE"""),5320.0)</f>
        <v>5320</v>
      </c>
      <c r="C1950" s="1">
        <f>IFERROR(__xludf.DUMMYFUNCTION("""COMPUTED_VALUE"""),5360.0)</f>
        <v>5360</v>
      </c>
      <c r="D1950" s="1">
        <f>IFERROR(__xludf.DUMMYFUNCTION("""COMPUTED_VALUE"""),5250.0)</f>
        <v>5250</v>
      </c>
      <c r="E1950" s="1">
        <f>IFERROR(__xludf.DUMMYFUNCTION("""COMPUTED_VALUE"""),5280.0)</f>
        <v>5280</v>
      </c>
      <c r="F1950" s="1">
        <f>IFERROR(__xludf.DUMMYFUNCTION("""COMPUTED_VALUE"""),99690.0)</f>
        <v>99690</v>
      </c>
    </row>
    <row r="1951">
      <c r="A1951" s="2">
        <f>IFERROR(__xludf.DUMMYFUNCTION("""COMPUTED_VALUE"""),44091.64583333333)</f>
        <v>44091.64583</v>
      </c>
      <c r="B1951" s="1">
        <f>IFERROR(__xludf.DUMMYFUNCTION("""COMPUTED_VALUE"""),5390.0)</f>
        <v>5390</v>
      </c>
      <c r="C1951" s="1">
        <f>IFERROR(__xludf.DUMMYFUNCTION("""COMPUTED_VALUE"""),6050.0)</f>
        <v>6050</v>
      </c>
      <c r="D1951" s="1">
        <f>IFERROR(__xludf.DUMMYFUNCTION("""COMPUTED_VALUE"""),5080.0)</f>
        <v>5080</v>
      </c>
      <c r="E1951" s="1">
        <f>IFERROR(__xludf.DUMMYFUNCTION("""COMPUTED_VALUE"""),5090.0)</f>
        <v>5090</v>
      </c>
      <c r="F1951" s="1">
        <f>IFERROR(__xludf.DUMMYFUNCTION("""COMPUTED_VALUE"""),1822789.0)</f>
        <v>1822789</v>
      </c>
    </row>
    <row r="1952">
      <c r="A1952" s="2">
        <f>IFERROR(__xludf.DUMMYFUNCTION("""COMPUTED_VALUE"""),44092.64583333333)</f>
        <v>44092.64583</v>
      </c>
      <c r="B1952" s="1">
        <f>IFERROR(__xludf.DUMMYFUNCTION("""COMPUTED_VALUE"""),5140.0)</f>
        <v>5140</v>
      </c>
      <c r="C1952" s="1">
        <f>IFERROR(__xludf.DUMMYFUNCTION("""COMPUTED_VALUE"""),5450.0)</f>
        <v>5450</v>
      </c>
      <c r="D1952" s="1">
        <f>IFERROR(__xludf.DUMMYFUNCTION("""COMPUTED_VALUE"""),5080.0)</f>
        <v>5080</v>
      </c>
      <c r="E1952" s="1">
        <f>IFERROR(__xludf.DUMMYFUNCTION("""COMPUTED_VALUE"""),5280.0)</f>
        <v>5280</v>
      </c>
      <c r="F1952" s="1">
        <f>IFERROR(__xludf.DUMMYFUNCTION("""COMPUTED_VALUE"""),179651.0)</f>
        <v>179651</v>
      </c>
    </row>
    <row r="1953">
      <c r="A1953" s="2">
        <f>IFERROR(__xludf.DUMMYFUNCTION("""COMPUTED_VALUE"""),44095.64583333333)</f>
        <v>44095.64583</v>
      </c>
      <c r="B1953" s="1">
        <f>IFERROR(__xludf.DUMMYFUNCTION("""COMPUTED_VALUE"""),5390.0)</f>
        <v>5390</v>
      </c>
      <c r="C1953" s="1">
        <f>IFERROR(__xludf.DUMMYFUNCTION("""COMPUTED_VALUE"""),5400.0)</f>
        <v>5400</v>
      </c>
      <c r="D1953" s="1">
        <f>IFERROR(__xludf.DUMMYFUNCTION("""COMPUTED_VALUE"""),5090.0)</f>
        <v>5090</v>
      </c>
      <c r="E1953" s="1">
        <f>IFERROR(__xludf.DUMMYFUNCTION("""COMPUTED_VALUE"""),5150.0)</f>
        <v>5150</v>
      </c>
      <c r="F1953" s="1">
        <f>IFERROR(__xludf.DUMMYFUNCTION("""COMPUTED_VALUE"""),157562.0)</f>
        <v>157562</v>
      </c>
    </row>
    <row r="1954">
      <c r="A1954" s="2">
        <f>IFERROR(__xludf.DUMMYFUNCTION("""COMPUTED_VALUE"""),44096.64583333333)</f>
        <v>44096.64583</v>
      </c>
      <c r="B1954" s="1">
        <f>IFERROR(__xludf.DUMMYFUNCTION("""COMPUTED_VALUE"""),5070.0)</f>
        <v>5070</v>
      </c>
      <c r="C1954" s="1">
        <f>IFERROR(__xludf.DUMMYFUNCTION("""COMPUTED_VALUE"""),5170.0)</f>
        <v>5170</v>
      </c>
      <c r="D1954" s="1">
        <f>IFERROR(__xludf.DUMMYFUNCTION("""COMPUTED_VALUE"""),4885.0)</f>
        <v>4885</v>
      </c>
      <c r="E1954" s="1">
        <f>IFERROR(__xludf.DUMMYFUNCTION("""COMPUTED_VALUE"""),4910.0)</f>
        <v>4910</v>
      </c>
      <c r="F1954" s="1">
        <f>IFERROR(__xludf.DUMMYFUNCTION("""COMPUTED_VALUE"""),116700.0)</f>
        <v>116700</v>
      </c>
    </row>
    <row r="1955">
      <c r="A1955" s="2">
        <f>IFERROR(__xludf.DUMMYFUNCTION("""COMPUTED_VALUE"""),44097.64583333333)</f>
        <v>44097.64583</v>
      </c>
      <c r="B1955" s="1">
        <f>IFERROR(__xludf.DUMMYFUNCTION("""COMPUTED_VALUE"""),5100.0)</f>
        <v>5100</v>
      </c>
      <c r="C1955" s="1">
        <f>IFERROR(__xludf.DUMMYFUNCTION("""COMPUTED_VALUE"""),5110.0)</f>
        <v>5110</v>
      </c>
      <c r="D1955" s="1">
        <f>IFERROR(__xludf.DUMMYFUNCTION("""COMPUTED_VALUE"""),4800.0)</f>
        <v>4800</v>
      </c>
      <c r="E1955" s="1">
        <f>IFERROR(__xludf.DUMMYFUNCTION("""COMPUTED_VALUE"""),5050.0)</f>
        <v>5050</v>
      </c>
      <c r="F1955" s="1">
        <f>IFERROR(__xludf.DUMMYFUNCTION("""COMPUTED_VALUE"""),123713.0)</f>
        <v>123713</v>
      </c>
    </row>
    <row r="1956">
      <c r="A1956" s="2">
        <f>IFERROR(__xludf.DUMMYFUNCTION("""COMPUTED_VALUE"""),44098.64583333333)</f>
        <v>44098.64583</v>
      </c>
      <c r="B1956" s="1">
        <f>IFERROR(__xludf.DUMMYFUNCTION("""COMPUTED_VALUE"""),4885.0)</f>
        <v>4885</v>
      </c>
      <c r="C1956" s="1">
        <f>IFERROR(__xludf.DUMMYFUNCTION("""COMPUTED_VALUE"""),5070.0)</f>
        <v>5070</v>
      </c>
      <c r="D1956" s="1">
        <f>IFERROR(__xludf.DUMMYFUNCTION("""COMPUTED_VALUE"""),4605.0)</f>
        <v>4605</v>
      </c>
      <c r="E1956" s="1">
        <f>IFERROR(__xludf.DUMMYFUNCTION("""COMPUTED_VALUE"""),4810.0)</f>
        <v>4810</v>
      </c>
      <c r="F1956" s="1">
        <f>IFERROR(__xludf.DUMMYFUNCTION("""COMPUTED_VALUE"""),124731.0)</f>
        <v>124731</v>
      </c>
    </row>
    <row r="1957">
      <c r="A1957" s="2">
        <f>IFERROR(__xludf.DUMMYFUNCTION("""COMPUTED_VALUE"""),44099.64583333333)</f>
        <v>44099.64583</v>
      </c>
      <c r="B1957" s="1">
        <f>IFERROR(__xludf.DUMMYFUNCTION("""COMPUTED_VALUE"""),4850.0)</f>
        <v>4850</v>
      </c>
      <c r="C1957" s="1">
        <f>IFERROR(__xludf.DUMMYFUNCTION("""COMPUTED_VALUE"""),5060.0)</f>
        <v>5060</v>
      </c>
      <c r="D1957" s="1">
        <f>IFERROR(__xludf.DUMMYFUNCTION("""COMPUTED_VALUE"""),4750.0)</f>
        <v>4750</v>
      </c>
      <c r="E1957" s="1">
        <f>IFERROR(__xludf.DUMMYFUNCTION("""COMPUTED_VALUE"""),4920.0)</f>
        <v>4920</v>
      </c>
      <c r="F1957" s="1">
        <f>IFERROR(__xludf.DUMMYFUNCTION("""COMPUTED_VALUE"""),66570.0)</f>
        <v>66570</v>
      </c>
    </row>
    <row r="1958">
      <c r="A1958" s="2">
        <f>IFERROR(__xludf.DUMMYFUNCTION("""COMPUTED_VALUE"""),44102.64583333333)</f>
        <v>44102.64583</v>
      </c>
      <c r="B1958" s="1">
        <f>IFERROR(__xludf.DUMMYFUNCTION("""COMPUTED_VALUE"""),5000.0)</f>
        <v>5000</v>
      </c>
      <c r="C1958" s="1">
        <f>IFERROR(__xludf.DUMMYFUNCTION("""COMPUTED_VALUE"""),5050.0)</f>
        <v>5050</v>
      </c>
      <c r="D1958" s="1">
        <f>IFERROR(__xludf.DUMMYFUNCTION("""COMPUTED_VALUE"""),4905.0)</f>
        <v>4905</v>
      </c>
      <c r="E1958" s="1">
        <f>IFERROR(__xludf.DUMMYFUNCTION("""COMPUTED_VALUE"""),4920.0)</f>
        <v>4920</v>
      </c>
      <c r="F1958" s="1">
        <f>IFERROR(__xludf.DUMMYFUNCTION("""COMPUTED_VALUE"""),106228.0)</f>
        <v>106228</v>
      </c>
    </row>
    <row r="1959">
      <c r="A1959" s="2">
        <f>IFERROR(__xludf.DUMMYFUNCTION("""COMPUTED_VALUE"""),44103.64583333333)</f>
        <v>44103.64583</v>
      </c>
      <c r="B1959" s="1">
        <f>IFERROR(__xludf.DUMMYFUNCTION("""COMPUTED_VALUE"""),4920.0)</f>
        <v>4920</v>
      </c>
      <c r="C1959" s="1">
        <f>IFERROR(__xludf.DUMMYFUNCTION("""COMPUTED_VALUE"""),4995.0)</f>
        <v>4995</v>
      </c>
      <c r="D1959" s="1">
        <f>IFERROR(__xludf.DUMMYFUNCTION("""COMPUTED_VALUE"""),4875.0)</f>
        <v>4875</v>
      </c>
      <c r="E1959" s="1">
        <f>IFERROR(__xludf.DUMMYFUNCTION("""COMPUTED_VALUE"""),4875.0)</f>
        <v>4875</v>
      </c>
      <c r="F1959" s="1">
        <f>IFERROR(__xludf.DUMMYFUNCTION("""COMPUTED_VALUE"""),86049.0)</f>
        <v>86049</v>
      </c>
    </row>
    <row r="1960">
      <c r="A1960" s="2">
        <f>IFERROR(__xludf.DUMMYFUNCTION("""COMPUTED_VALUE"""),44109.64583333333)</f>
        <v>44109.64583</v>
      </c>
      <c r="B1960" s="1">
        <f>IFERROR(__xludf.DUMMYFUNCTION("""COMPUTED_VALUE"""),5060.0)</f>
        <v>5060</v>
      </c>
      <c r="C1960" s="1">
        <f>IFERROR(__xludf.DUMMYFUNCTION("""COMPUTED_VALUE"""),5060.0)</f>
        <v>5060</v>
      </c>
      <c r="D1960" s="1">
        <f>IFERROR(__xludf.DUMMYFUNCTION("""COMPUTED_VALUE"""),4840.0)</f>
        <v>4840</v>
      </c>
      <c r="E1960" s="1">
        <f>IFERROR(__xludf.DUMMYFUNCTION("""COMPUTED_VALUE"""),4885.0)</f>
        <v>4885</v>
      </c>
      <c r="F1960" s="1">
        <f>IFERROR(__xludf.DUMMYFUNCTION("""COMPUTED_VALUE"""),27005.0)</f>
        <v>27005</v>
      </c>
    </row>
    <row r="1961">
      <c r="A1961" s="2">
        <f>IFERROR(__xludf.DUMMYFUNCTION("""COMPUTED_VALUE"""),44110.64583333333)</f>
        <v>44110.64583</v>
      </c>
      <c r="B1961" s="1">
        <f>IFERROR(__xludf.DUMMYFUNCTION("""COMPUTED_VALUE"""),4990.0)</f>
        <v>4990</v>
      </c>
      <c r="C1961" s="1">
        <f>IFERROR(__xludf.DUMMYFUNCTION("""COMPUTED_VALUE"""),5480.0)</f>
        <v>5480</v>
      </c>
      <c r="D1961" s="1">
        <f>IFERROR(__xludf.DUMMYFUNCTION("""COMPUTED_VALUE"""),4935.0)</f>
        <v>4935</v>
      </c>
      <c r="E1961" s="1">
        <f>IFERROR(__xludf.DUMMYFUNCTION("""COMPUTED_VALUE"""),5010.0)</f>
        <v>5010</v>
      </c>
      <c r="F1961" s="1">
        <f>IFERROR(__xludf.DUMMYFUNCTION("""COMPUTED_VALUE"""),424681.0)</f>
        <v>424681</v>
      </c>
    </row>
    <row r="1962">
      <c r="A1962" s="2">
        <f>IFERROR(__xludf.DUMMYFUNCTION("""COMPUTED_VALUE"""),44111.64583333333)</f>
        <v>44111.64583</v>
      </c>
      <c r="B1962" s="1">
        <f>IFERROR(__xludf.DUMMYFUNCTION("""COMPUTED_VALUE"""),5120.0)</f>
        <v>5120</v>
      </c>
      <c r="C1962" s="1">
        <f>IFERROR(__xludf.DUMMYFUNCTION("""COMPUTED_VALUE"""),5180.0)</f>
        <v>5180</v>
      </c>
      <c r="D1962" s="1">
        <f>IFERROR(__xludf.DUMMYFUNCTION("""COMPUTED_VALUE"""),4915.0)</f>
        <v>4915</v>
      </c>
      <c r="E1962" s="1">
        <f>IFERROR(__xludf.DUMMYFUNCTION("""COMPUTED_VALUE"""),5050.0)</f>
        <v>5050</v>
      </c>
      <c r="F1962" s="1">
        <f>IFERROR(__xludf.DUMMYFUNCTION("""COMPUTED_VALUE"""),79975.0)</f>
        <v>79975</v>
      </c>
    </row>
    <row r="1963">
      <c r="A1963" s="2">
        <f>IFERROR(__xludf.DUMMYFUNCTION("""COMPUTED_VALUE"""),44112.64583333333)</f>
        <v>44112.64583</v>
      </c>
      <c r="B1963" s="1">
        <f>IFERROR(__xludf.DUMMYFUNCTION("""COMPUTED_VALUE"""),5140.0)</f>
        <v>5140</v>
      </c>
      <c r="C1963" s="1">
        <f>IFERROR(__xludf.DUMMYFUNCTION("""COMPUTED_VALUE"""),5140.0)</f>
        <v>5140</v>
      </c>
      <c r="D1963" s="1">
        <f>IFERROR(__xludf.DUMMYFUNCTION("""COMPUTED_VALUE"""),4940.0)</f>
        <v>4940</v>
      </c>
      <c r="E1963" s="1">
        <f>IFERROR(__xludf.DUMMYFUNCTION("""COMPUTED_VALUE"""),5030.0)</f>
        <v>5030</v>
      </c>
      <c r="F1963" s="1">
        <f>IFERROR(__xludf.DUMMYFUNCTION("""COMPUTED_VALUE"""),38888.0)</f>
        <v>38888</v>
      </c>
    </row>
    <row r="1964">
      <c r="A1964" s="2">
        <f>IFERROR(__xludf.DUMMYFUNCTION("""COMPUTED_VALUE"""),44116.64583333333)</f>
        <v>44116.64583</v>
      </c>
      <c r="B1964" s="1">
        <f>IFERROR(__xludf.DUMMYFUNCTION("""COMPUTED_VALUE"""),5050.0)</f>
        <v>5050</v>
      </c>
      <c r="C1964" s="1">
        <f>IFERROR(__xludf.DUMMYFUNCTION("""COMPUTED_VALUE"""),5230.0)</f>
        <v>5230</v>
      </c>
      <c r="D1964" s="1">
        <f>IFERROR(__xludf.DUMMYFUNCTION("""COMPUTED_VALUE"""),4940.0)</f>
        <v>4940</v>
      </c>
      <c r="E1964" s="1">
        <f>IFERROR(__xludf.DUMMYFUNCTION("""COMPUTED_VALUE"""),5030.0)</f>
        <v>5030</v>
      </c>
      <c r="F1964" s="1">
        <f>IFERROR(__xludf.DUMMYFUNCTION("""COMPUTED_VALUE"""),203603.0)</f>
        <v>203603</v>
      </c>
    </row>
    <row r="1965">
      <c r="A1965" s="2">
        <f>IFERROR(__xludf.DUMMYFUNCTION("""COMPUTED_VALUE"""),44117.64583333333)</f>
        <v>44117.64583</v>
      </c>
      <c r="B1965" s="1">
        <f>IFERROR(__xludf.DUMMYFUNCTION("""COMPUTED_VALUE"""),4995.0)</f>
        <v>4995</v>
      </c>
      <c r="C1965" s="1">
        <f>IFERROR(__xludf.DUMMYFUNCTION("""COMPUTED_VALUE"""),5050.0)</f>
        <v>5050</v>
      </c>
      <c r="D1965" s="1">
        <f>IFERROR(__xludf.DUMMYFUNCTION("""COMPUTED_VALUE"""),4960.0)</f>
        <v>4960</v>
      </c>
      <c r="E1965" s="1">
        <f>IFERROR(__xludf.DUMMYFUNCTION("""COMPUTED_VALUE"""),4995.0)</f>
        <v>4995</v>
      </c>
      <c r="F1965" s="1">
        <f>IFERROR(__xludf.DUMMYFUNCTION("""COMPUTED_VALUE"""),24646.0)</f>
        <v>24646</v>
      </c>
    </row>
    <row r="1966">
      <c r="A1966" s="2">
        <f>IFERROR(__xludf.DUMMYFUNCTION("""COMPUTED_VALUE"""),44118.64583333333)</f>
        <v>44118.64583</v>
      </c>
      <c r="B1966" s="1">
        <f>IFERROR(__xludf.DUMMYFUNCTION("""COMPUTED_VALUE"""),5010.0)</f>
        <v>5010</v>
      </c>
      <c r="C1966" s="1">
        <f>IFERROR(__xludf.DUMMYFUNCTION("""COMPUTED_VALUE"""),5010.0)</f>
        <v>5010</v>
      </c>
      <c r="D1966" s="1">
        <f>IFERROR(__xludf.DUMMYFUNCTION("""COMPUTED_VALUE"""),4900.0)</f>
        <v>4900</v>
      </c>
      <c r="E1966" s="1">
        <f>IFERROR(__xludf.DUMMYFUNCTION("""COMPUTED_VALUE"""),4960.0)</f>
        <v>4960</v>
      </c>
      <c r="F1966" s="1">
        <f>IFERROR(__xludf.DUMMYFUNCTION("""COMPUTED_VALUE"""),39380.0)</f>
        <v>39380</v>
      </c>
    </row>
    <row r="1967">
      <c r="A1967" s="2">
        <f>IFERROR(__xludf.DUMMYFUNCTION("""COMPUTED_VALUE"""),44119.64583333333)</f>
        <v>44119.64583</v>
      </c>
      <c r="B1967" s="1">
        <f>IFERROR(__xludf.DUMMYFUNCTION("""COMPUTED_VALUE"""),4975.0)</f>
        <v>4975</v>
      </c>
      <c r="C1967" s="1">
        <f>IFERROR(__xludf.DUMMYFUNCTION("""COMPUTED_VALUE"""),4975.0)</f>
        <v>4975</v>
      </c>
      <c r="D1967" s="1">
        <f>IFERROR(__xludf.DUMMYFUNCTION("""COMPUTED_VALUE"""),4750.0)</f>
        <v>4750</v>
      </c>
      <c r="E1967" s="1">
        <f>IFERROR(__xludf.DUMMYFUNCTION("""COMPUTED_VALUE"""),4820.0)</f>
        <v>4820</v>
      </c>
      <c r="F1967" s="1">
        <f>IFERROR(__xludf.DUMMYFUNCTION("""COMPUTED_VALUE"""),61367.0)</f>
        <v>61367</v>
      </c>
    </row>
    <row r="1968">
      <c r="A1968" s="2">
        <f>IFERROR(__xludf.DUMMYFUNCTION("""COMPUTED_VALUE"""),44120.64583333333)</f>
        <v>44120.64583</v>
      </c>
      <c r="B1968" s="1">
        <f>IFERROR(__xludf.DUMMYFUNCTION("""COMPUTED_VALUE"""),4880.0)</f>
        <v>4880</v>
      </c>
      <c r="C1968" s="1">
        <f>IFERROR(__xludf.DUMMYFUNCTION("""COMPUTED_VALUE"""),4880.0)</f>
        <v>4880</v>
      </c>
      <c r="D1968" s="1">
        <f>IFERROR(__xludf.DUMMYFUNCTION("""COMPUTED_VALUE"""),4770.0)</f>
        <v>4770</v>
      </c>
      <c r="E1968" s="1">
        <f>IFERROR(__xludf.DUMMYFUNCTION("""COMPUTED_VALUE"""),4840.0)</f>
        <v>4840</v>
      </c>
      <c r="F1968" s="1">
        <f>IFERROR(__xludf.DUMMYFUNCTION("""COMPUTED_VALUE"""),35488.0)</f>
        <v>35488</v>
      </c>
    </row>
    <row r="1969">
      <c r="A1969" s="2">
        <f>IFERROR(__xludf.DUMMYFUNCTION("""COMPUTED_VALUE"""),44123.64583333333)</f>
        <v>44123.64583</v>
      </c>
      <c r="B1969" s="1">
        <f>IFERROR(__xludf.DUMMYFUNCTION("""COMPUTED_VALUE"""),4850.0)</f>
        <v>4850</v>
      </c>
      <c r="C1969" s="1">
        <f>IFERROR(__xludf.DUMMYFUNCTION("""COMPUTED_VALUE"""),4895.0)</f>
        <v>4895</v>
      </c>
      <c r="D1969" s="1">
        <f>IFERROR(__xludf.DUMMYFUNCTION("""COMPUTED_VALUE"""),4730.0)</f>
        <v>4730</v>
      </c>
      <c r="E1969" s="1">
        <f>IFERROR(__xludf.DUMMYFUNCTION("""COMPUTED_VALUE"""),4810.0)</f>
        <v>4810</v>
      </c>
      <c r="F1969" s="1">
        <f>IFERROR(__xludf.DUMMYFUNCTION("""COMPUTED_VALUE"""),35003.0)</f>
        <v>35003</v>
      </c>
    </row>
    <row r="1970">
      <c r="A1970" s="2">
        <f>IFERROR(__xludf.DUMMYFUNCTION("""COMPUTED_VALUE"""),44124.64583333333)</f>
        <v>44124.64583</v>
      </c>
      <c r="B1970" s="1">
        <f>IFERROR(__xludf.DUMMYFUNCTION("""COMPUTED_VALUE"""),4670.0)</f>
        <v>4670</v>
      </c>
      <c r="C1970" s="1">
        <f>IFERROR(__xludf.DUMMYFUNCTION("""COMPUTED_VALUE"""),4825.0)</f>
        <v>4825</v>
      </c>
      <c r="D1970" s="1">
        <f>IFERROR(__xludf.DUMMYFUNCTION("""COMPUTED_VALUE"""),4615.0)</f>
        <v>4615</v>
      </c>
      <c r="E1970" s="1">
        <f>IFERROR(__xludf.DUMMYFUNCTION("""COMPUTED_VALUE"""),4700.0)</f>
        <v>4700</v>
      </c>
      <c r="F1970" s="1">
        <f>IFERROR(__xludf.DUMMYFUNCTION("""COMPUTED_VALUE"""),39639.0)</f>
        <v>39639</v>
      </c>
    </row>
    <row r="1971">
      <c r="A1971" s="2">
        <f>IFERROR(__xludf.DUMMYFUNCTION("""COMPUTED_VALUE"""),44125.64583333333)</f>
        <v>44125.64583</v>
      </c>
      <c r="B1971" s="1">
        <f>IFERROR(__xludf.DUMMYFUNCTION("""COMPUTED_VALUE"""),4690.0)</f>
        <v>4690</v>
      </c>
      <c r="C1971" s="1">
        <f>IFERROR(__xludf.DUMMYFUNCTION("""COMPUTED_VALUE"""),4775.0)</f>
        <v>4775</v>
      </c>
      <c r="D1971" s="1">
        <f>IFERROR(__xludf.DUMMYFUNCTION("""COMPUTED_VALUE"""),4645.0)</f>
        <v>4645</v>
      </c>
      <c r="E1971" s="1">
        <f>IFERROR(__xludf.DUMMYFUNCTION("""COMPUTED_VALUE"""),4775.0)</f>
        <v>4775</v>
      </c>
      <c r="F1971" s="1">
        <f>IFERROR(__xludf.DUMMYFUNCTION("""COMPUTED_VALUE"""),27854.0)</f>
        <v>27854</v>
      </c>
    </row>
    <row r="1972">
      <c r="A1972" s="2">
        <f>IFERROR(__xludf.DUMMYFUNCTION("""COMPUTED_VALUE"""),44126.64583333333)</f>
        <v>44126.64583</v>
      </c>
      <c r="B1972" s="1">
        <f>IFERROR(__xludf.DUMMYFUNCTION("""COMPUTED_VALUE"""),4780.0)</f>
        <v>4780</v>
      </c>
      <c r="C1972" s="1">
        <f>IFERROR(__xludf.DUMMYFUNCTION("""COMPUTED_VALUE"""),4780.0)</f>
        <v>4780</v>
      </c>
      <c r="D1972" s="1">
        <f>IFERROR(__xludf.DUMMYFUNCTION("""COMPUTED_VALUE"""),4565.0)</f>
        <v>4565</v>
      </c>
      <c r="E1972" s="1">
        <f>IFERROR(__xludf.DUMMYFUNCTION("""COMPUTED_VALUE"""),4580.0)</f>
        <v>4580</v>
      </c>
      <c r="F1972" s="1">
        <f>IFERROR(__xludf.DUMMYFUNCTION("""COMPUTED_VALUE"""),60203.0)</f>
        <v>60203</v>
      </c>
    </row>
    <row r="1973">
      <c r="A1973" s="2">
        <f>IFERROR(__xludf.DUMMYFUNCTION("""COMPUTED_VALUE"""),44127.64583333333)</f>
        <v>44127.64583</v>
      </c>
      <c r="B1973" s="1">
        <f>IFERROR(__xludf.DUMMYFUNCTION("""COMPUTED_VALUE"""),4580.0)</f>
        <v>4580</v>
      </c>
      <c r="C1973" s="1">
        <f>IFERROR(__xludf.DUMMYFUNCTION("""COMPUTED_VALUE"""),4665.0)</f>
        <v>4665</v>
      </c>
      <c r="D1973" s="1">
        <f>IFERROR(__xludf.DUMMYFUNCTION("""COMPUTED_VALUE"""),4360.0)</f>
        <v>4360</v>
      </c>
      <c r="E1973" s="1">
        <f>IFERROR(__xludf.DUMMYFUNCTION("""COMPUTED_VALUE"""),4380.0)</f>
        <v>4380</v>
      </c>
      <c r="F1973" s="1">
        <f>IFERROR(__xludf.DUMMYFUNCTION("""COMPUTED_VALUE"""),119612.0)</f>
        <v>119612</v>
      </c>
    </row>
    <row r="1974">
      <c r="A1974" s="2">
        <f>IFERROR(__xludf.DUMMYFUNCTION("""COMPUTED_VALUE"""),44130.64583333333)</f>
        <v>44130.64583</v>
      </c>
      <c r="B1974" s="1">
        <f>IFERROR(__xludf.DUMMYFUNCTION("""COMPUTED_VALUE"""),4400.0)</f>
        <v>4400</v>
      </c>
      <c r="C1974" s="1">
        <f>IFERROR(__xludf.DUMMYFUNCTION("""COMPUTED_VALUE"""),4400.0)</f>
        <v>4400</v>
      </c>
      <c r="D1974" s="1">
        <f>IFERROR(__xludf.DUMMYFUNCTION("""COMPUTED_VALUE"""),4110.0)</f>
        <v>4110</v>
      </c>
      <c r="E1974" s="1">
        <f>IFERROR(__xludf.DUMMYFUNCTION("""COMPUTED_VALUE"""),4110.0)</f>
        <v>4110</v>
      </c>
      <c r="F1974" s="1">
        <f>IFERROR(__xludf.DUMMYFUNCTION("""COMPUTED_VALUE"""),74200.0)</f>
        <v>74200</v>
      </c>
    </row>
    <row r="1975">
      <c r="A1975" s="2">
        <f>IFERROR(__xludf.DUMMYFUNCTION("""COMPUTED_VALUE"""),44131.64583333333)</f>
        <v>44131.64583</v>
      </c>
      <c r="B1975" s="1">
        <f>IFERROR(__xludf.DUMMYFUNCTION("""COMPUTED_VALUE"""),4015.0)</f>
        <v>4015</v>
      </c>
      <c r="C1975" s="1">
        <f>IFERROR(__xludf.DUMMYFUNCTION("""COMPUTED_VALUE"""),4190.0)</f>
        <v>4190</v>
      </c>
      <c r="D1975" s="1">
        <f>IFERROR(__xludf.DUMMYFUNCTION("""COMPUTED_VALUE"""),4015.0)</f>
        <v>4015</v>
      </c>
      <c r="E1975" s="1">
        <f>IFERROR(__xludf.DUMMYFUNCTION("""COMPUTED_VALUE"""),4135.0)</f>
        <v>4135</v>
      </c>
      <c r="F1975" s="1">
        <f>IFERROR(__xludf.DUMMYFUNCTION("""COMPUTED_VALUE"""),25843.0)</f>
        <v>25843</v>
      </c>
    </row>
    <row r="1976">
      <c r="A1976" s="2">
        <f>IFERROR(__xludf.DUMMYFUNCTION("""COMPUTED_VALUE"""),44132.64583333333)</f>
        <v>44132.64583</v>
      </c>
      <c r="B1976" s="1">
        <f>IFERROR(__xludf.DUMMYFUNCTION("""COMPUTED_VALUE"""),4075.0)</f>
        <v>4075</v>
      </c>
      <c r="C1976" s="1">
        <f>IFERROR(__xludf.DUMMYFUNCTION("""COMPUTED_VALUE"""),4300.0)</f>
        <v>4300</v>
      </c>
      <c r="D1976" s="1">
        <f>IFERROR(__xludf.DUMMYFUNCTION("""COMPUTED_VALUE"""),4010.0)</f>
        <v>4010</v>
      </c>
      <c r="E1976" s="1">
        <f>IFERROR(__xludf.DUMMYFUNCTION("""COMPUTED_VALUE"""),4275.0)</f>
        <v>4275</v>
      </c>
      <c r="F1976" s="1">
        <f>IFERROR(__xludf.DUMMYFUNCTION("""COMPUTED_VALUE"""),16420.0)</f>
        <v>16420</v>
      </c>
    </row>
    <row r="1977">
      <c r="A1977" s="2">
        <f>IFERROR(__xludf.DUMMYFUNCTION("""COMPUTED_VALUE"""),44133.64583333333)</f>
        <v>44133.64583</v>
      </c>
      <c r="B1977" s="1">
        <f>IFERROR(__xludf.DUMMYFUNCTION("""COMPUTED_VALUE"""),4265.0)</f>
        <v>4265</v>
      </c>
      <c r="C1977" s="1">
        <f>IFERROR(__xludf.DUMMYFUNCTION("""COMPUTED_VALUE"""),4325.0)</f>
        <v>4325</v>
      </c>
      <c r="D1977" s="1">
        <f>IFERROR(__xludf.DUMMYFUNCTION("""COMPUTED_VALUE"""),4105.0)</f>
        <v>4105</v>
      </c>
      <c r="E1977" s="1">
        <f>IFERROR(__xludf.DUMMYFUNCTION("""COMPUTED_VALUE"""),4320.0)</f>
        <v>4320</v>
      </c>
      <c r="F1977" s="1">
        <f>IFERROR(__xludf.DUMMYFUNCTION("""COMPUTED_VALUE"""),63125.0)</f>
        <v>63125</v>
      </c>
    </row>
    <row r="1978">
      <c r="A1978" s="2">
        <f>IFERROR(__xludf.DUMMYFUNCTION("""COMPUTED_VALUE"""),44134.64583333333)</f>
        <v>44134.64583</v>
      </c>
      <c r="B1978" s="1">
        <f>IFERROR(__xludf.DUMMYFUNCTION("""COMPUTED_VALUE"""),4345.0)</f>
        <v>4345</v>
      </c>
      <c r="C1978" s="1">
        <f>IFERROR(__xludf.DUMMYFUNCTION("""COMPUTED_VALUE"""),4400.0)</f>
        <v>4400</v>
      </c>
      <c r="D1978" s="1">
        <f>IFERROR(__xludf.DUMMYFUNCTION("""COMPUTED_VALUE"""),4255.0)</f>
        <v>4255</v>
      </c>
      <c r="E1978" s="1">
        <f>IFERROR(__xludf.DUMMYFUNCTION("""COMPUTED_VALUE"""),4385.0)</f>
        <v>4385</v>
      </c>
      <c r="F1978" s="1">
        <f>IFERROR(__xludf.DUMMYFUNCTION("""COMPUTED_VALUE"""),42778.0)</f>
        <v>42778</v>
      </c>
    </row>
    <row r="1979">
      <c r="A1979" s="2">
        <f>IFERROR(__xludf.DUMMYFUNCTION("""COMPUTED_VALUE"""),44137.64583333333)</f>
        <v>44137.64583</v>
      </c>
      <c r="B1979" s="1">
        <f>IFERROR(__xludf.DUMMYFUNCTION("""COMPUTED_VALUE"""),4470.0)</f>
        <v>4470</v>
      </c>
      <c r="C1979" s="1">
        <f>IFERROR(__xludf.DUMMYFUNCTION("""COMPUTED_VALUE"""),4500.0)</f>
        <v>4500</v>
      </c>
      <c r="D1979" s="1">
        <f>IFERROR(__xludf.DUMMYFUNCTION("""COMPUTED_VALUE"""),4365.0)</f>
        <v>4365</v>
      </c>
      <c r="E1979" s="1">
        <f>IFERROR(__xludf.DUMMYFUNCTION("""COMPUTED_VALUE"""),4400.0)</f>
        <v>4400</v>
      </c>
      <c r="F1979" s="1">
        <f>IFERROR(__xludf.DUMMYFUNCTION("""COMPUTED_VALUE"""),30393.0)</f>
        <v>30393</v>
      </c>
    </row>
    <row r="1980">
      <c r="A1980" s="2">
        <f>IFERROR(__xludf.DUMMYFUNCTION("""COMPUTED_VALUE"""),44138.64583333333)</f>
        <v>44138.64583</v>
      </c>
      <c r="B1980" s="1">
        <f>IFERROR(__xludf.DUMMYFUNCTION("""COMPUTED_VALUE"""),4470.0)</f>
        <v>4470</v>
      </c>
      <c r="C1980" s="1">
        <f>IFERROR(__xludf.DUMMYFUNCTION("""COMPUTED_VALUE"""),4545.0)</f>
        <v>4545</v>
      </c>
      <c r="D1980" s="1">
        <f>IFERROR(__xludf.DUMMYFUNCTION("""COMPUTED_VALUE"""),4460.0)</f>
        <v>4460</v>
      </c>
      <c r="E1980" s="1">
        <f>IFERROR(__xludf.DUMMYFUNCTION("""COMPUTED_VALUE"""),4500.0)</f>
        <v>4500</v>
      </c>
      <c r="F1980" s="1">
        <f>IFERROR(__xludf.DUMMYFUNCTION("""COMPUTED_VALUE"""),38591.0)</f>
        <v>38591</v>
      </c>
    </row>
    <row r="1981">
      <c r="A1981" s="2">
        <f>IFERROR(__xludf.DUMMYFUNCTION("""COMPUTED_VALUE"""),44139.64583333333)</f>
        <v>44139.64583</v>
      </c>
      <c r="B1981" s="1">
        <f>IFERROR(__xludf.DUMMYFUNCTION("""COMPUTED_VALUE"""),4600.0)</f>
        <v>4600</v>
      </c>
      <c r="C1981" s="1">
        <f>IFERROR(__xludf.DUMMYFUNCTION("""COMPUTED_VALUE"""),4780.0)</f>
        <v>4780</v>
      </c>
      <c r="D1981" s="1">
        <f>IFERROR(__xludf.DUMMYFUNCTION("""COMPUTED_VALUE"""),4380.0)</f>
        <v>4380</v>
      </c>
      <c r="E1981" s="1">
        <f>IFERROR(__xludf.DUMMYFUNCTION("""COMPUTED_VALUE"""),4545.0)</f>
        <v>4545</v>
      </c>
      <c r="F1981" s="1">
        <f>IFERROR(__xludf.DUMMYFUNCTION("""COMPUTED_VALUE"""),124014.0)</f>
        <v>124014</v>
      </c>
    </row>
    <row r="1982">
      <c r="A1982" s="2">
        <f>IFERROR(__xludf.DUMMYFUNCTION("""COMPUTED_VALUE"""),44140.64583333333)</f>
        <v>44140.64583</v>
      </c>
      <c r="B1982" s="1">
        <f>IFERROR(__xludf.DUMMYFUNCTION("""COMPUTED_VALUE"""),4660.0)</f>
        <v>4660</v>
      </c>
      <c r="C1982" s="1">
        <f>IFERROR(__xludf.DUMMYFUNCTION("""COMPUTED_VALUE"""),4700.0)</f>
        <v>4700</v>
      </c>
      <c r="D1982" s="1">
        <f>IFERROR(__xludf.DUMMYFUNCTION("""COMPUTED_VALUE"""),4510.0)</f>
        <v>4510</v>
      </c>
      <c r="E1982" s="1">
        <f>IFERROR(__xludf.DUMMYFUNCTION("""COMPUTED_VALUE"""),4650.0)</f>
        <v>4650</v>
      </c>
      <c r="F1982" s="1">
        <f>IFERROR(__xludf.DUMMYFUNCTION("""COMPUTED_VALUE"""),56528.0)</f>
        <v>56528</v>
      </c>
    </row>
    <row r="1983">
      <c r="A1983" s="2">
        <f>IFERROR(__xludf.DUMMYFUNCTION("""COMPUTED_VALUE"""),44141.64583333333)</f>
        <v>44141.64583</v>
      </c>
      <c r="B1983" s="1">
        <f>IFERROR(__xludf.DUMMYFUNCTION("""COMPUTED_VALUE"""),4650.0)</f>
        <v>4650</v>
      </c>
      <c r="C1983" s="1">
        <f>IFERROR(__xludf.DUMMYFUNCTION("""COMPUTED_VALUE"""),4750.0)</f>
        <v>4750</v>
      </c>
      <c r="D1983" s="1">
        <f>IFERROR(__xludf.DUMMYFUNCTION("""COMPUTED_VALUE"""),4650.0)</f>
        <v>4650</v>
      </c>
      <c r="E1983" s="1">
        <f>IFERROR(__xludf.DUMMYFUNCTION("""COMPUTED_VALUE"""),4720.0)</f>
        <v>4720</v>
      </c>
      <c r="F1983" s="1">
        <f>IFERROR(__xludf.DUMMYFUNCTION("""COMPUTED_VALUE"""),42766.0)</f>
        <v>42766</v>
      </c>
    </row>
    <row r="1984">
      <c r="A1984" s="2">
        <f>IFERROR(__xludf.DUMMYFUNCTION("""COMPUTED_VALUE"""),44144.64583333333)</f>
        <v>44144.64583</v>
      </c>
      <c r="B1984" s="1">
        <f>IFERROR(__xludf.DUMMYFUNCTION("""COMPUTED_VALUE"""),4800.0)</f>
        <v>4800</v>
      </c>
      <c r="C1984" s="1">
        <f>IFERROR(__xludf.DUMMYFUNCTION("""COMPUTED_VALUE"""),4800.0)</f>
        <v>4800</v>
      </c>
      <c r="D1984" s="1">
        <f>IFERROR(__xludf.DUMMYFUNCTION("""COMPUTED_VALUE"""),4700.0)</f>
        <v>4700</v>
      </c>
      <c r="E1984" s="1">
        <f>IFERROR(__xludf.DUMMYFUNCTION("""COMPUTED_VALUE"""),4755.0)</f>
        <v>4755</v>
      </c>
      <c r="F1984" s="1">
        <f>IFERROR(__xludf.DUMMYFUNCTION("""COMPUTED_VALUE"""),37858.0)</f>
        <v>37858</v>
      </c>
    </row>
    <row r="1985">
      <c r="A1985" s="2">
        <f>IFERROR(__xludf.DUMMYFUNCTION("""COMPUTED_VALUE"""),44145.64583333333)</f>
        <v>44145.64583</v>
      </c>
      <c r="B1985" s="1">
        <f>IFERROR(__xludf.DUMMYFUNCTION("""COMPUTED_VALUE"""),4700.0)</f>
        <v>4700</v>
      </c>
      <c r="C1985" s="1">
        <f>IFERROR(__xludf.DUMMYFUNCTION("""COMPUTED_VALUE"""),4700.0)</f>
        <v>4700</v>
      </c>
      <c r="D1985" s="1">
        <f>IFERROR(__xludf.DUMMYFUNCTION("""COMPUTED_VALUE"""),4525.0)</f>
        <v>4525</v>
      </c>
      <c r="E1985" s="1">
        <f>IFERROR(__xludf.DUMMYFUNCTION("""COMPUTED_VALUE"""),4570.0)</f>
        <v>4570</v>
      </c>
      <c r="F1985" s="1">
        <f>IFERROR(__xludf.DUMMYFUNCTION("""COMPUTED_VALUE"""),54221.0)</f>
        <v>54221</v>
      </c>
    </row>
    <row r="1986">
      <c r="A1986" s="2">
        <f>IFERROR(__xludf.DUMMYFUNCTION("""COMPUTED_VALUE"""),44146.64583333333)</f>
        <v>44146.64583</v>
      </c>
      <c r="B1986" s="1">
        <f>IFERROR(__xludf.DUMMYFUNCTION("""COMPUTED_VALUE"""),4665.0)</f>
        <v>4665</v>
      </c>
      <c r="C1986" s="1">
        <f>IFERROR(__xludf.DUMMYFUNCTION("""COMPUTED_VALUE"""),4665.0)</f>
        <v>4665</v>
      </c>
      <c r="D1986" s="1">
        <f>IFERROR(__xludf.DUMMYFUNCTION("""COMPUTED_VALUE"""),4405.0)</f>
        <v>4405</v>
      </c>
      <c r="E1986" s="1">
        <f>IFERROR(__xludf.DUMMYFUNCTION("""COMPUTED_VALUE"""),4525.0)</f>
        <v>4525</v>
      </c>
      <c r="F1986" s="1">
        <f>IFERROR(__xludf.DUMMYFUNCTION("""COMPUTED_VALUE"""),74937.0)</f>
        <v>74937</v>
      </c>
    </row>
    <row r="1987">
      <c r="A1987" s="2">
        <f>IFERROR(__xludf.DUMMYFUNCTION("""COMPUTED_VALUE"""),44147.64583333333)</f>
        <v>44147.64583</v>
      </c>
      <c r="B1987" s="1">
        <f>IFERROR(__xludf.DUMMYFUNCTION("""COMPUTED_VALUE"""),4525.0)</f>
        <v>4525</v>
      </c>
      <c r="C1987" s="1">
        <f>IFERROR(__xludf.DUMMYFUNCTION("""COMPUTED_VALUE"""),4625.0)</f>
        <v>4625</v>
      </c>
      <c r="D1987" s="1">
        <f>IFERROR(__xludf.DUMMYFUNCTION("""COMPUTED_VALUE"""),4490.0)</f>
        <v>4490</v>
      </c>
      <c r="E1987" s="1">
        <f>IFERROR(__xludf.DUMMYFUNCTION("""COMPUTED_VALUE"""),4540.0)</f>
        <v>4540</v>
      </c>
      <c r="F1987" s="1">
        <f>IFERROR(__xludf.DUMMYFUNCTION("""COMPUTED_VALUE"""),29588.0)</f>
        <v>29588</v>
      </c>
    </row>
    <row r="1988">
      <c r="A1988" s="2">
        <f>IFERROR(__xludf.DUMMYFUNCTION("""COMPUTED_VALUE"""),44148.64583333333)</f>
        <v>44148.64583</v>
      </c>
      <c r="B1988" s="1">
        <f>IFERROR(__xludf.DUMMYFUNCTION("""COMPUTED_VALUE"""),4495.0)</f>
        <v>4495</v>
      </c>
      <c r="C1988" s="1">
        <f>IFERROR(__xludf.DUMMYFUNCTION("""COMPUTED_VALUE"""),4600.0)</f>
        <v>4600</v>
      </c>
      <c r="D1988" s="1">
        <f>IFERROR(__xludf.DUMMYFUNCTION("""COMPUTED_VALUE"""),4460.0)</f>
        <v>4460</v>
      </c>
      <c r="E1988" s="1">
        <f>IFERROR(__xludf.DUMMYFUNCTION("""COMPUTED_VALUE"""),4555.0)</f>
        <v>4555</v>
      </c>
      <c r="F1988" s="1">
        <f>IFERROR(__xludf.DUMMYFUNCTION("""COMPUTED_VALUE"""),30820.0)</f>
        <v>30820</v>
      </c>
    </row>
    <row r="1989">
      <c r="A1989" s="2">
        <f>IFERROR(__xludf.DUMMYFUNCTION("""COMPUTED_VALUE"""),44151.64583333333)</f>
        <v>44151.64583</v>
      </c>
      <c r="B1989" s="1">
        <f>IFERROR(__xludf.DUMMYFUNCTION("""COMPUTED_VALUE"""),4615.0)</f>
        <v>4615</v>
      </c>
      <c r="C1989" s="1">
        <f>IFERROR(__xludf.DUMMYFUNCTION("""COMPUTED_VALUE"""),4620.0)</f>
        <v>4620</v>
      </c>
      <c r="D1989" s="1">
        <f>IFERROR(__xludf.DUMMYFUNCTION("""COMPUTED_VALUE"""),4510.0)</f>
        <v>4510</v>
      </c>
      <c r="E1989" s="1">
        <f>IFERROR(__xludf.DUMMYFUNCTION("""COMPUTED_VALUE"""),4535.0)</f>
        <v>4535</v>
      </c>
      <c r="F1989" s="1">
        <f>IFERROR(__xludf.DUMMYFUNCTION("""COMPUTED_VALUE"""),15133.0)</f>
        <v>15133</v>
      </c>
    </row>
    <row r="1990">
      <c r="A1990" s="2">
        <f>IFERROR(__xludf.DUMMYFUNCTION("""COMPUTED_VALUE"""),44152.64583333333)</f>
        <v>44152.64583</v>
      </c>
      <c r="B1990" s="1">
        <f>IFERROR(__xludf.DUMMYFUNCTION("""COMPUTED_VALUE"""),4485.0)</f>
        <v>4485</v>
      </c>
      <c r="C1990" s="1">
        <f>IFERROR(__xludf.DUMMYFUNCTION("""COMPUTED_VALUE"""),4550.0)</f>
        <v>4550</v>
      </c>
      <c r="D1990" s="1">
        <f>IFERROR(__xludf.DUMMYFUNCTION("""COMPUTED_VALUE"""),4360.0)</f>
        <v>4360</v>
      </c>
      <c r="E1990" s="1">
        <f>IFERROR(__xludf.DUMMYFUNCTION("""COMPUTED_VALUE"""),4490.0)</f>
        <v>4490</v>
      </c>
      <c r="F1990" s="1">
        <f>IFERROR(__xludf.DUMMYFUNCTION("""COMPUTED_VALUE"""),57861.0)</f>
        <v>57861</v>
      </c>
    </row>
    <row r="1991">
      <c r="A1991" s="2">
        <f>IFERROR(__xludf.DUMMYFUNCTION("""COMPUTED_VALUE"""),44153.64583333333)</f>
        <v>44153.64583</v>
      </c>
      <c r="B1991" s="1">
        <f>IFERROR(__xludf.DUMMYFUNCTION("""COMPUTED_VALUE"""),4455.0)</f>
        <v>4455</v>
      </c>
      <c r="C1991" s="1">
        <f>IFERROR(__xludf.DUMMYFUNCTION("""COMPUTED_VALUE"""),4645.0)</f>
        <v>4645</v>
      </c>
      <c r="D1991" s="1">
        <f>IFERROR(__xludf.DUMMYFUNCTION("""COMPUTED_VALUE"""),4350.0)</f>
        <v>4350</v>
      </c>
      <c r="E1991" s="1">
        <f>IFERROR(__xludf.DUMMYFUNCTION("""COMPUTED_VALUE"""),4530.0)</f>
        <v>4530</v>
      </c>
      <c r="F1991" s="1">
        <f>IFERROR(__xludf.DUMMYFUNCTION("""COMPUTED_VALUE"""),60755.0)</f>
        <v>60755</v>
      </c>
    </row>
    <row r="1992">
      <c r="A1992" s="2">
        <f>IFERROR(__xludf.DUMMYFUNCTION("""COMPUTED_VALUE"""),44154.64583333333)</f>
        <v>44154.64583</v>
      </c>
      <c r="B1992" s="1">
        <f>IFERROR(__xludf.DUMMYFUNCTION("""COMPUTED_VALUE"""),4570.0)</f>
        <v>4570</v>
      </c>
      <c r="C1992" s="1">
        <f>IFERROR(__xludf.DUMMYFUNCTION("""COMPUTED_VALUE"""),4610.0)</f>
        <v>4610</v>
      </c>
      <c r="D1992" s="1">
        <f>IFERROR(__xludf.DUMMYFUNCTION("""COMPUTED_VALUE"""),4400.0)</f>
        <v>4400</v>
      </c>
      <c r="E1992" s="1">
        <f>IFERROR(__xludf.DUMMYFUNCTION("""COMPUTED_VALUE"""),4445.0)</f>
        <v>4445</v>
      </c>
      <c r="F1992" s="1">
        <f>IFERROR(__xludf.DUMMYFUNCTION("""COMPUTED_VALUE"""),40111.0)</f>
        <v>40111</v>
      </c>
    </row>
    <row r="1993">
      <c r="A1993" s="2">
        <f>IFERROR(__xludf.DUMMYFUNCTION("""COMPUTED_VALUE"""),44155.64583333333)</f>
        <v>44155.64583</v>
      </c>
      <c r="B1993" s="1">
        <f>IFERROR(__xludf.DUMMYFUNCTION("""COMPUTED_VALUE"""),4500.0)</f>
        <v>4500</v>
      </c>
      <c r="C1993" s="1">
        <f>IFERROR(__xludf.DUMMYFUNCTION("""COMPUTED_VALUE"""),4500.0)</f>
        <v>4500</v>
      </c>
      <c r="D1993" s="1">
        <f>IFERROR(__xludf.DUMMYFUNCTION("""COMPUTED_VALUE"""),4405.0)</f>
        <v>4405</v>
      </c>
      <c r="E1993" s="1">
        <f>IFERROR(__xludf.DUMMYFUNCTION("""COMPUTED_VALUE"""),4465.0)</f>
        <v>4465</v>
      </c>
      <c r="F1993" s="1">
        <f>IFERROR(__xludf.DUMMYFUNCTION("""COMPUTED_VALUE"""),28039.0)</f>
        <v>28039</v>
      </c>
    </row>
    <row r="1994">
      <c r="A1994" s="2">
        <f>IFERROR(__xludf.DUMMYFUNCTION("""COMPUTED_VALUE"""),44158.64583333333)</f>
        <v>44158.64583</v>
      </c>
      <c r="B1994" s="1">
        <f>IFERROR(__xludf.DUMMYFUNCTION("""COMPUTED_VALUE"""),4490.0)</f>
        <v>4490</v>
      </c>
      <c r="C1994" s="1">
        <f>IFERROR(__xludf.DUMMYFUNCTION("""COMPUTED_VALUE"""),4490.0)</f>
        <v>4490</v>
      </c>
      <c r="D1994" s="1">
        <f>IFERROR(__xludf.DUMMYFUNCTION("""COMPUTED_VALUE"""),4405.0)</f>
        <v>4405</v>
      </c>
      <c r="E1994" s="1">
        <f>IFERROR(__xludf.DUMMYFUNCTION("""COMPUTED_VALUE"""),4410.0)</f>
        <v>4410</v>
      </c>
      <c r="F1994" s="1">
        <f>IFERROR(__xludf.DUMMYFUNCTION("""COMPUTED_VALUE"""),39758.0)</f>
        <v>39758</v>
      </c>
    </row>
    <row r="1995">
      <c r="A1995" s="2">
        <f>IFERROR(__xludf.DUMMYFUNCTION("""COMPUTED_VALUE"""),44159.64583333333)</f>
        <v>44159.64583</v>
      </c>
      <c r="B1995" s="1">
        <f>IFERROR(__xludf.DUMMYFUNCTION("""COMPUTED_VALUE"""),4500.0)</f>
        <v>4500</v>
      </c>
      <c r="C1995" s="1">
        <f>IFERROR(__xludf.DUMMYFUNCTION("""COMPUTED_VALUE"""),4525.0)</f>
        <v>4525</v>
      </c>
      <c r="D1995" s="1">
        <f>IFERROR(__xludf.DUMMYFUNCTION("""COMPUTED_VALUE"""),4185.0)</f>
        <v>4185</v>
      </c>
      <c r="E1995" s="1">
        <f>IFERROR(__xludf.DUMMYFUNCTION("""COMPUTED_VALUE"""),4370.0)</f>
        <v>4370</v>
      </c>
      <c r="F1995" s="1">
        <f>IFERROR(__xludf.DUMMYFUNCTION("""COMPUTED_VALUE"""),61352.0)</f>
        <v>61352</v>
      </c>
    </row>
    <row r="1996">
      <c r="A1996" s="2">
        <f>IFERROR(__xludf.DUMMYFUNCTION("""COMPUTED_VALUE"""),44160.64583333333)</f>
        <v>44160.64583</v>
      </c>
      <c r="B1996" s="1">
        <f>IFERROR(__xludf.DUMMYFUNCTION("""COMPUTED_VALUE"""),4395.0)</f>
        <v>4395</v>
      </c>
      <c r="C1996" s="1">
        <f>IFERROR(__xludf.DUMMYFUNCTION("""COMPUTED_VALUE"""),4395.0)</f>
        <v>4395</v>
      </c>
      <c r="D1996" s="1">
        <f>IFERROR(__xludf.DUMMYFUNCTION("""COMPUTED_VALUE"""),4250.0)</f>
        <v>4250</v>
      </c>
      <c r="E1996" s="1">
        <f>IFERROR(__xludf.DUMMYFUNCTION("""COMPUTED_VALUE"""),4250.0)</f>
        <v>4250</v>
      </c>
      <c r="F1996" s="1">
        <f>IFERROR(__xludf.DUMMYFUNCTION("""COMPUTED_VALUE"""),125090.0)</f>
        <v>125090</v>
      </c>
    </row>
    <row r="1997">
      <c r="A1997" s="2">
        <f>IFERROR(__xludf.DUMMYFUNCTION("""COMPUTED_VALUE"""),44161.64583333333)</f>
        <v>44161.64583</v>
      </c>
      <c r="B1997" s="1">
        <f>IFERROR(__xludf.DUMMYFUNCTION("""COMPUTED_VALUE"""),4250.0)</f>
        <v>4250</v>
      </c>
      <c r="C1997" s="1">
        <f>IFERROR(__xludf.DUMMYFUNCTION("""COMPUTED_VALUE"""),4335.0)</f>
        <v>4335</v>
      </c>
      <c r="D1997" s="1">
        <f>IFERROR(__xludf.DUMMYFUNCTION("""COMPUTED_VALUE"""),4200.0)</f>
        <v>4200</v>
      </c>
      <c r="E1997" s="1">
        <f>IFERROR(__xludf.DUMMYFUNCTION("""COMPUTED_VALUE"""),4250.0)</f>
        <v>4250</v>
      </c>
      <c r="F1997" s="1">
        <f>IFERROR(__xludf.DUMMYFUNCTION("""COMPUTED_VALUE"""),61684.0)</f>
        <v>61684</v>
      </c>
    </row>
    <row r="1998">
      <c r="A1998" s="2">
        <f>IFERROR(__xludf.DUMMYFUNCTION("""COMPUTED_VALUE"""),44162.64583333333)</f>
        <v>44162.64583</v>
      </c>
      <c r="B1998" s="1">
        <f>IFERROR(__xludf.DUMMYFUNCTION("""COMPUTED_VALUE"""),4370.0)</f>
        <v>4370</v>
      </c>
      <c r="C1998" s="1">
        <f>IFERROR(__xludf.DUMMYFUNCTION("""COMPUTED_VALUE"""),4370.0)</f>
        <v>4370</v>
      </c>
      <c r="D1998" s="1">
        <f>IFERROR(__xludf.DUMMYFUNCTION("""COMPUTED_VALUE"""),4190.0)</f>
        <v>4190</v>
      </c>
      <c r="E1998" s="1">
        <f>IFERROR(__xludf.DUMMYFUNCTION("""COMPUTED_VALUE"""),4250.0)</f>
        <v>4250</v>
      </c>
      <c r="F1998" s="1">
        <f>IFERROR(__xludf.DUMMYFUNCTION("""COMPUTED_VALUE"""),31047.0)</f>
        <v>31047</v>
      </c>
    </row>
    <row r="1999">
      <c r="A1999" s="2">
        <f>IFERROR(__xludf.DUMMYFUNCTION("""COMPUTED_VALUE"""),44165.64583333333)</f>
        <v>44165.64583</v>
      </c>
      <c r="B1999" s="1">
        <f>IFERROR(__xludf.DUMMYFUNCTION("""COMPUTED_VALUE"""),4315.0)</f>
        <v>4315</v>
      </c>
      <c r="C1999" s="1">
        <f>IFERROR(__xludf.DUMMYFUNCTION("""COMPUTED_VALUE"""),4315.0)</f>
        <v>4315</v>
      </c>
      <c r="D1999" s="1">
        <f>IFERROR(__xludf.DUMMYFUNCTION("""COMPUTED_VALUE"""),4150.0)</f>
        <v>4150</v>
      </c>
      <c r="E1999" s="1">
        <f>IFERROR(__xludf.DUMMYFUNCTION("""COMPUTED_VALUE"""),4150.0)</f>
        <v>4150</v>
      </c>
      <c r="F1999" s="1">
        <f>IFERROR(__xludf.DUMMYFUNCTION("""COMPUTED_VALUE"""),49743.0)</f>
        <v>49743</v>
      </c>
    </row>
    <row r="2000">
      <c r="A2000" s="2">
        <f>IFERROR(__xludf.DUMMYFUNCTION("""COMPUTED_VALUE"""),44166.64583333333)</f>
        <v>44166.64583</v>
      </c>
      <c r="B2000" s="1">
        <f>IFERROR(__xludf.DUMMYFUNCTION("""COMPUTED_VALUE"""),4240.0)</f>
        <v>4240</v>
      </c>
      <c r="C2000" s="1">
        <f>IFERROR(__xludf.DUMMYFUNCTION("""COMPUTED_VALUE"""),4240.0)</f>
        <v>4240</v>
      </c>
      <c r="D2000" s="1">
        <f>IFERROR(__xludf.DUMMYFUNCTION("""COMPUTED_VALUE"""),4080.0)</f>
        <v>4080</v>
      </c>
      <c r="E2000" s="1">
        <f>IFERROR(__xludf.DUMMYFUNCTION("""COMPUTED_VALUE"""),4105.0)</f>
        <v>4105</v>
      </c>
      <c r="F2000" s="1">
        <f>IFERROR(__xludf.DUMMYFUNCTION("""COMPUTED_VALUE"""),59591.0)</f>
        <v>59591</v>
      </c>
    </row>
    <row r="2001">
      <c r="A2001" s="2">
        <f>IFERROR(__xludf.DUMMYFUNCTION("""COMPUTED_VALUE"""),44167.64583333333)</f>
        <v>44167.64583</v>
      </c>
      <c r="B2001" s="1">
        <f>IFERROR(__xludf.DUMMYFUNCTION("""COMPUTED_VALUE"""),4185.0)</f>
        <v>4185</v>
      </c>
      <c r="C2001" s="1">
        <f>IFERROR(__xludf.DUMMYFUNCTION("""COMPUTED_VALUE"""),4185.0)</f>
        <v>4185</v>
      </c>
      <c r="D2001" s="1">
        <f>IFERROR(__xludf.DUMMYFUNCTION("""COMPUTED_VALUE"""),3995.0)</f>
        <v>3995</v>
      </c>
      <c r="E2001" s="1">
        <f>IFERROR(__xludf.DUMMYFUNCTION("""COMPUTED_VALUE"""),4100.0)</f>
        <v>4100</v>
      </c>
      <c r="F2001" s="1">
        <f>IFERROR(__xludf.DUMMYFUNCTION("""COMPUTED_VALUE"""),91107.0)</f>
        <v>91107</v>
      </c>
    </row>
    <row r="2002">
      <c r="A2002" s="2">
        <f>IFERROR(__xludf.DUMMYFUNCTION("""COMPUTED_VALUE"""),44168.64583333333)</f>
        <v>44168.64583</v>
      </c>
      <c r="B2002" s="1">
        <f>IFERROR(__xludf.DUMMYFUNCTION("""COMPUTED_VALUE"""),4100.0)</f>
        <v>4100</v>
      </c>
      <c r="C2002" s="1">
        <f>IFERROR(__xludf.DUMMYFUNCTION("""COMPUTED_VALUE"""),4330.0)</f>
        <v>4330</v>
      </c>
      <c r="D2002" s="1">
        <f>IFERROR(__xludf.DUMMYFUNCTION("""COMPUTED_VALUE"""),4050.0)</f>
        <v>4050</v>
      </c>
      <c r="E2002" s="1">
        <f>IFERROR(__xludf.DUMMYFUNCTION("""COMPUTED_VALUE"""),4225.0)</f>
        <v>4225</v>
      </c>
      <c r="F2002" s="1">
        <f>IFERROR(__xludf.DUMMYFUNCTION("""COMPUTED_VALUE"""),87059.0)</f>
        <v>87059</v>
      </c>
    </row>
    <row r="2003">
      <c r="A2003" s="2">
        <f>IFERROR(__xludf.DUMMYFUNCTION("""COMPUTED_VALUE"""),44169.64583333333)</f>
        <v>44169.64583</v>
      </c>
      <c r="B2003" s="1">
        <f>IFERROR(__xludf.DUMMYFUNCTION("""COMPUTED_VALUE"""),4300.0)</f>
        <v>4300</v>
      </c>
      <c r="C2003" s="1">
        <f>IFERROR(__xludf.DUMMYFUNCTION("""COMPUTED_VALUE"""),4600.0)</f>
        <v>4600</v>
      </c>
      <c r="D2003" s="1">
        <f>IFERROR(__xludf.DUMMYFUNCTION("""COMPUTED_VALUE"""),4260.0)</f>
        <v>4260</v>
      </c>
      <c r="E2003" s="1">
        <f>IFERROR(__xludf.DUMMYFUNCTION("""COMPUTED_VALUE"""),4500.0)</f>
        <v>4500</v>
      </c>
      <c r="F2003" s="1">
        <f>IFERROR(__xludf.DUMMYFUNCTION("""COMPUTED_VALUE"""),266431.0)</f>
        <v>266431</v>
      </c>
    </row>
    <row r="2004">
      <c r="A2004" s="2">
        <f>IFERROR(__xludf.DUMMYFUNCTION("""COMPUTED_VALUE"""),44172.64583333333)</f>
        <v>44172.64583</v>
      </c>
      <c r="B2004" s="1">
        <f>IFERROR(__xludf.DUMMYFUNCTION("""COMPUTED_VALUE"""),4500.0)</f>
        <v>4500</v>
      </c>
      <c r="C2004" s="1">
        <f>IFERROR(__xludf.DUMMYFUNCTION("""COMPUTED_VALUE"""),4685.0)</f>
        <v>4685</v>
      </c>
      <c r="D2004" s="1">
        <f>IFERROR(__xludf.DUMMYFUNCTION("""COMPUTED_VALUE"""),4480.0)</f>
        <v>4480</v>
      </c>
      <c r="E2004" s="1">
        <f>IFERROR(__xludf.DUMMYFUNCTION("""COMPUTED_VALUE"""),4550.0)</f>
        <v>4550</v>
      </c>
      <c r="F2004" s="1">
        <f>IFERROR(__xludf.DUMMYFUNCTION("""COMPUTED_VALUE"""),119554.0)</f>
        <v>119554</v>
      </c>
    </row>
    <row r="2005">
      <c r="A2005" s="2">
        <f>IFERROR(__xludf.DUMMYFUNCTION("""COMPUTED_VALUE"""),44173.64583333333)</f>
        <v>44173.64583</v>
      </c>
      <c r="B2005" s="1">
        <f>IFERROR(__xludf.DUMMYFUNCTION("""COMPUTED_VALUE"""),4500.0)</f>
        <v>4500</v>
      </c>
      <c r="C2005" s="1">
        <f>IFERROR(__xludf.DUMMYFUNCTION("""COMPUTED_VALUE"""),4595.0)</f>
        <v>4595</v>
      </c>
      <c r="D2005" s="1">
        <f>IFERROR(__xludf.DUMMYFUNCTION("""COMPUTED_VALUE"""),4410.0)</f>
        <v>4410</v>
      </c>
      <c r="E2005" s="1">
        <f>IFERROR(__xludf.DUMMYFUNCTION("""COMPUTED_VALUE"""),4440.0)</f>
        <v>4440</v>
      </c>
      <c r="F2005" s="1">
        <f>IFERROR(__xludf.DUMMYFUNCTION("""COMPUTED_VALUE"""),51027.0)</f>
        <v>51027</v>
      </c>
    </row>
    <row r="2006">
      <c r="A2006" s="2">
        <f>IFERROR(__xludf.DUMMYFUNCTION("""COMPUTED_VALUE"""),44174.64583333333)</f>
        <v>44174.64583</v>
      </c>
      <c r="B2006" s="1">
        <f>IFERROR(__xludf.DUMMYFUNCTION("""COMPUTED_VALUE"""),4490.0)</f>
        <v>4490</v>
      </c>
      <c r="C2006" s="1">
        <f>IFERROR(__xludf.DUMMYFUNCTION("""COMPUTED_VALUE"""),4490.0)</f>
        <v>4490</v>
      </c>
      <c r="D2006" s="1">
        <f>IFERROR(__xludf.DUMMYFUNCTION("""COMPUTED_VALUE"""),4265.0)</f>
        <v>4265</v>
      </c>
      <c r="E2006" s="1">
        <f>IFERROR(__xludf.DUMMYFUNCTION("""COMPUTED_VALUE"""),4310.0)</f>
        <v>4310</v>
      </c>
      <c r="F2006" s="1">
        <f>IFERROR(__xludf.DUMMYFUNCTION("""COMPUTED_VALUE"""),96202.0)</f>
        <v>96202</v>
      </c>
    </row>
    <row r="2007">
      <c r="A2007" s="2">
        <f>IFERROR(__xludf.DUMMYFUNCTION("""COMPUTED_VALUE"""),44175.64583333333)</f>
        <v>44175.64583</v>
      </c>
      <c r="B2007" s="1">
        <f>IFERROR(__xludf.DUMMYFUNCTION("""COMPUTED_VALUE"""),4380.0)</f>
        <v>4380</v>
      </c>
      <c r="C2007" s="1">
        <f>IFERROR(__xludf.DUMMYFUNCTION("""COMPUTED_VALUE"""),4395.0)</f>
        <v>4395</v>
      </c>
      <c r="D2007" s="1">
        <f>IFERROR(__xludf.DUMMYFUNCTION("""COMPUTED_VALUE"""),4270.0)</f>
        <v>4270</v>
      </c>
      <c r="E2007" s="1">
        <f>IFERROR(__xludf.DUMMYFUNCTION("""COMPUTED_VALUE"""),4295.0)</f>
        <v>4295</v>
      </c>
      <c r="F2007" s="1">
        <f>IFERROR(__xludf.DUMMYFUNCTION("""COMPUTED_VALUE"""),85355.0)</f>
        <v>85355</v>
      </c>
    </row>
    <row r="2008">
      <c r="A2008" s="2">
        <f>IFERROR(__xludf.DUMMYFUNCTION("""COMPUTED_VALUE"""),44176.64583333333)</f>
        <v>44176.64583</v>
      </c>
      <c r="B2008" s="1">
        <f>IFERROR(__xludf.DUMMYFUNCTION("""COMPUTED_VALUE"""),4430.0)</f>
        <v>4430</v>
      </c>
      <c r="C2008" s="1">
        <f>IFERROR(__xludf.DUMMYFUNCTION("""COMPUTED_VALUE"""),4435.0)</f>
        <v>4435</v>
      </c>
      <c r="D2008" s="1">
        <f>IFERROR(__xludf.DUMMYFUNCTION("""COMPUTED_VALUE"""),4260.0)</f>
        <v>4260</v>
      </c>
      <c r="E2008" s="1">
        <f>IFERROR(__xludf.DUMMYFUNCTION("""COMPUTED_VALUE"""),4420.0)</f>
        <v>4420</v>
      </c>
      <c r="F2008" s="1">
        <f>IFERROR(__xludf.DUMMYFUNCTION("""COMPUTED_VALUE"""),72200.0)</f>
        <v>72200</v>
      </c>
    </row>
    <row r="2009">
      <c r="A2009" s="2">
        <f>IFERROR(__xludf.DUMMYFUNCTION("""COMPUTED_VALUE"""),44179.64583333333)</f>
        <v>44179.64583</v>
      </c>
      <c r="B2009" s="1">
        <f>IFERROR(__xludf.DUMMYFUNCTION("""COMPUTED_VALUE"""),4490.0)</f>
        <v>4490</v>
      </c>
      <c r="C2009" s="1">
        <f>IFERROR(__xludf.DUMMYFUNCTION("""COMPUTED_VALUE"""),4490.0)</f>
        <v>4490</v>
      </c>
      <c r="D2009" s="1">
        <f>IFERROR(__xludf.DUMMYFUNCTION("""COMPUTED_VALUE"""),4315.0)</f>
        <v>4315</v>
      </c>
      <c r="E2009" s="1">
        <f>IFERROR(__xludf.DUMMYFUNCTION("""COMPUTED_VALUE"""),4400.0)</f>
        <v>4400</v>
      </c>
      <c r="F2009" s="1">
        <f>IFERROR(__xludf.DUMMYFUNCTION("""COMPUTED_VALUE"""),54286.0)</f>
        <v>54286</v>
      </c>
    </row>
    <row r="2010">
      <c r="A2010" s="2">
        <f>IFERROR(__xludf.DUMMYFUNCTION("""COMPUTED_VALUE"""),44180.64583333333)</f>
        <v>44180.64583</v>
      </c>
      <c r="B2010" s="1">
        <f>IFERROR(__xludf.DUMMYFUNCTION("""COMPUTED_VALUE"""),4400.0)</f>
        <v>4400</v>
      </c>
      <c r="C2010" s="1">
        <f>IFERROR(__xludf.DUMMYFUNCTION("""COMPUTED_VALUE"""),4450.0)</f>
        <v>4450</v>
      </c>
      <c r="D2010" s="1">
        <f>IFERROR(__xludf.DUMMYFUNCTION("""COMPUTED_VALUE"""),4300.0)</f>
        <v>4300</v>
      </c>
      <c r="E2010" s="1">
        <f>IFERROR(__xludf.DUMMYFUNCTION("""COMPUTED_VALUE"""),4325.0)</f>
        <v>4325</v>
      </c>
      <c r="F2010" s="1">
        <f>IFERROR(__xludf.DUMMYFUNCTION("""COMPUTED_VALUE"""),74412.0)</f>
        <v>74412</v>
      </c>
    </row>
    <row r="2011">
      <c r="A2011" s="2">
        <f>IFERROR(__xludf.DUMMYFUNCTION("""COMPUTED_VALUE"""),44181.64583333333)</f>
        <v>44181.64583</v>
      </c>
      <c r="B2011" s="1">
        <f>IFERROR(__xludf.DUMMYFUNCTION("""COMPUTED_VALUE"""),4305.0)</f>
        <v>4305</v>
      </c>
      <c r="C2011" s="1">
        <f>IFERROR(__xludf.DUMMYFUNCTION("""COMPUTED_VALUE"""),4380.0)</f>
        <v>4380</v>
      </c>
      <c r="D2011" s="1">
        <f>IFERROR(__xludf.DUMMYFUNCTION("""COMPUTED_VALUE"""),4300.0)</f>
        <v>4300</v>
      </c>
      <c r="E2011" s="1">
        <f>IFERROR(__xludf.DUMMYFUNCTION("""COMPUTED_VALUE"""),4335.0)</f>
        <v>4335</v>
      </c>
      <c r="F2011" s="1">
        <f>IFERROR(__xludf.DUMMYFUNCTION("""COMPUTED_VALUE"""),48354.0)</f>
        <v>48354</v>
      </c>
    </row>
    <row r="2012">
      <c r="A2012" s="2">
        <f>IFERROR(__xludf.DUMMYFUNCTION("""COMPUTED_VALUE"""),44182.64583333333)</f>
        <v>44182.64583</v>
      </c>
      <c r="B2012" s="1">
        <f>IFERROR(__xludf.DUMMYFUNCTION("""COMPUTED_VALUE"""),4425.0)</f>
        <v>4425</v>
      </c>
      <c r="C2012" s="1">
        <f>IFERROR(__xludf.DUMMYFUNCTION("""COMPUTED_VALUE"""),4425.0)</f>
        <v>4425</v>
      </c>
      <c r="D2012" s="1">
        <f>IFERROR(__xludf.DUMMYFUNCTION("""COMPUTED_VALUE"""),4300.0)</f>
        <v>4300</v>
      </c>
      <c r="E2012" s="1">
        <f>IFERROR(__xludf.DUMMYFUNCTION("""COMPUTED_VALUE"""),4325.0)</f>
        <v>4325</v>
      </c>
      <c r="F2012" s="1">
        <f>IFERROR(__xludf.DUMMYFUNCTION("""COMPUTED_VALUE"""),44430.0)</f>
        <v>44430</v>
      </c>
    </row>
    <row r="2013">
      <c r="A2013" s="2">
        <f>IFERROR(__xludf.DUMMYFUNCTION("""COMPUTED_VALUE"""),44183.64583333333)</f>
        <v>44183.64583</v>
      </c>
      <c r="B2013" s="1">
        <f>IFERROR(__xludf.DUMMYFUNCTION("""COMPUTED_VALUE"""),4330.0)</f>
        <v>4330</v>
      </c>
      <c r="C2013" s="1">
        <f>IFERROR(__xludf.DUMMYFUNCTION("""COMPUTED_VALUE"""),4380.0)</f>
        <v>4380</v>
      </c>
      <c r="D2013" s="1">
        <f>IFERROR(__xludf.DUMMYFUNCTION("""COMPUTED_VALUE"""),4200.0)</f>
        <v>4200</v>
      </c>
      <c r="E2013" s="1">
        <f>IFERROR(__xludf.DUMMYFUNCTION("""COMPUTED_VALUE"""),4285.0)</f>
        <v>4285</v>
      </c>
      <c r="F2013" s="1">
        <f>IFERROR(__xludf.DUMMYFUNCTION("""COMPUTED_VALUE"""),170637.0)</f>
        <v>170637</v>
      </c>
    </row>
    <row r="2014">
      <c r="A2014" s="2">
        <f>IFERROR(__xludf.DUMMYFUNCTION("""COMPUTED_VALUE"""),44187.64583333333)</f>
        <v>44187.64583</v>
      </c>
      <c r="B2014" s="1">
        <f>IFERROR(__xludf.DUMMYFUNCTION("""COMPUTED_VALUE"""),4240.0)</f>
        <v>4240</v>
      </c>
      <c r="C2014" s="1">
        <f>IFERROR(__xludf.DUMMYFUNCTION("""COMPUTED_VALUE"""),4240.0)</f>
        <v>4240</v>
      </c>
      <c r="D2014" s="1">
        <f>IFERROR(__xludf.DUMMYFUNCTION("""COMPUTED_VALUE"""),4150.0)</f>
        <v>4150</v>
      </c>
      <c r="E2014" s="1">
        <f>IFERROR(__xludf.DUMMYFUNCTION("""COMPUTED_VALUE"""),4180.0)</f>
        <v>4180</v>
      </c>
      <c r="F2014" s="1">
        <f>IFERROR(__xludf.DUMMYFUNCTION("""COMPUTED_VALUE"""),79941.0)</f>
        <v>79941</v>
      </c>
    </row>
    <row r="2015">
      <c r="A2015" s="2">
        <f>IFERROR(__xludf.DUMMYFUNCTION("""COMPUTED_VALUE"""),44188.64583333333)</f>
        <v>44188.64583</v>
      </c>
      <c r="B2015" s="1">
        <f>IFERROR(__xludf.DUMMYFUNCTION("""COMPUTED_VALUE"""),4190.0)</f>
        <v>4190</v>
      </c>
      <c r="C2015" s="1">
        <f>IFERROR(__xludf.DUMMYFUNCTION("""COMPUTED_VALUE"""),4250.0)</f>
        <v>4250</v>
      </c>
      <c r="D2015" s="1">
        <f>IFERROR(__xludf.DUMMYFUNCTION("""COMPUTED_VALUE"""),4150.0)</f>
        <v>4150</v>
      </c>
      <c r="E2015" s="1">
        <f>IFERROR(__xludf.DUMMYFUNCTION("""COMPUTED_VALUE"""),4160.0)</f>
        <v>4160</v>
      </c>
      <c r="F2015" s="1">
        <f>IFERROR(__xludf.DUMMYFUNCTION("""COMPUTED_VALUE"""),93905.0)</f>
        <v>93905</v>
      </c>
    </row>
    <row r="2016">
      <c r="A2016" s="2">
        <f>IFERROR(__xludf.DUMMYFUNCTION("""COMPUTED_VALUE"""),44189.64583333333)</f>
        <v>44189.64583</v>
      </c>
      <c r="B2016" s="1">
        <f>IFERROR(__xludf.DUMMYFUNCTION("""COMPUTED_VALUE"""),4190.0)</f>
        <v>4190</v>
      </c>
      <c r="C2016" s="1">
        <f>IFERROR(__xludf.DUMMYFUNCTION("""COMPUTED_VALUE"""),4200.0)</f>
        <v>4200</v>
      </c>
      <c r="D2016" s="1">
        <f>IFERROR(__xludf.DUMMYFUNCTION("""COMPUTED_VALUE"""),4115.0)</f>
        <v>4115</v>
      </c>
      <c r="E2016" s="1">
        <f>IFERROR(__xludf.DUMMYFUNCTION("""COMPUTED_VALUE"""),4120.0)</f>
        <v>4120</v>
      </c>
      <c r="F2016" s="1">
        <f>IFERROR(__xludf.DUMMYFUNCTION("""COMPUTED_VALUE"""),150787.0)</f>
        <v>150787</v>
      </c>
    </row>
    <row r="2017">
      <c r="A2017" s="2">
        <f>IFERROR(__xludf.DUMMYFUNCTION("""COMPUTED_VALUE"""),44193.64583333333)</f>
        <v>44193.64583</v>
      </c>
      <c r="B2017" s="1">
        <f>IFERROR(__xludf.DUMMYFUNCTION("""COMPUTED_VALUE"""),4110.0)</f>
        <v>4110</v>
      </c>
      <c r="C2017" s="1">
        <f>IFERROR(__xludf.DUMMYFUNCTION("""COMPUTED_VALUE"""),4280.0)</f>
        <v>4280</v>
      </c>
      <c r="D2017" s="1">
        <f>IFERROR(__xludf.DUMMYFUNCTION("""COMPUTED_VALUE"""),4095.0)</f>
        <v>4095</v>
      </c>
      <c r="E2017" s="1">
        <f>IFERROR(__xludf.DUMMYFUNCTION("""COMPUTED_VALUE"""),4205.0)</f>
        <v>4205</v>
      </c>
      <c r="F2017" s="1">
        <f>IFERROR(__xludf.DUMMYFUNCTION("""COMPUTED_VALUE"""),197750.0)</f>
        <v>197750</v>
      </c>
    </row>
    <row r="2018">
      <c r="A2018" s="2">
        <f>IFERROR(__xludf.DUMMYFUNCTION("""COMPUTED_VALUE"""),44194.64583333333)</f>
        <v>44194.64583</v>
      </c>
      <c r="B2018" s="1">
        <f>IFERROR(__xludf.DUMMYFUNCTION("""COMPUTED_VALUE"""),4305.0)</f>
        <v>4305</v>
      </c>
      <c r="C2018" s="1">
        <f>IFERROR(__xludf.DUMMYFUNCTION("""COMPUTED_VALUE"""),4350.0)</f>
        <v>4350</v>
      </c>
      <c r="D2018" s="1">
        <f>IFERROR(__xludf.DUMMYFUNCTION("""COMPUTED_VALUE"""),4190.0)</f>
        <v>4190</v>
      </c>
      <c r="E2018" s="1">
        <f>IFERROR(__xludf.DUMMYFUNCTION("""COMPUTED_VALUE"""),4275.0)</f>
        <v>4275</v>
      </c>
      <c r="F2018" s="1">
        <f>IFERROR(__xludf.DUMMYFUNCTION("""COMPUTED_VALUE"""),117187.0)</f>
        <v>117187</v>
      </c>
    </row>
    <row r="2019">
      <c r="A2019" s="2">
        <f>IFERROR(__xludf.DUMMYFUNCTION("""COMPUTED_VALUE"""),44195.64583333333)</f>
        <v>44195.64583</v>
      </c>
      <c r="B2019" s="1">
        <f>IFERROR(__xludf.DUMMYFUNCTION("""COMPUTED_VALUE"""),4345.0)</f>
        <v>4345</v>
      </c>
      <c r="C2019" s="1">
        <f>IFERROR(__xludf.DUMMYFUNCTION("""COMPUTED_VALUE"""),4345.0)</f>
        <v>4345</v>
      </c>
      <c r="D2019" s="1">
        <f>IFERROR(__xludf.DUMMYFUNCTION("""COMPUTED_VALUE"""),4230.0)</f>
        <v>4230</v>
      </c>
      <c r="E2019" s="1">
        <f>IFERROR(__xludf.DUMMYFUNCTION("""COMPUTED_VALUE"""),4305.0)</f>
        <v>4305</v>
      </c>
      <c r="F2019" s="1">
        <f>IFERROR(__xludf.DUMMYFUNCTION("""COMPUTED_VALUE"""),108660.0)</f>
        <v>108660</v>
      </c>
    </row>
    <row r="2020">
      <c r="A2020" s="2">
        <f>IFERROR(__xludf.DUMMYFUNCTION("""COMPUTED_VALUE"""),44200.64583333333)</f>
        <v>44200.64583</v>
      </c>
      <c r="B2020" s="1">
        <f>IFERROR(__xludf.DUMMYFUNCTION("""COMPUTED_VALUE"""),4310.0)</f>
        <v>4310</v>
      </c>
      <c r="C2020" s="1">
        <f>IFERROR(__xludf.DUMMYFUNCTION("""COMPUTED_VALUE"""),4740.0)</f>
        <v>4740</v>
      </c>
      <c r="D2020" s="1">
        <f>IFERROR(__xludf.DUMMYFUNCTION("""COMPUTED_VALUE"""),4260.0)</f>
        <v>4260</v>
      </c>
      <c r="E2020" s="1">
        <f>IFERROR(__xludf.DUMMYFUNCTION("""COMPUTED_VALUE"""),4705.0)</f>
        <v>4705</v>
      </c>
      <c r="F2020" s="1">
        <f>IFERROR(__xludf.DUMMYFUNCTION("""COMPUTED_VALUE"""),192268.0)</f>
        <v>192268</v>
      </c>
    </row>
    <row r="2021">
      <c r="A2021" s="2">
        <f>IFERROR(__xludf.DUMMYFUNCTION("""COMPUTED_VALUE"""),44201.64583333333)</f>
        <v>44201.64583</v>
      </c>
      <c r="B2021" s="1">
        <f>IFERROR(__xludf.DUMMYFUNCTION("""COMPUTED_VALUE"""),4680.0)</f>
        <v>4680</v>
      </c>
      <c r="C2021" s="1">
        <f>IFERROR(__xludf.DUMMYFUNCTION("""COMPUTED_VALUE"""),5150.0)</f>
        <v>5150</v>
      </c>
      <c r="D2021" s="1">
        <f>IFERROR(__xludf.DUMMYFUNCTION("""COMPUTED_VALUE"""),4610.0)</f>
        <v>4610</v>
      </c>
      <c r="E2021" s="1">
        <f>IFERROR(__xludf.DUMMYFUNCTION("""COMPUTED_VALUE"""),5010.0)</f>
        <v>5010</v>
      </c>
      <c r="F2021" s="1">
        <f>IFERROR(__xludf.DUMMYFUNCTION("""COMPUTED_VALUE"""),315375.0)</f>
        <v>315375</v>
      </c>
    </row>
    <row r="2022">
      <c r="A2022" s="2">
        <f>IFERROR(__xludf.DUMMYFUNCTION("""COMPUTED_VALUE"""),44202.64583333333)</f>
        <v>44202.64583</v>
      </c>
      <c r="B2022" s="1">
        <f>IFERROR(__xludf.DUMMYFUNCTION("""COMPUTED_VALUE"""),5120.0)</f>
        <v>5120</v>
      </c>
      <c r="C2022" s="1">
        <f>IFERROR(__xludf.DUMMYFUNCTION("""COMPUTED_VALUE"""),5160.0)</f>
        <v>5160</v>
      </c>
      <c r="D2022" s="1">
        <f>IFERROR(__xludf.DUMMYFUNCTION("""COMPUTED_VALUE"""),4850.0)</f>
        <v>4850</v>
      </c>
      <c r="E2022" s="1">
        <f>IFERROR(__xludf.DUMMYFUNCTION("""COMPUTED_VALUE"""),4965.0)</f>
        <v>4965</v>
      </c>
      <c r="F2022" s="1">
        <f>IFERROR(__xludf.DUMMYFUNCTION("""COMPUTED_VALUE"""),158202.0)</f>
        <v>158202</v>
      </c>
    </row>
    <row r="2023">
      <c r="A2023" s="2">
        <f>IFERROR(__xludf.DUMMYFUNCTION("""COMPUTED_VALUE"""),44203.64583333333)</f>
        <v>44203.64583</v>
      </c>
      <c r="B2023" s="1">
        <f>IFERROR(__xludf.DUMMYFUNCTION("""COMPUTED_VALUE"""),5050.0)</f>
        <v>5050</v>
      </c>
      <c r="C2023" s="1">
        <f>IFERROR(__xludf.DUMMYFUNCTION("""COMPUTED_VALUE"""),5050.0)</f>
        <v>5050</v>
      </c>
      <c r="D2023" s="1">
        <f>IFERROR(__xludf.DUMMYFUNCTION("""COMPUTED_VALUE"""),4960.0)</f>
        <v>4960</v>
      </c>
      <c r="E2023" s="1">
        <f>IFERROR(__xludf.DUMMYFUNCTION("""COMPUTED_VALUE"""),4990.0)</f>
        <v>4990</v>
      </c>
      <c r="F2023" s="1">
        <f>IFERROR(__xludf.DUMMYFUNCTION("""COMPUTED_VALUE"""),73069.0)</f>
        <v>73069</v>
      </c>
    </row>
    <row r="2024">
      <c r="A2024" s="2">
        <f>IFERROR(__xludf.DUMMYFUNCTION("""COMPUTED_VALUE"""),44204.64583333333)</f>
        <v>44204.64583</v>
      </c>
      <c r="B2024" s="1">
        <f>IFERROR(__xludf.DUMMYFUNCTION("""COMPUTED_VALUE"""),4990.0)</f>
        <v>4990</v>
      </c>
      <c r="C2024" s="1">
        <f>IFERROR(__xludf.DUMMYFUNCTION("""COMPUTED_VALUE"""),5040.0)</f>
        <v>5040</v>
      </c>
      <c r="D2024" s="1">
        <f>IFERROR(__xludf.DUMMYFUNCTION("""COMPUTED_VALUE"""),4900.0)</f>
        <v>4900</v>
      </c>
      <c r="E2024" s="1">
        <f>IFERROR(__xludf.DUMMYFUNCTION("""COMPUTED_VALUE"""),4970.0)</f>
        <v>4970</v>
      </c>
      <c r="F2024" s="1">
        <f>IFERROR(__xludf.DUMMYFUNCTION("""COMPUTED_VALUE"""),88200.0)</f>
        <v>88200</v>
      </c>
    </row>
    <row r="2025">
      <c r="A2025" s="2">
        <f>IFERROR(__xludf.DUMMYFUNCTION("""COMPUTED_VALUE"""),44207.64583333333)</f>
        <v>44207.64583</v>
      </c>
      <c r="B2025" s="1">
        <f>IFERROR(__xludf.DUMMYFUNCTION("""COMPUTED_VALUE"""),5040.0)</f>
        <v>5040</v>
      </c>
      <c r="C2025" s="1">
        <f>IFERROR(__xludf.DUMMYFUNCTION("""COMPUTED_VALUE"""),5040.0)</f>
        <v>5040</v>
      </c>
      <c r="D2025" s="1">
        <f>IFERROR(__xludf.DUMMYFUNCTION("""COMPUTED_VALUE"""),4705.0)</f>
        <v>4705</v>
      </c>
      <c r="E2025" s="1">
        <f>IFERROR(__xludf.DUMMYFUNCTION("""COMPUTED_VALUE"""),4800.0)</f>
        <v>4800</v>
      </c>
      <c r="F2025" s="1">
        <f>IFERROR(__xludf.DUMMYFUNCTION("""COMPUTED_VALUE"""),120126.0)</f>
        <v>120126</v>
      </c>
    </row>
    <row r="2026">
      <c r="A2026" s="2">
        <f>IFERROR(__xludf.DUMMYFUNCTION("""COMPUTED_VALUE"""),44208.64583333333)</f>
        <v>44208.64583</v>
      </c>
      <c r="B2026" s="1">
        <f>IFERROR(__xludf.DUMMYFUNCTION("""COMPUTED_VALUE"""),4890.0)</f>
        <v>4890</v>
      </c>
      <c r="C2026" s="1">
        <f>IFERROR(__xludf.DUMMYFUNCTION("""COMPUTED_VALUE"""),4890.0)</f>
        <v>4890</v>
      </c>
      <c r="D2026" s="1">
        <f>IFERROR(__xludf.DUMMYFUNCTION("""COMPUTED_VALUE"""),4670.0)</f>
        <v>4670</v>
      </c>
      <c r="E2026" s="1">
        <f>IFERROR(__xludf.DUMMYFUNCTION("""COMPUTED_VALUE"""),4755.0)</f>
        <v>4755</v>
      </c>
      <c r="F2026" s="1">
        <f>IFERROR(__xludf.DUMMYFUNCTION("""COMPUTED_VALUE"""),61676.0)</f>
        <v>61676</v>
      </c>
    </row>
    <row r="2027">
      <c r="A2027" s="2">
        <f>IFERROR(__xludf.DUMMYFUNCTION("""COMPUTED_VALUE"""),44209.64583333333)</f>
        <v>44209.64583</v>
      </c>
      <c r="B2027" s="1">
        <f>IFERROR(__xludf.DUMMYFUNCTION("""COMPUTED_VALUE"""),4750.0)</f>
        <v>4750</v>
      </c>
      <c r="C2027" s="1">
        <f>IFERROR(__xludf.DUMMYFUNCTION("""COMPUTED_VALUE"""),4755.0)</f>
        <v>4755</v>
      </c>
      <c r="D2027" s="1">
        <f>IFERROR(__xludf.DUMMYFUNCTION("""COMPUTED_VALUE"""),4500.0)</f>
        <v>4500</v>
      </c>
      <c r="E2027" s="1">
        <f>IFERROR(__xludf.DUMMYFUNCTION("""COMPUTED_VALUE"""),4740.0)</f>
        <v>4740</v>
      </c>
      <c r="F2027" s="1">
        <f>IFERROR(__xludf.DUMMYFUNCTION("""COMPUTED_VALUE"""),80399.0)</f>
        <v>80399</v>
      </c>
    </row>
    <row r="2028">
      <c r="A2028" s="2">
        <f>IFERROR(__xludf.DUMMYFUNCTION("""COMPUTED_VALUE"""),44210.64583333333)</f>
        <v>44210.64583</v>
      </c>
      <c r="B2028" s="1">
        <f>IFERROR(__xludf.DUMMYFUNCTION("""COMPUTED_VALUE"""),4775.0)</f>
        <v>4775</v>
      </c>
      <c r="C2028" s="1">
        <f>IFERROR(__xludf.DUMMYFUNCTION("""COMPUTED_VALUE"""),5290.0)</f>
        <v>5290</v>
      </c>
      <c r="D2028" s="1">
        <f>IFERROR(__xludf.DUMMYFUNCTION("""COMPUTED_VALUE"""),4680.0)</f>
        <v>4680</v>
      </c>
      <c r="E2028" s="1">
        <f>IFERROR(__xludf.DUMMYFUNCTION("""COMPUTED_VALUE"""),5180.0)</f>
        <v>5180</v>
      </c>
      <c r="F2028" s="1">
        <f>IFERROR(__xludf.DUMMYFUNCTION("""COMPUTED_VALUE"""),349540.0)</f>
        <v>349540</v>
      </c>
    </row>
    <row r="2029">
      <c r="A2029" s="2">
        <f>IFERROR(__xludf.DUMMYFUNCTION("""COMPUTED_VALUE"""),44211.64583333333)</f>
        <v>44211.64583</v>
      </c>
      <c r="B2029" s="1">
        <f>IFERROR(__xludf.DUMMYFUNCTION("""COMPUTED_VALUE"""),5220.0)</f>
        <v>5220</v>
      </c>
      <c r="C2029" s="1">
        <f>IFERROR(__xludf.DUMMYFUNCTION("""COMPUTED_VALUE"""),5430.0)</f>
        <v>5430</v>
      </c>
      <c r="D2029" s="1">
        <f>IFERROR(__xludf.DUMMYFUNCTION("""COMPUTED_VALUE"""),5100.0)</f>
        <v>5100</v>
      </c>
      <c r="E2029" s="1">
        <f>IFERROR(__xludf.DUMMYFUNCTION("""COMPUTED_VALUE"""),5350.0)</f>
        <v>5350</v>
      </c>
      <c r="F2029" s="1">
        <f>IFERROR(__xludf.DUMMYFUNCTION("""COMPUTED_VALUE"""),127126.0)</f>
        <v>127126</v>
      </c>
    </row>
    <row r="2030">
      <c r="A2030" s="2">
        <f>IFERROR(__xludf.DUMMYFUNCTION("""COMPUTED_VALUE"""),44214.64583333333)</f>
        <v>44214.64583</v>
      </c>
      <c r="B2030" s="1">
        <f>IFERROR(__xludf.DUMMYFUNCTION("""COMPUTED_VALUE"""),5350.0)</f>
        <v>5350</v>
      </c>
      <c r="C2030" s="1">
        <f>IFERROR(__xludf.DUMMYFUNCTION("""COMPUTED_VALUE"""),5450.0)</f>
        <v>5450</v>
      </c>
      <c r="D2030" s="1">
        <f>IFERROR(__xludf.DUMMYFUNCTION("""COMPUTED_VALUE"""),4955.0)</f>
        <v>4955</v>
      </c>
      <c r="E2030" s="1">
        <f>IFERROR(__xludf.DUMMYFUNCTION("""COMPUTED_VALUE"""),4990.0)</f>
        <v>4990</v>
      </c>
      <c r="F2030" s="1">
        <f>IFERROR(__xludf.DUMMYFUNCTION("""COMPUTED_VALUE"""),77359.0)</f>
        <v>77359</v>
      </c>
    </row>
    <row r="2031">
      <c r="A2031" s="2">
        <f>IFERROR(__xludf.DUMMYFUNCTION("""COMPUTED_VALUE"""),44215.64583333333)</f>
        <v>44215.64583</v>
      </c>
      <c r="B2031" s="1">
        <f>IFERROR(__xludf.DUMMYFUNCTION("""COMPUTED_VALUE"""),4945.0)</f>
        <v>4945</v>
      </c>
      <c r="C2031" s="1">
        <f>IFERROR(__xludf.DUMMYFUNCTION("""COMPUTED_VALUE"""),5200.0)</f>
        <v>5200</v>
      </c>
      <c r="D2031" s="1">
        <f>IFERROR(__xludf.DUMMYFUNCTION("""COMPUTED_VALUE"""),4880.0)</f>
        <v>4880</v>
      </c>
      <c r="E2031" s="1">
        <f>IFERROR(__xludf.DUMMYFUNCTION("""COMPUTED_VALUE"""),5050.0)</f>
        <v>5050</v>
      </c>
      <c r="F2031" s="1">
        <f>IFERROR(__xludf.DUMMYFUNCTION("""COMPUTED_VALUE"""),50974.0)</f>
        <v>50974</v>
      </c>
    </row>
    <row r="2032">
      <c r="A2032" s="2">
        <f>IFERROR(__xludf.DUMMYFUNCTION("""COMPUTED_VALUE"""),44216.64583333333)</f>
        <v>44216.64583</v>
      </c>
      <c r="B2032" s="1">
        <f>IFERROR(__xludf.DUMMYFUNCTION("""COMPUTED_VALUE"""),5060.0)</f>
        <v>5060</v>
      </c>
      <c r="C2032" s="1">
        <f>IFERROR(__xludf.DUMMYFUNCTION("""COMPUTED_VALUE"""),5180.0)</f>
        <v>5180</v>
      </c>
      <c r="D2032" s="1">
        <f>IFERROR(__xludf.DUMMYFUNCTION("""COMPUTED_VALUE"""),4935.0)</f>
        <v>4935</v>
      </c>
      <c r="E2032" s="1">
        <f>IFERROR(__xludf.DUMMYFUNCTION("""COMPUTED_VALUE"""),5140.0)</f>
        <v>5140</v>
      </c>
      <c r="F2032" s="1">
        <f>IFERROR(__xludf.DUMMYFUNCTION("""COMPUTED_VALUE"""),73990.0)</f>
        <v>73990</v>
      </c>
    </row>
    <row r="2033">
      <c r="A2033" s="2">
        <f>IFERROR(__xludf.DUMMYFUNCTION("""COMPUTED_VALUE"""),44217.64583333333)</f>
        <v>44217.64583</v>
      </c>
      <c r="B2033" s="1">
        <f>IFERROR(__xludf.DUMMYFUNCTION("""COMPUTED_VALUE"""),5090.0)</f>
        <v>5090</v>
      </c>
      <c r="C2033" s="1">
        <f>IFERROR(__xludf.DUMMYFUNCTION("""COMPUTED_VALUE"""),5140.0)</f>
        <v>5140</v>
      </c>
      <c r="D2033" s="1">
        <f>IFERROR(__xludf.DUMMYFUNCTION("""COMPUTED_VALUE"""),4950.0)</f>
        <v>4950</v>
      </c>
      <c r="E2033" s="1">
        <f>IFERROR(__xludf.DUMMYFUNCTION("""COMPUTED_VALUE"""),5070.0)</f>
        <v>5070</v>
      </c>
      <c r="F2033" s="1">
        <f>IFERROR(__xludf.DUMMYFUNCTION("""COMPUTED_VALUE"""),67162.0)</f>
        <v>67162</v>
      </c>
    </row>
    <row r="2034">
      <c r="A2034" s="2">
        <f>IFERROR(__xludf.DUMMYFUNCTION("""COMPUTED_VALUE"""),44218.64583333333)</f>
        <v>44218.64583</v>
      </c>
      <c r="B2034" s="1">
        <f>IFERROR(__xludf.DUMMYFUNCTION("""COMPUTED_VALUE"""),5060.0)</f>
        <v>5060</v>
      </c>
      <c r="C2034" s="1">
        <f>IFERROR(__xludf.DUMMYFUNCTION("""COMPUTED_VALUE"""),5100.0)</f>
        <v>5100</v>
      </c>
      <c r="D2034" s="1">
        <f>IFERROR(__xludf.DUMMYFUNCTION("""COMPUTED_VALUE"""),4950.0)</f>
        <v>4950</v>
      </c>
      <c r="E2034" s="1">
        <f>IFERROR(__xludf.DUMMYFUNCTION("""COMPUTED_VALUE"""),5040.0)</f>
        <v>5040</v>
      </c>
      <c r="F2034" s="1">
        <f>IFERROR(__xludf.DUMMYFUNCTION("""COMPUTED_VALUE"""),28300.0)</f>
        <v>28300</v>
      </c>
    </row>
    <row r="2035">
      <c r="A2035" s="2">
        <f>IFERROR(__xludf.DUMMYFUNCTION("""COMPUTED_VALUE"""),44221.64583333333)</f>
        <v>44221.64583</v>
      </c>
      <c r="B2035" s="1">
        <f>IFERROR(__xludf.DUMMYFUNCTION("""COMPUTED_VALUE"""),4990.0)</f>
        <v>4990</v>
      </c>
      <c r="C2035" s="1">
        <f>IFERROR(__xludf.DUMMYFUNCTION("""COMPUTED_VALUE"""),5130.0)</f>
        <v>5130</v>
      </c>
      <c r="D2035" s="1">
        <f>IFERROR(__xludf.DUMMYFUNCTION("""COMPUTED_VALUE"""),4985.0)</f>
        <v>4985</v>
      </c>
      <c r="E2035" s="1">
        <f>IFERROR(__xludf.DUMMYFUNCTION("""COMPUTED_VALUE"""),5130.0)</f>
        <v>5130</v>
      </c>
      <c r="F2035" s="1">
        <f>IFERROR(__xludf.DUMMYFUNCTION("""COMPUTED_VALUE"""),61057.0)</f>
        <v>61057</v>
      </c>
    </row>
    <row r="2036">
      <c r="A2036" s="2">
        <f>IFERROR(__xludf.DUMMYFUNCTION("""COMPUTED_VALUE"""),44222.64583333333)</f>
        <v>44222.64583</v>
      </c>
      <c r="B2036" s="1">
        <f>IFERROR(__xludf.DUMMYFUNCTION("""COMPUTED_VALUE"""),5200.0)</f>
        <v>5200</v>
      </c>
      <c r="C2036" s="1">
        <f>IFERROR(__xludf.DUMMYFUNCTION("""COMPUTED_VALUE"""),5200.0)</f>
        <v>5200</v>
      </c>
      <c r="D2036" s="1">
        <f>IFERROR(__xludf.DUMMYFUNCTION("""COMPUTED_VALUE"""),5000.0)</f>
        <v>5000</v>
      </c>
      <c r="E2036" s="1">
        <f>IFERROR(__xludf.DUMMYFUNCTION("""COMPUTED_VALUE"""),5050.0)</f>
        <v>5050</v>
      </c>
      <c r="F2036" s="1">
        <f>IFERROR(__xludf.DUMMYFUNCTION("""COMPUTED_VALUE"""),44098.0)</f>
        <v>44098</v>
      </c>
    </row>
    <row r="2037">
      <c r="A2037" s="2">
        <f>IFERROR(__xludf.DUMMYFUNCTION("""COMPUTED_VALUE"""),44223.64583333333)</f>
        <v>44223.64583</v>
      </c>
      <c r="B2037" s="1">
        <f>IFERROR(__xludf.DUMMYFUNCTION("""COMPUTED_VALUE"""),5080.0)</f>
        <v>5080</v>
      </c>
      <c r="C2037" s="1">
        <f>IFERROR(__xludf.DUMMYFUNCTION("""COMPUTED_VALUE"""),5150.0)</f>
        <v>5150</v>
      </c>
      <c r="D2037" s="1">
        <f>IFERROR(__xludf.DUMMYFUNCTION("""COMPUTED_VALUE"""),4950.0)</f>
        <v>4950</v>
      </c>
      <c r="E2037" s="1">
        <f>IFERROR(__xludf.DUMMYFUNCTION("""COMPUTED_VALUE"""),5050.0)</f>
        <v>5050</v>
      </c>
      <c r="F2037" s="1">
        <f>IFERROR(__xludf.DUMMYFUNCTION("""COMPUTED_VALUE"""),39706.0)</f>
        <v>39706</v>
      </c>
    </row>
    <row r="2038">
      <c r="A2038" s="2">
        <f>IFERROR(__xludf.DUMMYFUNCTION("""COMPUTED_VALUE"""),44224.64583333333)</f>
        <v>44224.64583</v>
      </c>
      <c r="B2038" s="1">
        <f>IFERROR(__xludf.DUMMYFUNCTION("""COMPUTED_VALUE"""),4965.0)</f>
        <v>4965</v>
      </c>
      <c r="C2038" s="1">
        <f>IFERROR(__xludf.DUMMYFUNCTION("""COMPUTED_VALUE"""),4995.0)</f>
        <v>4995</v>
      </c>
      <c r="D2038" s="1">
        <f>IFERROR(__xludf.DUMMYFUNCTION("""COMPUTED_VALUE"""),4810.0)</f>
        <v>4810</v>
      </c>
      <c r="E2038" s="1">
        <f>IFERROR(__xludf.DUMMYFUNCTION("""COMPUTED_VALUE"""),4880.0)</f>
        <v>4880</v>
      </c>
      <c r="F2038" s="1">
        <f>IFERROR(__xludf.DUMMYFUNCTION("""COMPUTED_VALUE"""),78216.0)</f>
        <v>78216</v>
      </c>
    </row>
    <row r="2039">
      <c r="A2039" s="2">
        <f>IFERROR(__xludf.DUMMYFUNCTION("""COMPUTED_VALUE"""),44225.64583333333)</f>
        <v>44225.64583</v>
      </c>
      <c r="B2039" s="1">
        <f>IFERROR(__xludf.DUMMYFUNCTION("""COMPUTED_VALUE"""),4880.0)</f>
        <v>4880</v>
      </c>
      <c r="C2039" s="1">
        <f>IFERROR(__xludf.DUMMYFUNCTION("""COMPUTED_VALUE"""),5020.0)</f>
        <v>5020</v>
      </c>
      <c r="D2039" s="1">
        <f>IFERROR(__xludf.DUMMYFUNCTION("""COMPUTED_VALUE"""),4650.0)</f>
        <v>4650</v>
      </c>
      <c r="E2039" s="1">
        <f>IFERROR(__xludf.DUMMYFUNCTION("""COMPUTED_VALUE"""),4870.0)</f>
        <v>4870</v>
      </c>
      <c r="F2039" s="1">
        <f>IFERROR(__xludf.DUMMYFUNCTION("""COMPUTED_VALUE"""),77839.0)</f>
        <v>77839</v>
      </c>
    </row>
    <row r="2040">
      <c r="A2040" s="2">
        <f>IFERROR(__xludf.DUMMYFUNCTION("""COMPUTED_VALUE"""),44228.64583333333)</f>
        <v>44228.64583</v>
      </c>
      <c r="B2040" s="1">
        <f>IFERROR(__xludf.DUMMYFUNCTION("""COMPUTED_VALUE"""),4710.0)</f>
        <v>4710</v>
      </c>
      <c r="C2040" s="1">
        <f>IFERROR(__xludf.DUMMYFUNCTION("""COMPUTED_VALUE"""),4970.0)</f>
        <v>4970</v>
      </c>
      <c r="D2040" s="1">
        <f>IFERROR(__xludf.DUMMYFUNCTION("""COMPUTED_VALUE"""),4650.0)</f>
        <v>4650</v>
      </c>
      <c r="E2040" s="1">
        <f>IFERROR(__xludf.DUMMYFUNCTION("""COMPUTED_VALUE"""),4960.0)</f>
        <v>4960</v>
      </c>
      <c r="F2040" s="1">
        <f>IFERROR(__xludf.DUMMYFUNCTION("""COMPUTED_VALUE"""),46280.0)</f>
        <v>46280</v>
      </c>
    </row>
    <row r="2041">
      <c r="A2041" s="2">
        <f>IFERROR(__xludf.DUMMYFUNCTION("""COMPUTED_VALUE"""),44229.64583333333)</f>
        <v>44229.64583</v>
      </c>
      <c r="B2041" s="1">
        <f>IFERROR(__xludf.DUMMYFUNCTION("""COMPUTED_VALUE"""),4960.0)</f>
        <v>4960</v>
      </c>
      <c r="C2041" s="1">
        <f>IFERROR(__xludf.DUMMYFUNCTION("""COMPUTED_VALUE"""),5040.0)</f>
        <v>5040</v>
      </c>
      <c r="D2041" s="1">
        <f>IFERROR(__xludf.DUMMYFUNCTION("""COMPUTED_VALUE"""),4870.0)</f>
        <v>4870</v>
      </c>
      <c r="E2041" s="1">
        <f>IFERROR(__xludf.DUMMYFUNCTION("""COMPUTED_VALUE"""),4950.0)</f>
        <v>4950</v>
      </c>
      <c r="F2041" s="1">
        <f>IFERROR(__xludf.DUMMYFUNCTION("""COMPUTED_VALUE"""),30470.0)</f>
        <v>30470</v>
      </c>
    </row>
    <row r="2042">
      <c r="A2042" s="2">
        <f>IFERROR(__xludf.DUMMYFUNCTION("""COMPUTED_VALUE"""),44230.64583333333)</f>
        <v>44230.64583</v>
      </c>
      <c r="B2042" s="1">
        <f>IFERROR(__xludf.DUMMYFUNCTION("""COMPUTED_VALUE"""),5000.0)</f>
        <v>5000</v>
      </c>
      <c r="C2042" s="1">
        <f>IFERROR(__xludf.DUMMYFUNCTION("""COMPUTED_VALUE"""),5030.0)</f>
        <v>5030</v>
      </c>
      <c r="D2042" s="1">
        <f>IFERROR(__xludf.DUMMYFUNCTION("""COMPUTED_VALUE"""),4850.0)</f>
        <v>4850</v>
      </c>
      <c r="E2042" s="1">
        <f>IFERROR(__xludf.DUMMYFUNCTION("""COMPUTED_VALUE"""),4950.0)</f>
        <v>4950</v>
      </c>
      <c r="F2042" s="1">
        <f>IFERROR(__xludf.DUMMYFUNCTION("""COMPUTED_VALUE"""),40348.0)</f>
        <v>40348</v>
      </c>
    </row>
    <row r="2043">
      <c r="A2043" s="2">
        <f>IFERROR(__xludf.DUMMYFUNCTION("""COMPUTED_VALUE"""),44231.64583333333)</f>
        <v>44231.64583</v>
      </c>
      <c r="B2043" s="1">
        <f>IFERROR(__xludf.DUMMYFUNCTION("""COMPUTED_VALUE"""),5000.0)</f>
        <v>5000</v>
      </c>
      <c r="C2043" s="1">
        <f>IFERROR(__xludf.DUMMYFUNCTION("""COMPUTED_VALUE"""),5000.0)</f>
        <v>5000</v>
      </c>
      <c r="D2043" s="1">
        <f>IFERROR(__xludf.DUMMYFUNCTION("""COMPUTED_VALUE"""),4850.0)</f>
        <v>4850</v>
      </c>
      <c r="E2043" s="1">
        <f>IFERROR(__xludf.DUMMYFUNCTION("""COMPUTED_VALUE"""),4980.0)</f>
        <v>4980</v>
      </c>
      <c r="F2043" s="1">
        <f>IFERROR(__xludf.DUMMYFUNCTION("""COMPUTED_VALUE"""),30663.0)</f>
        <v>30663</v>
      </c>
    </row>
    <row r="2044">
      <c r="A2044" s="2">
        <f>IFERROR(__xludf.DUMMYFUNCTION("""COMPUTED_VALUE"""),44232.64583333333)</f>
        <v>44232.64583</v>
      </c>
      <c r="B2044" s="1">
        <f>IFERROR(__xludf.DUMMYFUNCTION("""COMPUTED_VALUE"""),4980.0)</f>
        <v>4980</v>
      </c>
      <c r="C2044" s="1">
        <f>IFERROR(__xludf.DUMMYFUNCTION("""COMPUTED_VALUE"""),4980.0)</f>
        <v>4980</v>
      </c>
      <c r="D2044" s="1">
        <f>IFERROR(__xludf.DUMMYFUNCTION("""COMPUTED_VALUE"""),4850.0)</f>
        <v>4850</v>
      </c>
      <c r="E2044" s="1">
        <f>IFERROR(__xludf.DUMMYFUNCTION("""COMPUTED_VALUE"""),4975.0)</f>
        <v>4975</v>
      </c>
      <c r="F2044" s="1">
        <f>IFERROR(__xludf.DUMMYFUNCTION("""COMPUTED_VALUE"""),40389.0)</f>
        <v>40389</v>
      </c>
    </row>
    <row r="2045">
      <c r="A2045" s="2">
        <f>IFERROR(__xludf.DUMMYFUNCTION("""COMPUTED_VALUE"""),44235.64583333333)</f>
        <v>44235.64583</v>
      </c>
      <c r="B2045" s="1">
        <f>IFERROR(__xludf.DUMMYFUNCTION("""COMPUTED_VALUE"""),5000.0)</f>
        <v>5000</v>
      </c>
      <c r="C2045" s="1">
        <f>IFERROR(__xludf.DUMMYFUNCTION("""COMPUTED_VALUE"""),5120.0)</f>
        <v>5120</v>
      </c>
      <c r="D2045" s="1">
        <f>IFERROR(__xludf.DUMMYFUNCTION("""COMPUTED_VALUE"""),4900.0)</f>
        <v>4900</v>
      </c>
      <c r="E2045" s="1">
        <f>IFERROR(__xludf.DUMMYFUNCTION("""COMPUTED_VALUE"""),5120.0)</f>
        <v>5120</v>
      </c>
      <c r="F2045" s="1">
        <f>IFERROR(__xludf.DUMMYFUNCTION("""COMPUTED_VALUE"""),112357.0)</f>
        <v>112357</v>
      </c>
    </row>
    <row r="2046">
      <c r="A2046" s="2">
        <f>IFERROR(__xludf.DUMMYFUNCTION("""COMPUTED_VALUE"""),44236.64583333333)</f>
        <v>44236.64583</v>
      </c>
      <c r="B2046" s="1">
        <f>IFERROR(__xludf.DUMMYFUNCTION("""COMPUTED_VALUE"""),5120.0)</f>
        <v>5120</v>
      </c>
      <c r="C2046" s="1">
        <f>IFERROR(__xludf.DUMMYFUNCTION("""COMPUTED_VALUE"""),5340.0)</f>
        <v>5340</v>
      </c>
      <c r="D2046" s="1">
        <f>IFERROR(__xludf.DUMMYFUNCTION("""COMPUTED_VALUE"""),5110.0)</f>
        <v>5110</v>
      </c>
      <c r="E2046" s="1">
        <f>IFERROR(__xludf.DUMMYFUNCTION("""COMPUTED_VALUE"""),5190.0)</f>
        <v>5190</v>
      </c>
      <c r="F2046" s="1">
        <f>IFERROR(__xludf.DUMMYFUNCTION("""COMPUTED_VALUE"""),121234.0)</f>
        <v>121234</v>
      </c>
    </row>
    <row r="2047">
      <c r="A2047" s="2">
        <f>IFERROR(__xludf.DUMMYFUNCTION("""COMPUTED_VALUE"""),44237.64583333333)</f>
        <v>44237.64583</v>
      </c>
      <c r="B2047" s="1">
        <f>IFERROR(__xludf.DUMMYFUNCTION("""COMPUTED_VALUE"""),5300.0)</f>
        <v>5300</v>
      </c>
      <c r="C2047" s="1">
        <f>IFERROR(__xludf.DUMMYFUNCTION("""COMPUTED_VALUE"""),5300.0)</f>
        <v>5300</v>
      </c>
      <c r="D2047" s="1">
        <f>IFERROR(__xludf.DUMMYFUNCTION("""COMPUTED_VALUE"""),5080.0)</f>
        <v>5080</v>
      </c>
      <c r="E2047" s="1">
        <f>IFERROR(__xludf.DUMMYFUNCTION("""COMPUTED_VALUE"""),5240.0)</f>
        <v>5240</v>
      </c>
      <c r="F2047" s="1">
        <f>IFERROR(__xludf.DUMMYFUNCTION("""COMPUTED_VALUE"""),74390.0)</f>
        <v>74390</v>
      </c>
    </row>
    <row r="2048">
      <c r="A2048" s="2">
        <f>IFERROR(__xludf.DUMMYFUNCTION("""COMPUTED_VALUE"""),44242.64583333333)</f>
        <v>44242.64583</v>
      </c>
      <c r="B2048" s="1">
        <f>IFERROR(__xludf.DUMMYFUNCTION("""COMPUTED_VALUE"""),5300.0)</f>
        <v>5300</v>
      </c>
      <c r="C2048" s="1">
        <f>IFERROR(__xludf.DUMMYFUNCTION("""COMPUTED_VALUE"""),5320.0)</f>
        <v>5320</v>
      </c>
      <c r="D2048" s="1">
        <f>IFERROR(__xludf.DUMMYFUNCTION("""COMPUTED_VALUE"""),5140.0)</f>
        <v>5140</v>
      </c>
      <c r="E2048" s="1">
        <f>IFERROR(__xludf.DUMMYFUNCTION("""COMPUTED_VALUE"""),5140.0)</f>
        <v>5140</v>
      </c>
      <c r="F2048" s="1">
        <f>IFERROR(__xludf.DUMMYFUNCTION("""COMPUTED_VALUE"""),91869.0)</f>
        <v>91869</v>
      </c>
    </row>
    <row r="2049">
      <c r="A2049" s="2">
        <f>IFERROR(__xludf.DUMMYFUNCTION("""COMPUTED_VALUE"""),44243.64583333333)</f>
        <v>44243.64583</v>
      </c>
      <c r="B2049" s="1">
        <f>IFERROR(__xludf.DUMMYFUNCTION("""COMPUTED_VALUE"""),5070.0)</f>
        <v>5070</v>
      </c>
      <c r="C2049" s="1">
        <f>IFERROR(__xludf.DUMMYFUNCTION("""COMPUTED_VALUE"""),5170.0)</f>
        <v>5170</v>
      </c>
      <c r="D2049" s="1">
        <f>IFERROR(__xludf.DUMMYFUNCTION("""COMPUTED_VALUE"""),4930.0)</f>
        <v>4930</v>
      </c>
      <c r="E2049" s="1">
        <f>IFERROR(__xludf.DUMMYFUNCTION("""COMPUTED_VALUE"""),5010.0)</f>
        <v>5010</v>
      </c>
      <c r="F2049" s="1">
        <f>IFERROR(__xludf.DUMMYFUNCTION("""COMPUTED_VALUE"""),90421.0)</f>
        <v>90421</v>
      </c>
    </row>
    <row r="2050">
      <c r="A2050" s="2">
        <f>IFERROR(__xludf.DUMMYFUNCTION("""COMPUTED_VALUE"""),44244.64583333333)</f>
        <v>44244.64583</v>
      </c>
      <c r="B2050" s="1">
        <f>IFERROR(__xludf.DUMMYFUNCTION("""COMPUTED_VALUE"""),5000.0)</f>
        <v>5000</v>
      </c>
      <c r="C2050" s="1">
        <f>IFERROR(__xludf.DUMMYFUNCTION("""COMPUTED_VALUE"""),5000.0)</f>
        <v>5000</v>
      </c>
      <c r="D2050" s="1">
        <f>IFERROR(__xludf.DUMMYFUNCTION("""COMPUTED_VALUE"""),4730.0)</f>
        <v>4730</v>
      </c>
      <c r="E2050" s="1">
        <f>IFERROR(__xludf.DUMMYFUNCTION("""COMPUTED_VALUE"""),4855.0)</f>
        <v>4855</v>
      </c>
      <c r="F2050" s="1">
        <f>IFERROR(__xludf.DUMMYFUNCTION("""COMPUTED_VALUE"""),207033.0)</f>
        <v>207033</v>
      </c>
    </row>
    <row r="2051">
      <c r="A2051" s="2">
        <f>IFERROR(__xludf.DUMMYFUNCTION("""COMPUTED_VALUE"""),44245.64583333333)</f>
        <v>44245.64583</v>
      </c>
      <c r="B2051" s="1">
        <f>IFERROR(__xludf.DUMMYFUNCTION("""COMPUTED_VALUE"""),4855.0)</f>
        <v>4855</v>
      </c>
      <c r="C2051" s="1">
        <f>IFERROR(__xludf.DUMMYFUNCTION("""COMPUTED_VALUE"""),5030.0)</f>
        <v>5030</v>
      </c>
      <c r="D2051" s="1">
        <f>IFERROR(__xludf.DUMMYFUNCTION("""COMPUTED_VALUE"""),4835.0)</f>
        <v>4835</v>
      </c>
      <c r="E2051" s="1">
        <f>IFERROR(__xludf.DUMMYFUNCTION("""COMPUTED_VALUE"""),4950.0)</f>
        <v>4950</v>
      </c>
      <c r="F2051" s="1">
        <f>IFERROR(__xludf.DUMMYFUNCTION("""COMPUTED_VALUE"""),114320.0)</f>
        <v>114320</v>
      </c>
    </row>
    <row r="2052">
      <c r="A2052" s="2">
        <f>IFERROR(__xludf.DUMMYFUNCTION("""COMPUTED_VALUE"""),44246.64583333333)</f>
        <v>44246.64583</v>
      </c>
      <c r="B2052" s="1">
        <f>IFERROR(__xludf.DUMMYFUNCTION("""COMPUTED_VALUE"""),4905.0)</f>
        <v>4905</v>
      </c>
      <c r="C2052" s="1">
        <f>IFERROR(__xludf.DUMMYFUNCTION("""COMPUTED_VALUE"""),5000.0)</f>
        <v>5000</v>
      </c>
      <c r="D2052" s="1">
        <f>IFERROR(__xludf.DUMMYFUNCTION("""COMPUTED_VALUE"""),4890.0)</f>
        <v>4890</v>
      </c>
      <c r="E2052" s="1">
        <f>IFERROR(__xludf.DUMMYFUNCTION("""COMPUTED_VALUE"""),4975.0)</f>
        <v>4975</v>
      </c>
      <c r="F2052" s="1">
        <f>IFERROR(__xludf.DUMMYFUNCTION("""COMPUTED_VALUE"""),42108.0)</f>
        <v>42108</v>
      </c>
    </row>
    <row r="2053">
      <c r="A2053" s="2">
        <f>IFERROR(__xludf.DUMMYFUNCTION("""COMPUTED_VALUE"""),44249.64583333333)</f>
        <v>44249.64583</v>
      </c>
      <c r="B2053" s="1">
        <f>IFERROR(__xludf.DUMMYFUNCTION("""COMPUTED_VALUE"""),4925.0)</f>
        <v>4925</v>
      </c>
      <c r="C2053" s="1">
        <f>IFERROR(__xludf.DUMMYFUNCTION("""COMPUTED_VALUE"""),5190.0)</f>
        <v>5190</v>
      </c>
      <c r="D2053" s="1">
        <f>IFERROR(__xludf.DUMMYFUNCTION("""COMPUTED_VALUE"""),4850.0)</f>
        <v>4850</v>
      </c>
      <c r="E2053" s="1">
        <f>IFERROR(__xludf.DUMMYFUNCTION("""COMPUTED_VALUE"""),4930.0)</f>
        <v>4930</v>
      </c>
      <c r="F2053" s="1">
        <f>IFERROR(__xludf.DUMMYFUNCTION("""COMPUTED_VALUE"""),113444.0)</f>
        <v>113444</v>
      </c>
    </row>
    <row r="2054">
      <c r="A2054" s="2">
        <f>IFERROR(__xludf.DUMMYFUNCTION("""COMPUTED_VALUE"""),44250.64583333333)</f>
        <v>44250.64583</v>
      </c>
      <c r="B2054" s="1">
        <f>IFERROR(__xludf.DUMMYFUNCTION("""COMPUTED_VALUE"""),4900.0)</f>
        <v>4900</v>
      </c>
      <c r="C2054" s="1">
        <f>IFERROR(__xludf.DUMMYFUNCTION("""COMPUTED_VALUE"""),4945.0)</f>
        <v>4945</v>
      </c>
      <c r="D2054" s="1">
        <f>IFERROR(__xludf.DUMMYFUNCTION("""COMPUTED_VALUE"""),4800.0)</f>
        <v>4800</v>
      </c>
      <c r="E2054" s="1">
        <f>IFERROR(__xludf.DUMMYFUNCTION("""COMPUTED_VALUE"""),4885.0)</f>
        <v>4885</v>
      </c>
      <c r="F2054" s="1">
        <f>IFERROR(__xludf.DUMMYFUNCTION("""COMPUTED_VALUE"""),26384.0)</f>
        <v>26384</v>
      </c>
    </row>
    <row r="2055">
      <c r="A2055" s="2">
        <f>IFERROR(__xludf.DUMMYFUNCTION("""COMPUTED_VALUE"""),44251.64583333333)</f>
        <v>44251.64583</v>
      </c>
      <c r="B2055" s="1">
        <f>IFERROR(__xludf.DUMMYFUNCTION("""COMPUTED_VALUE"""),4900.0)</f>
        <v>4900</v>
      </c>
      <c r="C2055" s="1">
        <f>IFERROR(__xludf.DUMMYFUNCTION("""COMPUTED_VALUE"""),4900.0)</f>
        <v>4900</v>
      </c>
      <c r="D2055" s="1">
        <f>IFERROR(__xludf.DUMMYFUNCTION("""COMPUTED_VALUE"""),4725.0)</f>
        <v>4725</v>
      </c>
      <c r="E2055" s="1">
        <f>IFERROR(__xludf.DUMMYFUNCTION("""COMPUTED_VALUE"""),4830.0)</f>
        <v>4830</v>
      </c>
      <c r="F2055" s="1">
        <f>IFERROR(__xludf.DUMMYFUNCTION("""COMPUTED_VALUE"""),44948.0)</f>
        <v>44948</v>
      </c>
    </row>
    <row r="2056">
      <c r="A2056" s="2">
        <f>IFERROR(__xludf.DUMMYFUNCTION("""COMPUTED_VALUE"""),44252.64583333333)</f>
        <v>44252.64583</v>
      </c>
      <c r="B2056" s="1">
        <f>IFERROR(__xludf.DUMMYFUNCTION("""COMPUTED_VALUE"""),4830.0)</f>
        <v>4830</v>
      </c>
      <c r="C2056" s="1">
        <f>IFERROR(__xludf.DUMMYFUNCTION("""COMPUTED_VALUE"""),4855.0)</f>
        <v>4855</v>
      </c>
      <c r="D2056" s="1">
        <f>IFERROR(__xludf.DUMMYFUNCTION("""COMPUTED_VALUE"""),4725.0)</f>
        <v>4725</v>
      </c>
      <c r="E2056" s="1">
        <f>IFERROR(__xludf.DUMMYFUNCTION("""COMPUTED_VALUE"""),4825.0)</f>
        <v>4825</v>
      </c>
      <c r="F2056" s="1">
        <f>IFERROR(__xludf.DUMMYFUNCTION("""COMPUTED_VALUE"""),47641.0)</f>
        <v>47641</v>
      </c>
    </row>
    <row r="2057">
      <c r="A2057" s="2">
        <f>IFERROR(__xludf.DUMMYFUNCTION("""COMPUTED_VALUE"""),44253.64583333333)</f>
        <v>44253.64583</v>
      </c>
      <c r="B2057" s="1">
        <f>IFERROR(__xludf.DUMMYFUNCTION("""COMPUTED_VALUE"""),4700.0)</f>
        <v>4700</v>
      </c>
      <c r="C2057" s="1">
        <f>IFERROR(__xludf.DUMMYFUNCTION("""COMPUTED_VALUE"""),4790.0)</f>
        <v>4790</v>
      </c>
      <c r="D2057" s="1">
        <f>IFERROR(__xludf.DUMMYFUNCTION("""COMPUTED_VALUE"""),4590.0)</f>
        <v>4590</v>
      </c>
      <c r="E2057" s="1">
        <f>IFERROR(__xludf.DUMMYFUNCTION("""COMPUTED_VALUE"""),4740.0)</f>
        <v>4740</v>
      </c>
      <c r="F2057" s="1">
        <f>IFERROR(__xludf.DUMMYFUNCTION("""COMPUTED_VALUE"""),64383.0)</f>
        <v>64383</v>
      </c>
    </row>
    <row r="2058">
      <c r="A2058" s="2">
        <f>IFERROR(__xludf.DUMMYFUNCTION("""COMPUTED_VALUE"""),44257.64583333333)</f>
        <v>44257.64583</v>
      </c>
      <c r="B2058" s="1">
        <f>IFERROR(__xludf.DUMMYFUNCTION("""COMPUTED_VALUE"""),4740.0)</f>
        <v>4740</v>
      </c>
      <c r="C2058" s="1">
        <f>IFERROR(__xludf.DUMMYFUNCTION("""COMPUTED_VALUE"""),4850.0)</f>
        <v>4850</v>
      </c>
      <c r="D2058" s="1">
        <f>IFERROR(__xludf.DUMMYFUNCTION("""COMPUTED_VALUE"""),4740.0)</f>
        <v>4740</v>
      </c>
      <c r="E2058" s="1">
        <f>IFERROR(__xludf.DUMMYFUNCTION("""COMPUTED_VALUE"""),4815.0)</f>
        <v>4815</v>
      </c>
      <c r="F2058" s="1">
        <f>IFERROR(__xludf.DUMMYFUNCTION("""COMPUTED_VALUE"""),25473.0)</f>
        <v>25473</v>
      </c>
    </row>
    <row r="2059">
      <c r="A2059" s="2">
        <f>IFERROR(__xludf.DUMMYFUNCTION("""COMPUTED_VALUE"""),44258.64583333333)</f>
        <v>44258.64583</v>
      </c>
      <c r="B2059" s="1">
        <f>IFERROR(__xludf.DUMMYFUNCTION("""COMPUTED_VALUE"""),4865.0)</f>
        <v>4865</v>
      </c>
      <c r="C2059" s="1">
        <f>IFERROR(__xludf.DUMMYFUNCTION("""COMPUTED_VALUE"""),4890.0)</f>
        <v>4890</v>
      </c>
      <c r="D2059" s="1">
        <f>IFERROR(__xludf.DUMMYFUNCTION("""COMPUTED_VALUE"""),4730.0)</f>
        <v>4730</v>
      </c>
      <c r="E2059" s="1">
        <f>IFERROR(__xludf.DUMMYFUNCTION("""COMPUTED_VALUE"""),4890.0)</f>
        <v>4890</v>
      </c>
      <c r="F2059" s="1">
        <f>IFERROR(__xludf.DUMMYFUNCTION("""COMPUTED_VALUE"""),20717.0)</f>
        <v>20717</v>
      </c>
    </row>
    <row r="2060">
      <c r="A2060" s="2">
        <f>IFERROR(__xludf.DUMMYFUNCTION("""COMPUTED_VALUE"""),44259.64583333333)</f>
        <v>44259.64583</v>
      </c>
      <c r="B2060" s="1">
        <f>IFERROR(__xludf.DUMMYFUNCTION("""COMPUTED_VALUE"""),4800.0)</f>
        <v>4800</v>
      </c>
      <c r="C2060" s="1">
        <f>IFERROR(__xludf.DUMMYFUNCTION("""COMPUTED_VALUE"""),4875.0)</f>
        <v>4875</v>
      </c>
      <c r="D2060" s="1">
        <f>IFERROR(__xludf.DUMMYFUNCTION("""COMPUTED_VALUE"""),4750.0)</f>
        <v>4750</v>
      </c>
      <c r="E2060" s="1">
        <f>IFERROR(__xludf.DUMMYFUNCTION("""COMPUTED_VALUE"""),4810.0)</f>
        <v>4810</v>
      </c>
      <c r="F2060" s="1">
        <f>IFERROR(__xludf.DUMMYFUNCTION("""COMPUTED_VALUE"""),22825.0)</f>
        <v>22825</v>
      </c>
    </row>
    <row r="2061">
      <c r="A2061" s="2">
        <f>IFERROR(__xludf.DUMMYFUNCTION("""COMPUTED_VALUE"""),44260.64583333333)</f>
        <v>44260.64583</v>
      </c>
      <c r="B2061" s="1">
        <f>IFERROR(__xludf.DUMMYFUNCTION("""COMPUTED_VALUE"""),4845.0)</f>
        <v>4845</v>
      </c>
      <c r="C2061" s="1">
        <f>IFERROR(__xludf.DUMMYFUNCTION("""COMPUTED_VALUE"""),4845.0)</f>
        <v>4845</v>
      </c>
      <c r="D2061" s="1">
        <f>IFERROR(__xludf.DUMMYFUNCTION("""COMPUTED_VALUE"""),4755.0)</f>
        <v>4755</v>
      </c>
      <c r="E2061" s="1">
        <f>IFERROR(__xludf.DUMMYFUNCTION("""COMPUTED_VALUE"""),4795.0)</f>
        <v>4795</v>
      </c>
      <c r="F2061" s="1">
        <f>IFERROR(__xludf.DUMMYFUNCTION("""COMPUTED_VALUE"""),25404.0)</f>
        <v>25404</v>
      </c>
    </row>
    <row r="2062">
      <c r="A2062" s="2">
        <f>IFERROR(__xludf.DUMMYFUNCTION("""COMPUTED_VALUE"""),44263.64583333333)</f>
        <v>44263.64583</v>
      </c>
      <c r="B2062" s="1">
        <f>IFERROR(__xludf.DUMMYFUNCTION("""COMPUTED_VALUE"""),4795.0)</f>
        <v>4795</v>
      </c>
      <c r="C2062" s="1">
        <f>IFERROR(__xludf.DUMMYFUNCTION("""COMPUTED_VALUE"""),4850.0)</f>
        <v>4850</v>
      </c>
      <c r="D2062" s="1">
        <f>IFERROR(__xludf.DUMMYFUNCTION("""COMPUTED_VALUE"""),4755.0)</f>
        <v>4755</v>
      </c>
      <c r="E2062" s="1">
        <f>IFERROR(__xludf.DUMMYFUNCTION("""COMPUTED_VALUE"""),4770.0)</f>
        <v>4770</v>
      </c>
      <c r="F2062" s="1">
        <f>IFERROR(__xludf.DUMMYFUNCTION("""COMPUTED_VALUE"""),24850.0)</f>
        <v>24850</v>
      </c>
    </row>
    <row r="2063">
      <c r="A2063" s="2">
        <f>IFERROR(__xludf.DUMMYFUNCTION("""COMPUTED_VALUE"""),44264.64583333333)</f>
        <v>44264.64583</v>
      </c>
      <c r="B2063" s="1">
        <f>IFERROR(__xludf.DUMMYFUNCTION("""COMPUTED_VALUE"""),4770.0)</f>
        <v>4770</v>
      </c>
      <c r="C2063" s="1">
        <f>IFERROR(__xludf.DUMMYFUNCTION("""COMPUTED_VALUE"""),4840.0)</f>
        <v>4840</v>
      </c>
      <c r="D2063" s="1">
        <f>IFERROR(__xludf.DUMMYFUNCTION("""COMPUTED_VALUE"""),4600.0)</f>
        <v>4600</v>
      </c>
      <c r="E2063" s="1">
        <f>IFERROR(__xludf.DUMMYFUNCTION("""COMPUTED_VALUE"""),4800.0)</f>
        <v>4800</v>
      </c>
      <c r="F2063" s="1">
        <f>IFERROR(__xludf.DUMMYFUNCTION("""COMPUTED_VALUE"""),44496.0)</f>
        <v>44496</v>
      </c>
    </row>
    <row r="2064">
      <c r="A2064" s="2">
        <f>IFERROR(__xludf.DUMMYFUNCTION("""COMPUTED_VALUE"""),44265.64583333333)</f>
        <v>44265.64583</v>
      </c>
      <c r="B2064" s="1">
        <f>IFERROR(__xludf.DUMMYFUNCTION("""COMPUTED_VALUE"""),4800.0)</f>
        <v>4800</v>
      </c>
      <c r="C2064" s="1">
        <f>IFERROR(__xludf.DUMMYFUNCTION("""COMPUTED_VALUE"""),4800.0)</f>
        <v>4800</v>
      </c>
      <c r="D2064" s="1">
        <f>IFERROR(__xludf.DUMMYFUNCTION("""COMPUTED_VALUE"""),4700.0)</f>
        <v>4700</v>
      </c>
      <c r="E2064" s="1">
        <f>IFERROR(__xludf.DUMMYFUNCTION("""COMPUTED_VALUE"""),4700.0)</f>
        <v>4700</v>
      </c>
      <c r="F2064" s="1">
        <f>IFERROR(__xludf.DUMMYFUNCTION("""COMPUTED_VALUE"""),18703.0)</f>
        <v>18703</v>
      </c>
    </row>
    <row r="2065">
      <c r="A2065" s="2">
        <f>IFERROR(__xludf.DUMMYFUNCTION("""COMPUTED_VALUE"""),44266.64583333333)</f>
        <v>44266.64583</v>
      </c>
      <c r="B2065" s="1">
        <f>IFERROR(__xludf.DUMMYFUNCTION("""COMPUTED_VALUE"""),4740.0)</f>
        <v>4740</v>
      </c>
      <c r="C2065" s="1">
        <f>IFERROR(__xludf.DUMMYFUNCTION("""COMPUTED_VALUE"""),4795.0)</f>
        <v>4795</v>
      </c>
      <c r="D2065" s="1">
        <f>IFERROR(__xludf.DUMMYFUNCTION("""COMPUTED_VALUE"""),4680.0)</f>
        <v>4680</v>
      </c>
      <c r="E2065" s="1">
        <f>IFERROR(__xludf.DUMMYFUNCTION("""COMPUTED_VALUE"""),4790.0)</f>
        <v>4790</v>
      </c>
      <c r="F2065" s="1">
        <f>IFERROR(__xludf.DUMMYFUNCTION("""COMPUTED_VALUE"""),29873.0)</f>
        <v>29873</v>
      </c>
    </row>
    <row r="2066">
      <c r="A2066" s="2">
        <f>IFERROR(__xludf.DUMMYFUNCTION("""COMPUTED_VALUE"""),44267.64583333333)</f>
        <v>44267.64583</v>
      </c>
      <c r="B2066" s="1">
        <f>IFERROR(__xludf.DUMMYFUNCTION("""COMPUTED_VALUE"""),4795.0)</f>
        <v>4795</v>
      </c>
      <c r="C2066" s="1">
        <f>IFERROR(__xludf.DUMMYFUNCTION("""COMPUTED_VALUE"""),4900.0)</f>
        <v>4900</v>
      </c>
      <c r="D2066" s="1">
        <f>IFERROR(__xludf.DUMMYFUNCTION("""COMPUTED_VALUE"""),4775.0)</f>
        <v>4775</v>
      </c>
      <c r="E2066" s="1">
        <f>IFERROR(__xludf.DUMMYFUNCTION("""COMPUTED_VALUE"""),4860.0)</f>
        <v>4860</v>
      </c>
      <c r="F2066" s="1">
        <f>IFERROR(__xludf.DUMMYFUNCTION("""COMPUTED_VALUE"""),95111.0)</f>
        <v>95111</v>
      </c>
    </row>
    <row r="2067">
      <c r="A2067" s="2">
        <f>IFERROR(__xludf.DUMMYFUNCTION("""COMPUTED_VALUE"""),44270.64583333333)</f>
        <v>44270.64583</v>
      </c>
      <c r="B2067" s="1">
        <f>IFERROR(__xludf.DUMMYFUNCTION("""COMPUTED_VALUE"""),4895.0)</f>
        <v>4895</v>
      </c>
      <c r="C2067" s="1">
        <f>IFERROR(__xludf.DUMMYFUNCTION("""COMPUTED_VALUE"""),4930.0)</f>
        <v>4930</v>
      </c>
      <c r="D2067" s="1">
        <f>IFERROR(__xludf.DUMMYFUNCTION("""COMPUTED_VALUE"""),4620.0)</f>
        <v>4620</v>
      </c>
      <c r="E2067" s="1">
        <f>IFERROR(__xludf.DUMMYFUNCTION("""COMPUTED_VALUE"""),4885.0)</f>
        <v>4885</v>
      </c>
      <c r="F2067" s="1">
        <f>IFERROR(__xludf.DUMMYFUNCTION("""COMPUTED_VALUE"""),35346.0)</f>
        <v>35346</v>
      </c>
    </row>
    <row r="2068">
      <c r="A2068" s="2">
        <f>IFERROR(__xludf.DUMMYFUNCTION("""COMPUTED_VALUE"""),44271.64583333333)</f>
        <v>44271.64583</v>
      </c>
      <c r="B2068" s="1">
        <f>IFERROR(__xludf.DUMMYFUNCTION("""COMPUTED_VALUE"""),4885.0)</f>
        <v>4885</v>
      </c>
      <c r="C2068" s="1">
        <f>IFERROR(__xludf.DUMMYFUNCTION("""COMPUTED_VALUE"""),4910.0)</f>
        <v>4910</v>
      </c>
      <c r="D2068" s="1">
        <f>IFERROR(__xludf.DUMMYFUNCTION("""COMPUTED_VALUE"""),4800.0)</f>
        <v>4800</v>
      </c>
      <c r="E2068" s="1">
        <f>IFERROR(__xludf.DUMMYFUNCTION("""COMPUTED_VALUE"""),4845.0)</f>
        <v>4845</v>
      </c>
      <c r="F2068" s="1">
        <f>IFERROR(__xludf.DUMMYFUNCTION("""COMPUTED_VALUE"""),28357.0)</f>
        <v>28357</v>
      </c>
    </row>
    <row r="2069">
      <c r="A2069" s="2">
        <f>IFERROR(__xludf.DUMMYFUNCTION("""COMPUTED_VALUE"""),44272.64583333333)</f>
        <v>44272.64583</v>
      </c>
      <c r="B2069" s="1">
        <f>IFERROR(__xludf.DUMMYFUNCTION("""COMPUTED_VALUE"""),4800.0)</f>
        <v>4800</v>
      </c>
      <c r="C2069" s="1">
        <f>IFERROR(__xludf.DUMMYFUNCTION("""COMPUTED_VALUE"""),5110.0)</f>
        <v>5110</v>
      </c>
      <c r="D2069" s="1">
        <f>IFERROR(__xludf.DUMMYFUNCTION("""COMPUTED_VALUE"""),4800.0)</f>
        <v>4800</v>
      </c>
      <c r="E2069" s="1">
        <f>IFERROR(__xludf.DUMMYFUNCTION("""COMPUTED_VALUE"""),4850.0)</f>
        <v>4850</v>
      </c>
      <c r="F2069" s="1">
        <f>IFERROR(__xludf.DUMMYFUNCTION("""COMPUTED_VALUE"""),55782.0)</f>
        <v>55782</v>
      </c>
    </row>
    <row r="2070">
      <c r="A2070" s="2">
        <f>IFERROR(__xludf.DUMMYFUNCTION("""COMPUTED_VALUE"""),44273.64583333333)</f>
        <v>44273.64583</v>
      </c>
      <c r="B2070" s="1">
        <f>IFERROR(__xludf.DUMMYFUNCTION("""COMPUTED_VALUE"""),4850.0)</f>
        <v>4850</v>
      </c>
      <c r="C2070" s="1">
        <f>IFERROR(__xludf.DUMMYFUNCTION("""COMPUTED_VALUE"""),4990.0)</f>
        <v>4990</v>
      </c>
      <c r="D2070" s="1">
        <f>IFERROR(__xludf.DUMMYFUNCTION("""COMPUTED_VALUE"""),4845.0)</f>
        <v>4845</v>
      </c>
      <c r="E2070" s="1">
        <f>IFERROR(__xludf.DUMMYFUNCTION("""COMPUTED_VALUE"""),4965.0)</f>
        <v>4965</v>
      </c>
      <c r="F2070" s="1">
        <f>IFERROR(__xludf.DUMMYFUNCTION("""COMPUTED_VALUE"""),80836.0)</f>
        <v>80836</v>
      </c>
    </row>
    <row r="2071">
      <c r="A2071" s="2">
        <f>IFERROR(__xludf.DUMMYFUNCTION("""COMPUTED_VALUE"""),44274.64583333333)</f>
        <v>44274.64583</v>
      </c>
      <c r="B2071" s="1">
        <f>IFERROR(__xludf.DUMMYFUNCTION("""COMPUTED_VALUE"""),5050.0)</f>
        <v>5050</v>
      </c>
      <c r="C2071" s="1">
        <f>IFERROR(__xludf.DUMMYFUNCTION("""COMPUTED_VALUE"""),5190.0)</f>
        <v>5190</v>
      </c>
      <c r="D2071" s="1">
        <f>IFERROR(__xludf.DUMMYFUNCTION("""COMPUTED_VALUE"""),4755.0)</f>
        <v>4755</v>
      </c>
      <c r="E2071" s="1">
        <f>IFERROR(__xludf.DUMMYFUNCTION("""COMPUTED_VALUE"""),4790.0)</f>
        <v>4790</v>
      </c>
      <c r="F2071" s="1">
        <f>IFERROR(__xludf.DUMMYFUNCTION("""COMPUTED_VALUE"""),230172.0)</f>
        <v>230172</v>
      </c>
    </row>
    <row r="2072">
      <c r="A2072" s="2">
        <f>IFERROR(__xludf.DUMMYFUNCTION("""COMPUTED_VALUE"""),44277.64583333333)</f>
        <v>44277.64583</v>
      </c>
      <c r="B2072" s="1">
        <f>IFERROR(__xludf.DUMMYFUNCTION("""COMPUTED_VALUE"""),4850.0)</f>
        <v>4850</v>
      </c>
      <c r="C2072" s="1">
        <f>IFERROR(__xludf.DUMMYFUNCTION("""COMPUTED_VALUE"""),4850.0)</f>
        <v>4850</v>
      </c>
      <c r="D2072" s="1">
        <f>IFERROR(__xludf.DUMMYFUNCTION("""COMPUTED_VALUE"""),4735.0)</f>
        <v>4735</v>
      </c>
      <c r="E2072" s="1">
        <f>IFERROR(__xludf.DUMMYFUNCTION("""COMPUTED_VALUE"""),4760.0)</f>
        <v>4760</v>
      </c>
      <c r="F2072" s="1">
        <f>IFERROR(__xludf.DUMMYFUNCTION("""COMPUTED_VALUE"""),61424.0)</f>
        <v>61424</v>
      </c>
    </row>
    <row r="2073">
      <c r="A2073" s="2">
        <f>IFERROR(__xludf.DUMMYFUNCTION("""COMPUTED_VALUE"""),44278.64583333333)</f>
        <v>44278.64583</v>
      </c>
      <c r="B2073" s="1">
        <f>IFERROR(__xludf.DUMMYFUNCTION("""COMPUTED_VALUE"""),4770.0)</f>
        <v>4770</v>
      </c>
      <c r="C2073" s="1">
        <f>IFERROR(__xludf.DUMMYFUNCTION("""COMPUTED_VALUE"""),4790.0)</f>
        <v>4790</v>
      </c>
      <c r="D2073" s="1">
        <f>IFERROR(__xludf.DUMMYFUNCTION("""COMPUTED_VALUE"""),4710.0)</f>
        <v>4710</v>
      </c>
      <c r="E2073" s="1">
        <f>IFERROR(__xludf.DUMMYFUNCTION("""COMPUTED_VALUE"""),4745.0)</f>
        <v>4745</v>
      </c>
      <c r="F2073" s="1">
        <f>IFERROR(__xludf.DUMMYFUNCTION("""COMPUTED_VALUE"""),52938.0)</f>
        <v>52938</v>
      </c>
    </row>
    <row r="2074">
      <c r="A2074" s="2">
        <f>IFERROR(__xludf.DUMMYFUNCTION("""COMPUTED_VALUE"""),44279.64583333333)</f>
        <v>44279.64583</v>
      </c>
      <c r="B2074" s="1">
        <f>IFERROR(__xludf.DUMMYFUNCTION("""COMPUTED_VALUE"""),4745.0)</f>
        <v>4745</v>
      </c>
      <c r="C2074" s="1">
        <f>IFERROR(__xludf.DUMMYFUNCTION("""COMPUTED_VALUE"""),4785.0)</f>
        <v>4785</v>
      </c>
      <c r="D2074" s="1">
        <f>IFERROR(__xludf.DUMMYFUNCTION("""COMPUTED_VALUE"""),4700.0)</f>
        <v>4700</v>
      </c>
      <c r="E2074" s="1">
        <f>IFERROR(__xludf.DUMMYFUNCTION("""COMPUTED_VALUE"""),4745.0)</f>
        <v>4745</v>
      </c>
      <c r="F2074" s="1">
        <f>IFERROR(__xludf.DUMMYFUNCTION("""COMPUTED_VALUE"""),36874.0)</f>
        <v>36874</v>
      </c>
    </row>
    <row r="2075">
      <c r="A2075" s="2">
        <f>IFERROR(__xludf.DUMMYFUNCTION("""COMPUTED_VALUE"""),44280.64583333333)</f>
        <v>44280.64583</v>
      </c>
      <c r="B2075" s="1">
        <f>IFERROR(__xludf.DUMMYFUNCTION("""COMPUTED_VALUE"""),4765.0)</f>
        <v>4765</v>
      </c>
      <c r="C2075" s="1">
        <f>IFERROR(__xludf.DUMMYFUNCTION("""COMPUTED_VALUE"""),4785.0)</f>
        <v>4785</v>
      </c>
      <c r="D2075" s="1">
        <f>IFERROR(__xludf.DUMMYFUNCTION("""COMPUTED_VALUE"""),4500.0)</f>
        <v>4500</v>
      </c>
      <c r="E2075" s="1">
        <f>IFERROR(__xludf.DUMMYFUNCTION("""COMPUTED_VALUE"""),4710.0)</f>
        <v>4710</v>
      </c>
      <c r="F2075" s="1">
        <f>IFERROR(__xludf.DUMMYFUNCTION("""COMPUTED_VALUE"""),60609.0)</f>
        <v>60609</v>
      </c>
    </row>
    <row r="2076">
      <c r="A2076" s="2">
        <f>IFERROR(__xludf.DUMMYFUNCTION("""COMPUTED_VALUE"""),44281.64583333333)</f>
        <v>44281.64583</v>
      </c>
      <c r="B2076" s="1">
        <f>IFERROR(__xludf.DUMMYFUNCTION("""COMPUTED_VALUE"""),4780.0)</f>
        <v>4780</v>
      </c>
      <c r="C2076" s="1">
        <f>IFERROR(__xludf.DUMMYFUNCTION("""COMPUTED_VALUE"""),4780.0)</f>
        <v>4780</v>
      </c>
      <c r="D2076" s="1">
        <f>IFERROR(__xludf.DUMMYFUNCTION("""COMPUTED_VALUE"""),4680.0)</f>
        <v>4680</v>
      </c>
      <c r="E2076" s="1">
        <f>IFERROR(__xludf.DUMMYFUNCTION("""COMPUTED_VALUE"""),4750.0)</f>
        <v>4750</v>
      </c>
      <c r="F2076" s="1">
        <f>IFERROR(__xludf.DUMMYFUNCTION("""COMPUTED_VALUE"""),47694.0)</f>
        <v>47694</v>
      </c>
    </row>
    <row r="2077">
      <c r="A2077" s="2">
        <f>IFERROR(__xludf.DUMMYFUNCTION("""COMPUTED_VALUE"""),44284.64583333333)</f>
        <v>44284.64583</v>
      </c>
      <c r="B2077" s="1">
        <f>IFERROR(__xludf.DUMMYFUNCTION("""COMPUTED_VALUE"""),4780.0)</f>
        <v>4780</v>
      </c>
      <c r="C2077" s="1">
        <f>IFERROR(__xludf.DUMMYFUNCTION("""COMPUTED_VALUE"""),4785.0)</f>
        <v>4785</v>
      </c>
      <c r="D2077" s="1">
        <f>IFERROR(__xludf.DUMMYFUNCTION("""COMPUTED_VALUE"""),4700.0)</f>
        <v>4700</v>
      </c>
      <c r="E2077" s="1">
        <f>IFERROR(__xludf.DUMMYFUNCTION("""COMPUTED_VALUE"""),4720.0)</f>
        <v>4720</v>
      </c>
      <c r="F2077" s="1">
        <f>IFERROR(__xludf.DUMMYFUNCTION("""COMPUTED_VALUE"""),31015.0)</f>
        <v>31015</v>
      </c>
    </row>
    <row r="2078">
      <c r="A2078" s="2">
        <f>IFERROR(__xludf.DUMMYFUNCTION("""COMPUTED_VALUE"""),44285.64583333333)</f>
        <v>44285.64583</v>
      </c>
      <c r="B2078" s="1">
        <f>IFERROR(__xludf.DUMMYFUNCTION("""COMPUTED_VALUE"""),4720.0)</f>
        <v>4720</v>
      </c>
      <c r="C2078" s="1">
        <f>IFERROR(__xludf.DUMMYFUNCTION("""COMPUTED_VALUE"""),4765.0)</f>
        <v>4765</v>
      </c>
      <c r="D2078" s="1">
        <f>IFERROR(__xludf.DUMMYFUNCTION("""COMPUTED_VALUE"""),4680.0)</f>
        <v>4680</v>
      </c>
      <c r="E2078" s="1">
        <f>IFERROR(__xludf.DUMMYFUNCTION("""COMPUTED_VALUE"""),4680.0)</f>
        <v>4680</v>
      </c>
      <c r="F2078" s="1">
        <f>IFERROR(__xludf.DUMMYFUNCTION("""COMPUTED_VALUE"""),76844.0)</f>
        <v>76844</v>
      </c>
    </row>
    <row r="2079">
      <c r="A2079" s="2">
        <f>IFERROR(__xludf.DUMMYFUNCTION("""COMPUTED_VALUE"""),44286.64583333333)</f>
        <v>44286.64583</v>
      </c>
      <c r="B2079" s="1">
        <f>IFERROR(__xludf.DUMMYFUNCTION("""COMPUTED_VALUE"""),4680.0)</f>
        <v>4680</v>
      </c>
      <c r="C2079" s="1">
        <f>IFERROR(__xludf.DUMMYFUNCTION("""COMPUTED_VALUE"""),4740.0)</f>
        <v>4740</v>
      </c>
      <c r="D2079" s="1">
        <f>IFERROR(__xludf.DUMMYFUNCTION("""COMPUTED_VALUE"""),4650.0)</f>
        <v>4650</v>
      </c>
      <c r="E2079" s="1">
        <f>IFERROR(__xludf.DUMMYFUNCTION("""COMPUTED_VALUE"""),4710.0)</f>
        <v>4710</v>
      </c>
      <c r="F2079" s="1">
        <f>IFERROR(__xludf.DUMMYFUNCTION("""COMPUTED_VALUE"""),37754.0)</f>
        <v>37754</v>
      </c>
    </row>
    <row r="2080">
      <c r="A2080" s="2">
        <f>IFERROR(__xludf.DUMMYFUNCTION("""COMPUTED_VALUE"""),44287.64583333333)</f>
        <v>44287.64583</v>
      </c>
      <c r="B2080" s="1">
        <f>IFERROR(__xludf.DUMMYFUNCTION("""COMPUTED_VALUE"""),4780.0)</f>
        <v>4780</v>
      </c>
      <c r="C2080" s="1">
        <f>IFERROR(__xludf.DUMMYFUNCTION("""COMPUTED_VALUE"""),4780.0)</f>
        <v>4780</v>
      </c>
      <c r="D2080" s="1">
        <f>IFERROR(__xludf.DUMMYFUNCTION("""COMPUTED_VALUE"""),4675.0)</f>
        <v>4675</v>
      </c>
      <c r="E2080" s="1">
        <f>IFERROR(__xludf.DUMMYFUNCTION("""COMPUTED_VALUE"""),4705.0)</f>
        <v>4705</v>
      </c>
      <c r="F2080" s="1">
        <f>IFERROR(__xludf.DUMMYFUNCTION("""COMPUTED_VALUE"""),40944.0)</f>
        <v>40944</v>
      </c>
    </row>
    <row r="2081">
      <c r="A2081" s="2">
        <f>IFERROR(__xludf.DUMMYFUNCTION("""COMPUTED_VALUE"""),44288.64583333333)</f>
        <v>44288.64583</v>
      </c>
      <c r="B2081" s="1">
        <f>IFERROR(__xludf.DUMMYFUNCTION("""COMPUTED_VALUE"""),4700.0)</f>
        <v>4700</v>
      </c>
      <c r="C2081" s="1">
        <f>IFERROR(__xludf.DUMMYFUNCTION("""COMPUTED_VALUE"""),4720.0)</f>
        <v>4720</v>
      </c>
      <c r="D2081" s="1">
        <f>IFERROR(__xludf.DUMMYFUNCTION("""COMPUTED_VALUE"""),4650.0)</f>
        <v>4650</v>
      </c>
      <c r="E2081" s="1">
        <f>IFERROR(__xludf.DUMMYFUNCTION("""COMPUTED_VALUE"""),4700.0)</f>
        <v>4700</v>
      </c>
      <c r="F2081" s="1">
        <f>IFERROR(__xludf.DUMMYFUNCTION("""COMPUTED_VALUE"""),59054.0)</f>
        <v>59054</v>
      </c>
    </row>
    <row r="2082">
      <c r="A2082" s="2">
        <f>IFERROR(__xludf.DUMMYFUNCTION("""COMPUTED_VALUE"""),44291.64583333333)</f>
        <v>44291.64583</v>
      </c>
      <c r="B2082" s="1">
        <f>IFERROR(__xludf.DUMMYFUNCTION("""COMPUTED_VALUE"""),4760.0)</f>
        <v>4760</v>
      </c>
      <c r="C2082" s="1">
        <f>IFERROR(__xludf.DUMMYFUNCTION("""COMPUTED_VALUE"""),4760.0)</f>
        <v>4760</v>
      </c>
      <c r="D2082" s="1">
        <f>IFERROR(__xludf.DUMMYFUNCTION("""COMPUTED_VALUE"""),4580.0)</f>
        <v>4580</v>
      </c>
      <c r="E2082" s="1">
        <f>IFERROR(__xludf.DUMMYFUNCTION("""COMPUTED_VALUE"""),4605.0)</f>
        <v>4605</v>
      </c>
      <c r="F2082" s="1">
        <f>IFERROR(__xludf.DUMMYFUNCTION("""COMPUTED_VALUE"""),62857.0)</f>
        <v>62857</v>
      </c>
    </row>
    <row r="2083">
      <c r="A2083" s="2">
        <f>IFERROR(__xludf.DUMMYFUNCTION("""COMPUTED_VALUE"""),44292.64583333333)</f>
        <v>44292.64583</v>
      </c>
      <c r="B2083" s="1">
        <f>IFERROR(__xludf.DUMMYFUNCTION("""COMPUTED_VALUE"""),4700.0)</f>
        <v>4700</v>
      </c>
      <c r="C2083" s="1">
        <f>IFERROR(__xludf.DUMMYFUNCTION("""COMPUTED_VALUE"""),4745.0)</f>
        <v>4745</v>
      </c>
      <c r="D2083" s="1">
        <f>IFERROR(__xludf.DUMMYFUNCTION("""COMPUTED_VALUE"""),4580.0)</f>
        <v>4580</v>
      </c>
      <c r="E2083" s="1">
        <f>IFERROR(__xludf.DUMMYFUNCTION("""COMPUTED_VALUE"""),4585.0)</f>
        <v>4585</v>
      </c>
      <c r="F2083" s="1">
        <f>IFERROR(__xludf.DUMMYFUNCTION("""COMPUTED_VALUE"""),65736.0)</f>
        <v>65736</v>
      </c>
    </row>
    <row r="2084">
      <c r="A2084" s="2">
        <f>IFERROR(__xludf.DUMMYFUNCTION("""COMPUTED_VALUE"""),44293.64583333333)</f>
        <v>44293.64583</v>
      </c>
      <c r="B2084" s="1">
        <f>IFERROR(__xludf.DUMMYFUNCTION("""COMPUTED_VALUE"""),4585.0)</f>
        <v>4585</v>
      </c>
      <c r="C2084" s="1">
        <f>IFERROR(__xludf.DUMMYFUNCTION("""COMPUTED_VALUE"""),4630.0)</f>
        <v>4630</v>
      </c>
      <c r="D2084" s="1">
        <f>IFERROR(__xludf.DUMMYFUNCTION("""COMPUTED_VALUE"""),4520.0)</f>
        <v>4520</v>
      </c>
      <c r="E2084" s="1">
        <f>IFERROR(__xludf.DUMMYFUNCTION("""COMPUTED_VALUE"""),4580.0)</f>
        <v>4580</v>
      </c>
      <c r="F2084" s="1">
        <f>IFERROR(__xludf.DUMMYFUNCTION("""COMPUTED_VALUE"""),43740.0)</f>
        <v>43740</v>
      </c>
    </row>
    <row r="2085">
      <c r="A2085" s="2">
        <f>IFERROR(__xludf.DUMMYFUNCTION("""COMPUTED_VALUE"""),44294.64583333333)</f>
        <v>44294.64583</v>
      </c>
      <c r="B2085" s="1">
        <f>IFERROR(__xludf.DUMMYFUNCTION("""COMPUTED_VALUE"""),4600.0)</f>
        <v>4600</v>
      </c>
      <c r="C2085" s="1">
        <f>IFERROR(__xludf.DUMMYFUNCTION("""COMPUTED_VALUE"""),4670.0)</f>
        <v>4670</v>
      </c>
      <c r="D2085" s="1">
        <f>IFERROR(__xludf.DUMMYFUNCTION("""COMPUTED_VALUE"""),4480.0)</f>
        <v>4480</v>
      </c>
      <c r="E2085" s="1">
        <f>IFERROR(__xludf.DUMMYFUNCTION("""COMPUTED_VALUE"""),4500.0)</f>
        <v>4500</v>
      </c>
      <c r="F2085" s="1">
        <f>IFERROR(__xludf.DUMMYFUNCTION("""COMPUTED_VALUE"""),84874.0)</f>
        <v>84874</v>
      </c>
    </row>
    <row r="2086">
      <c r="A2086" s="2">
        <f>IFERROR(__xludf.DUMMYFUNCTION("""COMPUTED_VALUE"""),44295.64583333333)</f>
        <v>44295.64583</v>
      </c>
      <c r="B2086" s="1">
        <f>IFERROR(__xludf.DUMMYFUNCTION("""COMPUTED_VALUE"""),4540.0)</f>
        <v>4540</v>
      </c>
      <c r="C2086" s="1">
        <f>IFERROR(__xludf.DUMMYFUNCTION("""COMPUTED_VALUE"""),4540.0)</f>
        <v>4540</v>
      </c>
      <c r="D2086" s="1">
        <f>IFERROR(__xludf.DUMMYFUNCTION("""COMPUTED_VALUE"""),4365.0)</f>
        <v>4365</v>
      </c>
      <c r="E2086" s="1">
        <f>IFERROR(__xludf.DUMMYFUNCTION("""COMPUTED_VALUE"""),4375.0)</f>
        <v>4375</v>
      </c>
      <c r="F2086" s="1">
        <f>IFERROR(__xludf.DUMMYFUNCTION("""COMPUTED_VALUE"""),163344.0)</f>
        <v>163344</v>
      </c>
    </row>
    <row r="2087">
      <c r="A2087" s="2">
        <f>IFERROR(__xludf.DUMMYFUNCTION("""COMPUTED_VALUE"""),44298.64583333333)</f>
        <v>44298.64583</v>
      </c>
      <c r="B2087" s="1">
        <f>IFERROR(__xludf.DUMMYFUNCTION("""COMPUTED_VALUE"""),4445.0)</f>
        <v>4445</v>
      </c>
      <c r="C2087" s="1">
        <f>IFERROR(__xludf.DUMMYFUNCTION("""COMPUTED_VALUE"""),4725.0)</f>
        <v>4725</v>
      </c>
      <c r="D2087" s="1">
        <f>IFERROR(__xludf.DUMMYFUNCTION("""COMPUTED_VALUE"""),4250.0)</f>
        <v>4250</v>
      </c>
      <c r="E2087" s="1">
        <f>IFERROR(__xludf.DUMMYFUNCTION("""COMPUTED_VALUE"""),4635.0)</f>
        <v>4635</v>
      </c>
      <c r="F2087" s="1">
        <f>IFERROR(__xludf.DUMMYFUNCTION("""COMPUTED_VALUE"""),242659.0)</f>
        <v>242659</v>
      </c>
    </row>
    <row r="2088">
      <c r="A2088" s="2">
        <f>IFERROR(__xludf.DUMMYFUNCTION("""COMPUTED_VALUE"""),44299.64583333333)</f>
        <v>44299.64583</v>
      </c>
      <c r="B2088" s="1">
        <f>IFERROR(__xludf.DUMMYFUNCTION("""COMPUTED_VALUE"""),4720.0)</f>
        <v>4720</v>
      </c>
      <c r="C2088" s="1">
        <f>IFERROR(__xludf.DUMMYFUNCTION("""COMPUTED_VALUE"""),4830.0)</f>
        <v>4830</v>
      </c>
      <c r="D2088" s="1">
        <f>IFERROR(__xludf.DUMMYFUNCTION("""COMPUTED_VALUE"""),4555.0)</f>
        <v>4555</v>
      </c>
      <c r="E2088" s="1">
        <f>IFERROR(__xludf.DUMMYFUNCTION("""COMPUTED_VALUE"""),4570.0)</f>
        <v>4570</v>
      </c>
      <c r="F2088" s="1">
        <f>IFERROR(__xludf.DUMMYFUNCTION("""COMPUTED_VALUE"""),158455.0)</f>
        <v>158455</v>
      </c>
    </row>
    <row r="2089">
      <c r="A2089" s="2">
        <f>IFERROR(__xludf.DUMMYFUNCTION("""COMPUTED_VALUE"""),44300.64583333333)</f>
        <v>44300.64583</v>
      </c>
      <c r="B2089" s="1">
        <f>IFERROR(__xludf.DUMMYFUNCTION("""COMPUTED_VALUE"""),4570.0)</f>
        <v>4570</v>
      </c>
      <c r="C2089" s="1">
        <f>IFERROR(__xludf.DUMMYFUNCTION("""COMPUTED_VALUE"""),4620.0)</f>
        <v>4620</v>
      </c>
      <c r="D2089" s="1">
        <f>IFERROR(__xludf.DUMMYFUNCTION("""COMPUTED_VALUE"""),4535.0)</f>
        <v>4535</v>
      </c>
      <c r="E2089" s="1">
        <f>IFERROR(__xludf.DUMMYFUNCTION("""COMPUTED_VALUE"""),4535.0)</f>
        <v>4535</v>
      </c>
      <c r="F2089" s="1">
        <f>IFERROR(__xludf.DUMMYFUNCTION("""COMPUTED_VALUE"""),62942.0)</f>
        <v>62942</v>
      </c>
    </row>
    <row r="2090">
      <c r="A2090" s="2">
        <f>IFERROR(__xludf.DUMMYFUNCTION("""COMPUTED_VALUE"""),44301.64583333333)</f>
        <v>44301.64583</v>
      </c>
      <c r="B2090" s="1">
        <f>IFERROR(__xludf.DUMMYFUNCTION("""COMPUTED_VALUE"""),4615.0)</f>
        <v>4615</v>
      </c>
      <c r="C2090" s="1">
        <f>IFERROR(__xludf.DUMMYFUNCTION("""COMPUTED_VALUE"""),5890.0)</f>
        <v>5890</v>
      </c>
      <c r="D2090" s="1">
        <f>IFERROR(__xludf.DUMMYFUNCTION("""COMPUTED_VALUE"""),4600.0)</f>
        <v>4600</v>
      </c>
      <c r="E2090" s="1">
        <f>IFERROR(__xludf.DUMMYFUNCTION("""COMPUTED_VALUE"""),5880.0)</f>
        <v>5880</v>
      </c>
      <c r="F2090" s="1">
        <f>IFERROR(__xludf.DUMMYFUNCTION("""COMPUTED_VALUE"""),9419075.0)</f>
        <v>9419075</v>
      </c>
    </row>
    <row r="2091">
      <c r="A2091" s="2">
        <f>IFERROR(__xludf.DUMMYFUNCTION("""COMPUTED_VALUE"""),44302.64583333333)</f>
        <v>44302.64583</v>
      </c>
      <c r="B2091" s="1">
        <f>IFERROR(__xludf.DUMMYFUNCTION("""COMPUTED_VALUE"""),5670.0)</f>
        <v>5670</v>
      </c>
      <c r="C2091" s="1">
        <f>IFERROR(__xludf.DUMMYFUNCTION("""COMPUTED_VALUE"""),5800.0)</f>
        <v>5800</v>
      </c>
      <c r="D2091" s="1">
        <f>IFERROR(__xludf.DUMMYFUNCTION("""COMPUTED_VALUE"""),5300.0)</f>
        <v>5300</v>
      </c>
      <c r="E2091" s="1">
        <f>IFERROR(__xludf.DUMMYFUNCTION("""COMPUTED_VALUE"""),5500.0)</f>
        <v>5500</v>
      </c>
      <c r="F2091" s="1">
        <f>IFERROR(__xludf.DUMMYFUNCTION("""COMPUTED_VALUE"""),2381007.0)</f>
        <v>2381007</v>
      </c>
    </row>
    <row r="2092">
      <c r="A2092" s="2">
        <f>IFERROR(__xludf.DUMMYFUNCTION("""COMPUTED_VALUE"""),44305.64583333333)</f>
        <v>44305.64583</v>
      </c>
      <c r="B2092" s="1">
        <f>IFERROR(__xludf.DUMMYFUNCTION("""COMPUTED_VALUE"""),5500.0)</f>
        <v>5500</v>
      </c>
      <c r="C2092" s="1">
        <f>IFERROR(__xludf.DUMMYFUNCTION("""COMPUTED_VALUE"""),5640.0)</f>
        <v>5640</v>
      </c>
      <c r="D2092" s="1">
        <f>IFERROR(__xludf.DUMMYFUNCTION("""COMPUTED_VALUE"""),5400.0)</f>
        <v>5400</v>
      </c>
      <c r="E2092" s="1">
        <f>IFERROR(__xludf.DUMMYFUNCTION("""COMPUTED_VALUE"""),5580.0)</f>
        <v>5580</v>
      </c>
      <c r="F2092" s="1">
        <f>IFERROR(__xludf.DUMMYFUNCTION("""COMPUTED_VALUE"""),964051.0)</f>
        <v>964051</v>
      </c>
    </row>
    <row r="2093">
      <c r="A2093" s="2">
        <f>IFERROR(__xludf.DUMMYFUNCTION("""COMPUTED_VALUE"""),44306.64583333333)</f>
        <v>44306.64583</v>
      </c>
      <c r="B2093" s="1">
        <f>IFERROR(__xludf.DUMMYFUNCTION("""COMPUTED_VALUE"""),5550.0)</f>
        <v>5550</v>
      </c>
      <c r="C2093" s="1">
        <f>IFERROR(__xludf.DUMMYFUNCTION("""COMPUTED_VALUE"""),5670.0)</f>
        <v>5670</v>
      </c>
      <c r="D2093" s="1">
        <f>IFERROR(__xludf.DUMMYFUNCTION("""COMPUTED_VALUE"""),5450.0)</f>
        <v>5450</v>
      </c>
      <c r="E2093" s="1">
        <f>IFERROR(__xludf.DUMMYFUNCTION("""COMPUTED_VALUE"""),5600.0)</f>
        <v>5600</v>
      </c>
      <c r="F2093" s="1">
        <f>IFERROR(__xludf.DUMMYFUNCTION("""COMPUTED_VALUE"""),502941.0)</f>
        <v>502941</v>
      </c>
    </row>
    <row r="2094">
      <c r="A2094" s="2">
        <f>IFERROR(__xludf.DUMMYFUNCTION("""COMPUTED_VALUE"""),44307.64583333333)</f>
        <v>44307.64583</v>
      </c>
      <c r="B2094" s="1">
        <f>IFERROR(__xludf.DUMMYFUNCTION("""COMPUTED_VALUE"""),5670.0)</f>
        <v>5670</v>
      </c>
      <c r="C2094" s="1">
        <f>IFERROR(__xludf.DUMMYFUNCTION("""COMPUTED_VALUE"""),5680.0)</f>
        <v>5680</v>
      </c>
      <c r="D2094" s="1">
        <f>IFERROR(__xludf.DUMMYFUNCTION("""COMPUTED_VALUE"""),5350.0)</f>
        <v>5350</v>
      </c>
      <c r="E2094" s="1">
        <f>IFERROR(__xludf.DUMMYFUNCTION("""COMPUTED_VALUE"""),5530.0)</f>
        <v>5530</v>
      </c>
      <c r="F2094" s="1">
        <f>IFERROR(__xludf.DUMMYFUNCTION("""COMPUTED_VALUE"""),441149.0)</f>
        <v>441149</v>
      </c>
    </row>
    <row r="2095">
      <c r="A2095" s="2">
        <f>IFERROR(__xludf.DUMMYFUNCTION("""COMPUTED_VALUE"""),44308.64583333333)</f>
        <v>44308.64583</v>
      </c>
      <c r="B2095" s="1">
        <f>IFERROR(__xludf.DUMMYFUNCTION("""COMPUTED_VALUE"""),5600.0)</f>
        <v>5600</v>
      </c>
      <c r="C2095" s="1">
        <f>IFERROR(__xludf.DUMMYFUNCTION("""COMPUTED_VALUE"""),5600.0)</f>
        <v>5600</v>
      </c>
      <c r="D2095" s="1">
        <f>IFERROR(__xludf.DUMMYFUNCTION("""COMPUTED_VALUE"""),5400.0)</f>
        <v>5400</v>
      </c>
      <c r="E2095" s="1">
        <f>IFERROR(__xludf.DUMMYFUNCTION("""COMPUTED_VALUE"""),5410.0)</f>
        <v>5410</v>
      </c>
      <c r="F2095" s="1">
        <f>IFERROR(__xludf.DUMMYFUNCTION("""COMPUTED_VALUE"""),282303.0)</f>
        <v>282303</v>
      </c>
    </row>
    <row r="2096">
      <c r="A2096" s="2">
        <f>IFERROR(__xludf.DUMMYFUNCTION("""COMPUTED_VALUE"""),44309.64583333333)</f>
        <v>44309.64583</v>
      </c>
      <c r="B2096" s="1">
        <f>IFERROR(__xludf.DUMMYFUNCTION("""COMPUTED_VALUE"""),5370.0)</f>
        <v>5370</v>
      </c>
      <c r="C2096" s="1">
        <f>IFERROR(__xludf.DUMMYFUNCTION("""COMPUTED_VALUE"""),5560.0)</f>
        <v>5560</v>
      </c>
      <c r="D2096" s="1">
        <f>IFERROR(__xludf.DUMMYFUNCTION("""COMPUTED_VALUE"""),5340.0)</f>
        <v>5340</v>
      </c>
      <c r="E2096" s="1">
        <f>IFERROR(__xludf.DUMMYFUNCTION("""COMPUTED_VALUE"""),5540.0)</f>
        <v>5540</v>
      </c>
      <c r="F2096" s="1">
        <f>IFERROR(__xludf.DUMMYFUNCTION("""COMPUTED_VALUE"""),419946.0)</f>
        <v>419946</v>
      </c>
    </row>
    <row r="2097">
      <c r="A2097" s="2">
        <f>IFERROR(__xludf.DUMMYFUNCTION("""COMPUTED_VALUE"""),44312.64583333333)</f>
        <v>44312.64583</v>
      </c>
      <c r="B2097" s="1">
        <f>IFERROR(__xludf.DUMMYFUNCTION("""COMPUTED_VALUE"""),5590.0)</f>
        <v>5590</v>
      </c>
      <c r="C2097" s="1">
        <f>IFERROR(__xludf.DUMMYFUNCTION("""COMPUTED_VALUE"""),5760.0)</f>
        <v>5760</v>
      </c>
      <c r="D2097" s="1">
        <f>IFERROR(__xludf.DUMMYFUNCTION("""COMPUTED_VALUE"""),5520.0)</f>
        <v>5520</v>
      </c>
      <c r="E2097" s="1">
        <f>IFERROR(__xludf.DUMMYFUNCTION("""COMPUTED_VALUE"""),5750.0)</f>
        <v>5750</v>
      </c>
      <c r="F2097" s="1">
        <f>IFERROR(__xludf.DUMMYFUNCTION("""COMPUTED_VALUE"""),630586.0)</f>
        <v>630586</v>
      </c>
    </row>
    <row r="2098">
      <c r="A2098" s="2">
        <f>IFERROR(__xludf.DUMMYFUNCTION("""COMPUTED_VALUE"""),44313.64583333333)</f>
        <v>44313.64583</v>
      </c>
      <c r="B2098" s="1">
        <f>IFERROR(__xludf.DUMMYFUNCTION("""COMPUTED_VALUE"""),5800.0)</f>
        <v>5800</v>
      </c>
      <c r="C2098" s="1">
        <f>IFERROR(__xludf.DUMMYFUNCTION("""COMPUTED_VALUE"""),6000.0)</f>
        <v>6000</v>
      </c>
      <c r="D2098" s="1">
        <f>IFERROR(__xludf.DUMMYFUNCTION("""COMPUTED_VALUE"""),5660.0)</f>
        <v>5660</v>
      </c>
      <c r="E2098" s="1">
        <f>IFERROR(__xludf.DUMMYFUNCTION("""COMPUTED_VALUE"""),5820.0)</f>
        <v>5820</v>
      </c>
      <c r="F2098" s="1">
        <f>IFERROR(__xludf.DUMMYFUNCTION("""COMPUTED_VALUE"""),999758.0)</f>
        <v>999758</v>
      </c>
    </row>
    <row r="2099">
      <c r="A2099" s="2">
        <f>IFERROR(__xludf.DUMMYFUNCTION("""COMPUTED_VALUE"""),44314.64583333333)</f>
        <v>44314.64583</v>
      </c>
      <c r="B2099" s="1">
        <f>IFERROR(__xludf.DUMMYFUNCTION("""COMPUTED_VALUE"""),5720.0)</f>
        <v>5720</v>
      </c>
      <c r="C2099" s="1">
        <f>IFERROR(__xludf.DUMMYFUNCTION("""COMPUTED_VALUE"""),5780.0)</f>
        <v>5780</v>
      </c>
      <c r="D2099" s="1">
        <f>IFERROR(__xludf.DUMMYFUNCTION("""COMPUTED_VALUE"""),5590.0)</f>
        <v>5590</v>
      </c>
      <c r="E2099" s="1">
        <f>IFERROR(__xludf.DUMMYFUNCTION("""COMPUTED_VALUE"""),5600.0)</f>
        <v>5600</v>
      </c>
      <c r="F2099" s="1">
        <f>IFERROR(__xludf.DUMMYFUNCTION("""COMPUTED_VALUE"""),255813.0)</f>
        <v>255813</v>
      </c>
    </row>
    <row r="2100">
      <c r="A2100" s="2">
        <f>IFERROR(__xludf.DUMMYFUNCTION("""COMPUTED_VALUE"""),44315.64583333333)</f>
        <v>44315.64583</v>
      </c>
      <c r="B2100" s="1">
        <f>IFERROR(__xludf.DUMMYFUNCTION("""COMPUTED_VALUE"""),5600.0)</f>
        <v>5600</v>
      </c>
      <c r="C2100" s="1">
        <f>IFERROR(__xludf.DUMMYFUNCTION("""COMPUTED_VALUE"""),5700.0)</f>
        <v>5700</v>
      </c>
      <c r="D2100" s="1">
        <f>IFERROR(__xludf.DUMMYFUNCTION("""COMPUTED_VALUE"""),5390.0)</f>
        <v>5390</v>
      </c>
      <c r="E2100" s="1">
        <f>IFERROR(__xludf.DUMMYFUNCTION("""COMPUTED_VALUE"""),5540.0)</f>
        <v>5540</v>
      </c>
      <c r="F2100" s="1">
        <f>IFERROR(__xludf.DUMMYFUNCTION("""COMPUTED_VALUE"""),194804.0)</f>
        <v>194804</v>
      </c>
    </row>
    <row r="2101">
      <c r="A2101" s="2">
        <f>IFERROR(__xludf.DUMMYFUNCTION("""COMPUTED_VALUE"""),44316.64583333333)</f>
        <v>44316.64583</v>
      </c>
      <c r="B2101" s="1">
        <f>IFERROR(__xludf.DUMMYFUNCTION("""COMPUTED_VALUE"""),5610.0)</f>
        <v>5610</v>
      </c>
      <c r="C2101" s="1">
        <f>IFERROR(__xludf.DUMMYFUNCTION("""COMPUTED_VALUE"""),5720.0)</f>
        <v>5720</v>
      </c>
      <c r="D2101" s="1">
        <f>IFERROR(__xludf.DUMMYFUNCTION("""COMPUTED_VALUE"""),5460.0)</f>
        <v>5460</v>
      </c>
      <c r="E2101" s="1">
        <f>IFERROR(__xludf.DUMMYFUNCTION("""COMPUTED_VALUE"""),5640.0)</f>
        <v>5640</v>
      </c>
      <c r="F2101" s="1">
        <f>IFERROR(__xludf.DUMMYFUNCTION("""COMPUTED_VALUE"""),264961.0)</f>
        <v>264961</v>
      </c>
    </row>
    <row r="2102">
      <c r="A2102" s="2">
        <f>IFERROR(__xludf.DUMMYFUNCTION("""COMPUTED_VALUE"""),44319.64583333333)</f>
        <v>44319.64583</v>
      </c>
      <c r="B2102" s="1">
        <f>IFERROR(__xludf.DUMMYFUNCTION("""COMPUTED_VALUE"""),5620.0)</f>
        <v>5620</v>
      </c>
      <c r="C2102" s="1">
        <f>IFERROR(__xludf.DUMMYFUNCTION("""COMPUTED_VALUE"""),5620.0)</f>
        <v>5620</v>
      </c>
      <c r="D2102" s="1">
        <f>IFERROR(__xludf.DUMMYFUNCTION("""COMPUTED_VALUE"""),5360.0)</f>
        <v>5360</v>
      </c>
      <c r="E2102" s="1">
        <f>IFERROR(__xludf.DUMMYFUNCTION("""COMPUTED_VALUE"""),5360.0)</f>
        <v>5360</v>
      </c>
      <c r="F2102" s="1">
        <f>IFERROR(__xludf.DUMMYFUNCTION("""COMPUTED_VALUE"""),277974.0)</f>
        <v>277974</v>
      </c>
    </row>
    <row r="2103">
      <c r="A2103" s="2">
        <f>IFERROR(__xludf.DUMMYFUNCTION("""COMPUTED_VALUE"""),44320.64583333333)</f>
        <v>44320.64583</v>
      </c>
      <c r="B2103" s="1">
        <f>IFERROR(__xludf.DUMMYFUNCTION("""COMPUTED_VALUE"""),5360.0)</f>
        <v>5360</v>
      </c>
      <c r="C2103" s="1">
        <f>IFERROR(__xludf.DUMMYFUNCTION("""COMPUTED_VALUE"""),5750.0)</f>
        <v>5750</v>
      </c>
      <c r="D2103" s="1">
        <f>IFERROR(__xludf.DUMMYFUNCTION("""COMPUTED_VALUE"""),5130.0)</f>
        <v>5130</v>
      </c>
      <c r="E2103" s="1">
        <f>IFERROR(__xludf.DUMMYFUNCTION("""COMPUTED_VALUE"""),5570.0)</f>
        <v>5570</v>
      </c>
      <c r="F2103" s="1">
        <f>IFERROR(__xludf.DUMMYFUNCTION("""COMPUTED_VALUE"""),421902.0)</f>
        <v>421902</v>
      </c>
    </row>
    <row r="2104">
      <c r="A2104" s="2">
        <f>IFERROR(__xludf.DUMMYFUNCTION("""COMPUTED_VALUE"""),44322.64583333333)</f>
        <v>44322.64583</v>
      </c>
      <c r="B2104" s="1">
        <f>IFERROR(__xludf.DUMMYFUNCTION("""COMPUTED_VALUE"""),5560.0)</f>
        <v>5560</v>
      </c>
      <c r="C2104" s="1">
        <f>IFERROR(__xludf.DUMMYFUNCTION("""COMPUTED_VALUE"""),5780.0)</f>
        <v>5780</v>
      </c>
      <c r="D2104" s="1">
        <f>IFERROR(__xludf.DUMMYFUNCTION("""COMPUTED_VALUE"""),5410.0)</f>
        <v>5410</v>
      </c>
      <c r="E2104" s="1">
        <f>IFERROR(__xludf.DUMMYFUNCTION("""COMPUTED_VALUE"""),5630.0)</f>
        <v>5630</v>
      </c>
      <c r="F2104" s="1">
        <f>IFERROR(__xludf.DUMMYFUNCTION("""COMPUTED_VALUE"""),275015.0)</f>
        <v>275015</v>
      </c>
    </row>
    <row r="2105">
      <c r="A2105" s="2">
        <f>IFERROR(__xludf.DUMMYFUNCTION("""COMPUTED_VALUE"""),44323.64583333333)</f>
        <v>44323.64583</v>
      </c>
      <c r="B2105" s="1">
        <f>IFERROR(__xludf.DUMMYFUNCTION("""COMPUTED_VALUE"""),5800.0)</f>
        <v>5800</v>
      </c>
      <c r="C2105" s="1">
        <f>IFERROR(__xludf.DUMMYFUNCTION("""COMPUTED_VALUE"""),6130.0)</f>
        <v>6130</v>
      </c>
      <c r="D2105" s="1">
        <f>IFERROR(__xludf.DUMMYFUNCTION("""COMPUTED_VALUE"""),5710.0)</f>
        <v>5710</v>
      </c>
      <c r="E2105" s="1">
        <f>IFERROR(__xludf.DUMMYFUNCTION("""COMPUTED_VALUE"""),5940.0)</f>
        <v>5940</v>
      </c>
      <c r="F2105" s="1">
        <f>IFERROR(__xludf.DUMMYFUNCTION("""COMPUTED_VALUE"""),1282466.0)</f>
        <v>1282466</v>
      </c>
    </row>
    <row r="2106">
      <c r="A2106" s="2">
        <f>IFERROR(__xludf.DUMMYFUNCTION("""COMPUTED_VALUE"""),44326.64583333333)</f>
        <v>44326.64583</v>
      </c>
      <c r="B2106" s="1">
        <f>IFERROR(__xludf.DUMMYFUNCTION("""COMPUTED_VALUE"""),6030.0)</f>
        <v>6030</v>
      </c>
      <c r="C2106" s="1">
        <f>IFERROR(__xludf.DUMMYFUNCTION("""COMPUTED_VALUE"""),6420.0)</f>
        <v>6420</v>
      </c>
      <c r="D2106" s="1">
        <f>IFERROR(__xludf.DUMMYFUNCTION("""COMPUTED_VALUE"""),5940.0)</f>
        <v>5940</v>
      </c>
      <c r="E2106" s="1">
        <f>IFERROR(__xludf.DUMMYFUNCTION("""COMPUTED_VALUE"""),6230.0)</f>
        <v>6230</v>
      </c>
      <c r="F2106" s="1">
        <f>IFERROR(__xludf.DUMMYFUNCTION("""COMPUTED_VALUE"""),1235742.0)</f>
        <v>1235742</v>
      </c>
    </row>
    <row r="2107">
      <c r="A2107" s="2">
        <f>IFERROR(__xludf.DUMMYFUNCTION("""COMPUTED_VALUE"""),44327.64583333333)</f>
        <v>44327.64583</v>
      </c>
      <c r="B2107" s="1">
        <f>IFERROR(__xludf.DUMMYFUNCTION("""COMPUTED_VALUE"""),6300.0)</f>
        <v>6300</v>
      </c>
      <c r="C2107" s="1">
        <f>IFERROR(__xludf.DUMMYFUNCTION("""COMPUTED_VALUE"""),6720.0)</f>
        <v>6720</v>
      </c>
      <c r="D2107" s="1">
        <f>IFERROR(__xludf.DUMMYFUNCTION("""COMPUTED_VALUE"""),6140.0)</f>
        <v>6140</v>
      </c>
      <c r="E2107" s="1">
        <f>IFERROR(__xludf.DUMMYFUNCTION("""COMPUTED_VALUE"""),6330.0)</f>
        <v>6330</v>
      </c>
      <c r="F2107" s="1">
        <f>IFERROR(__xludf.DUMMYFUNCTION("""COMPUTED_VALUE"""),1315067.0)</f>
        <v>1315067</v>
      </c>
    </row>
    <row r="2108">
      <c r="A2108" s="2">
        <f>IFERROR(__xludf.DUMMYFUNCTION("""COMPUTED_VALUE"""),44328.64583333333)</f>
        <v>44328.64583</v>
      </c>
      <c r="B2108" s="1">
        <f>IFERROR(__xludf.DUMMYFUNCTION("""COMPUTED_VALUE"""),6280.0)</f>
        <v>6280</v>
      </c>
      <c r="C2108" s="1">
        <f>IFERROR(__xludf.DUMMYFUNCTION("""COMPUTED_VALUE"""),6400.0)</f>
        <v>6400</v>
      </c>
      <c r="D2108" s="1">
        <f>IFERROR(__xludf.DUMMYFUNCTION("""COMPUTED_VALUE"""),6050.0)</f>
        <v>6050</v>
      </c>
      <c r="E2108" s="1">
        <f>IFERROR(__xludf.DUMMYFUNCTION("""COMPUTED_VALUE"""),6180.0)</f>
        <v>6180</v>
      </c>
      <c r="F2108" s="1">
        <f>IFERROR(__xludf.DUMMYFUNCTION("""COMPUTED_VALUE"""),423357.0)</f>
        <v>423357</v>
      </c>
    </row>
    <row r="2109">
      <c r="A2109" s="2">
        <f>IFERROR(__xludf.DUMMYFUNCTION("""COMPUTED_VALUE"""),44329.64583333333)</f>
        <v>44329.64583</v>
      </c>
      <c r="B2109" s="1">
        <f>IFERROR(__xludf.DUMMYFUNCTION("""COMPUTED_VALUE"""),6030.0)</f>
        <v>6030</v>
      </c>
      <c r="C2109" s="1">
        <f>IFERROR(__xludf.DUMMYFUNCTION("""COMPUTED_VALUE"""),6400.0)</f>
        <v>6400</v>
      </c>
      <c r="D2109" s="1">
        <f>IFERROR(__xludf.DUMMYFUNCTION("""COMPUTED_VALUE"""),5920.0)</f>
        <v>5920</v>
      </c>
      <c r="E2109" s="1">
        <f>IFERROR(__xludf.DUMMYFUNCTION("""COMPUTED_VALUE"""),6230.0)</f>
        <v>6230</v>
      </c>
      <c r="F2109" s="1">
        <f>IFERROR(__xludf.DUMMYFUNCTION("""COMPUTED_VALUE"""),339616.0)</f>
        <v>339616</v>
      </c>
    </row>
    <row r="2110">
      <c r="A2110" s="2">
        <f>IFERROR(__xludf.DUMMYFUNCTION("""COMPUTED_VALUE"""),44330.64583333333)</f>
        <v>44330.64583</v>
      </c>
      <c r="B2110" s="1">
        <f>IFERROR(__xludf.DUMMYFUNCTION("""COMPUTED_VALUE"""),6380.0)</f>
        <v>6380</v>
      </c>
      <c r="C2110" s="1">
        <f>IFERROR(__xludf.DUMMYFUNCTION("""COMPUTED_VALUE"""),6420.0)</f>
        <v>6420</v>
      </c>
      <c r="D2110" s="1">
        <f>IFERROR(__xludf.DUMMYFUNCTION("""COMPUTED_VALUE"""),6250.0)</f>
        <v>6250</v>
      </c>
      <c r="E2110" s="1">
        <f>IFERROR(__xludf.DUMMYFUNCTION("""COMPUTED_VALUE"""),6300.0)</f>
        <v>6300</v>
      </c>
      <c r="F2110" s="1">
        <f>IFERROR(__xludf.DUMMYFUNCTION("""COMPUTED_VALUE"""),265542.0)</f>
        <v>265542</v>
      </c>
    </row>
    <row r="2111">
      <c r="A2111" s="2">
        <f>IFERROR(__xludf.DUMMYFUNCTION("""COMPUTED_VALUE"""),44333.64583333333)</f>
        <v>44333.64583</v>
      </c>
      <c r="B2111" s="1">
        <f>IFERROR(__xludf.DUMMYFUNCTION("""COMPUTED_VALUE"""),6550.0)</f>
        <v>6550</v>
      </c>
      <c r="C2111" s="1">
        <f>IFERROR(__xludf.DUMMYFUNCTION("""COMPUTED_VALUE"""),6550.0)</f>
        <v>6550</v>
      </c>
      <c r="D2111" s="1">
        <f>IFERROR(__xludf.DUMMYFUNCTION("""COMPUTED_VALUE"""),6150.0)</f>
        <v>6150</v>
      </c>
      <c r="E2111" s="1">
        <f>IFERROR(__xludf.DUMMYFUNCTION("""COMPUTED_VALUE"""),6330.0)</f>
        <v>6330</v>
      </c>
      <c r="F2111" s="1">
        <f>IFERROR(__xludf.DUMMYFUNCTION("""COMPUTED_VALUE"""),300607.0)</f>
        <v>300607</v>
      </c>
    </row>
    <row r="2112">
      <c r="A2112" s="2">
        <f>IFERROR(__xludf.DUMMYFUNCTION("""COMPUTED_VALUE"""),44334.64583333333)</f>
        <v>44334.64583</v>
      </c>
      <c r="B2112" s="1">
        <f>IFERROR(__xludf.DUMMYFUNCTION("""COMPUTED_VALUE"""),6300.0)</f>
        <v>6300</v>
      </c>
      <c r="C2112" s="1">
        <f>IFERROR(__xludf.DUMMYFUNCTION("""COMPUTED_VALUE"""),6320.0)</f>
        <v>6320</v>
      </c>
      <c r="D2112" s="1">
        <f>IFERROR(__xludf.DUMMYFUNCTION("""COMPUTED_VALUE"""),6030.0)</f>
        <v>6030</v>
      </c>
      <c r="E2112" s="1">
        <f>IFERROR(__xludf.DUMMYFUNCTION("""COMPUTED_VALUE"""),6200.0)</f>
        <v>6200</v>
      </c>
      <c r="F2112" s="1">
        <f>IFERROR(__xludf.DUMMYFUNCTION("""COMPUTED_VALUE"""),255236.0)</f>
        <v>255236</v>
      </c>
    </row>
    <row r="2113">
      <c r="A2113" s="2">
        <f>IFERROR(__xludf.DUMMYFUNCTION("""COMPUTED_VALUE"""),44336.64583333333)</f>
        <v>44336.64583</v>
      </c>
      <c r="B2113" s="1">
        <f>IFERROR(__xludf.DUMMYFUNCTION("""COMPUTED_VALUE"""),6200.0)</f>
        <v>6200</v>
      </c>
      <c r="C2113" s="1">
        <f>IFERROR(__xludf.DUMMYFUNCTION("""COMPUTED_VALUE"""),6320.0)</f>
        <v>6320</v>
      </c>
      <c r="D2113" s="1">
        <f>IFERROR(__xludf.DUMMYFUNCTION("""COMPUTED_VALUE"""),6060.0)</f>
        <v>6060</v>
      </c>
      <c r="E2113" s="1">
        <f>IFERROR(__xludf.DUMMYFUNCTION("""COMPUTED_VALUE"""),6190.0)</f>
        <v>6190</v>
      </c>
      <c r="F2113" s="1">
        <f>IFERROR(__xludf.DUMMYFUNCTION("""COMPUTED_VALUE"""),199372.0)</f>
        <v>199372</v>
      </c>
    </row>
    <row r="2114">
      <c r="A2114" s="2">
        <f>IFERROR(__xludf.DUMMYFUNCTION("""COMPUTED_VALUE"""),44337.64583333333)</f>
        <v>44337.64583</v>
      </c>
      <c r="B2114" s="1">
        <f>IFERROR(__xludf.DUMMYFUNCTION("""COMPUTED_VALUE"""),6190.0)</f>
        <v>6190</v>
      </c>
      <c r="C2114" s="1">
        <f>IFERROR(__xludf.DUMMYFUNCTION("""COMPUTED_VALUE"""),6280.0)</f>
        <v>6280</v>
      </c>
      <c r="D2114" s="1">
        <f>IFERROR(__xludf.DUMMYFUNCTION("""COMPUTED_VALUE"""),6040.0)</f>
        <v>6040</v>
      </c>
      <c r="E2114" s="1">
        <f>IFERROR(__xludf.DUMMYFUNCTION("""COMPUTED_VALUE"""),6040.0)</f>
        <v>6040</v>
      </c>
      <c r="F2114" s="1">
        <f>IFERROR(__xludf.DUMMYFUNCTION("""COMPUTED_VALUE"""),153196.0)</f>
        <v>153196</v>
      </c>
    </row>
    <row r="2115">
      <c r="A2115" s="2">
        <f>IFERROR(__xludf.DUMMYFUNCTION("""COMPUTED_VALUE"""),44340.64583333333)</f>
        <v>44340.64583</v>
      </c>
      <c r="B2115" s="1">
        <f>IFERROR(__xludf.DUMMYFUNCTION("""COMPUTED_VALUE"""),6010.0)</f>
        <v>6010</v>
      </c>
      <c r="C2115" s="1">
        <f>IFERROR(__xludf.DUMMYFUNCTION("""COMPUTED_VALUE"""),6160.0)</f>
        <v>6160</v>
      </c>
      <c r="D2115" s="1">
        <f>IFERROR(__xludf.DUMMYFUNCTION("""COMPUTED_VALUE"""),5680.0)</f>
        <v>5680</v>
      </c>
      <c r="E2115" s="1">
        <f>IFERROR(__xludf.DUMMYFUNCTION("""COMPUTED_VALUE"""),6110.0)</f>
        <v>6110</v>
      </c>
      <c r="F2115" s="1">
        <f>IFERROR(__xludf.DUMMYFUNCTION("""COMPUTED_VALUE"""),383656.0)</f>
        <v>383656</v>
      </c>
    </row>
    <row r="2116">
      <c r="A2116" s="2">
        <f>IFERROR(__xludf.DUMMYFUNCTION("""COMPUTED_VALUE"""),44341.64583333333)</f>
        <v>44341.64583</v>
      </c>
      <c r="B2116" s="1">
        <f>IFERROR(__xludf.DUMMYFUNCTION("""COMPUTED_VALUE"""),6110.0)</f>
        <v>6110</v>
      </c>
      <c r="C2116" s="1">
        <f>IFERROR(__xludf.DUMMYFUNCTION("""COMPUTED_VALUE"""),6300.0)</f>
        <v>6300</v>
      </c>
      <c r="D2116" s="1">
        <f>IFERROR(__xludf.DUMMYFUNCTION("""COMPUTED_VALUE"""),6110.0)</f>
        <v>6110</v>
      </c>
      <c r="E2116" s="1">
        <f>IFERROR(__xludf.DUMMYFUNCTION("""COMPUTED_VALUE"""),6240.0)</f>
        <v>6240</v>
      </c>
      <c r="F2116" s="1">
        <f>IFERROR(__xludf.DUMMYFUNCTION("""COMPUTED_VALUE"""),241856.0)</f>
        <v>241856</v>
      </c>
    </row>
    <row r="2117">
      <c r="A2117" s="2">
        <f>IFERROR(__xludf.DUMMYFUNCTION("""COMPUTED_VALUE"""),44342.64583333333)</f>
        <v>44342.64583</v>
      </c>
      <c r="B2117" s="1">
        <f>IFERROR(__xludf.DUMMYFUNCTION("""COMPUTED_VALUE"""),6240.0)</f>
        <v>6240</v>
      </c>
      <c r="C2117" s="1">
        <f>IFERROR(__xludf.DUMMYFUNCTION("""COMPUTED_VALUE"""),6240.0)</f>
        <v>6240</v>
      </c>
      <c r="D2117" s="1">
        <f>IFERROR(__xludf.DUMMYFUNCTION("""COMPUTED_VALUE"""),6080.0)</f>
        <v>6080</v>
      </c>
      <c r="E2117" s="1">
        <f>IFERROR(__xludf.DUMMYFUNCTION("""COMPUTED_VALUE"""),6130.0)</f>
        <v>6130</v>
      </c>
      <c r="F2117" s="1">
        <f>IFERROR(__xludf.DUMMYFUNCTION("""COMPUTED_VALUE"""),137594.0)</f>
        <v>137594</v>
      </c>
    </row>
    <row r="2118">
      <c r="A2118" s="2">
        <f>IFERROR(__xludf.DUMMYFUNCTION("""COMPUTED_VALUE"""),44343.64583333333)</f>
        <v>44343.64583</v>
      </c>
      <c r="B2118" s="1">
        <f>IFERROR(__xludf.DUMMYFUNCTION("""COMPUTED_VALUE"""),6110.0)</f>
        <v>6110</v>
      </c>
      <c r="C2118" s="1">
        <f>IFERROR(__xludf.DUMMYFUNCTION("""COMPUTED_VALUE"""),6120.0)</f>
        <v>6120</v>
      </c>
      <c r="D2118" s="1">
        <f>IFERROR(__xludf.DUMMYFUNCTION("""COMPUTED_VALUE"""),5850.0)</f>
        <v>5850</v>
      </c>
      <c r="E2118" s="1">
        <f>IFERROR(__xludf.DUMMYFUNCTION("""COMPUTED_VALUE"""),5950.0)</f>
        <v>5950</v>
      </c>
      <c r="F2118" s="1">
        <f>IFERROR(__xludf.DUMMYFUNCTION("""COMPUTED_VALUE"""),258354.0)</f>
        <v>258354</v>
      </c>
    </row>
    <row r="2119">
      <c r="A2119" s="2">
        <f>IFERROR(__xludf.DUMMYFUNCTION("""COMPUTED_VALUE"""),44344.64583333333)</f>
        <v>44344.64583</v>
      </c>
      <c r="B2119" s="1">
        <f>IFERROR(__xludf.DUMMYFUNCTION("""COMPUTED_VALUE"""),5950.0)</f>
        <v>5950</v>
      </c>
      <c r="C2119" s="1">
        <f>IFERROR(__xludf.DUMMYFUNCTION("""COMPUTED_VALUE"""),6000.0)</f>
        <v>6000</v>
      </c>
      <c r="D2119" s="1">
        <f>IFERROR(__xludf.DUMMYFUNCTION("""COMPUTED_VALUE"""),5740.0)</f>
        <v>5740</v>
      </c>
      <c r="E2119" s="1">
        <f>IFERROR(__xludf.DUMMYFUNCTION("""COMPUTED_VALUE"""),5900.0)</f>
        <v>5900</v>
      </c>
      <c r="F2119" s="1">
        <f>IFERROR(__xludf.DUMMYFUNCTION("""COMPUTED_VALUE"""),161321.0)</f>
        <v>161321</v>
      </c>
    </row>
    <row r="2120">
      <c r="A2120" s="2">
        <f>IFERROR(__xludf.DUMMYFUNCTION("""COMPUTED_VALUE"""),44347.64583333333)</f>
        <v>44347.64583</v>
      </c>
      <c r="B2120" s="1">
        <f>IFERROR(__xludf.DUMMYFUNCTION("""COMPUTED_VALUE"""),5900.0)</f>
        <v>5900</v>
      </c>
      <c r="C2120" s="1">
        <f>IFERROR(__xludf.DUMMYFUNCTION("""COMPUTED_VALUE"""),5950.0)</f>
        <v>5950</v>
      </c>
      <c r="D2120" s="1">
        <f>IFERROR(__xludf.DUMMYFUNCTION("""COMPUTED_VALUE"""),5660.0)</f>
        <v>5660</v>
      </c>
      <c r="E2120" s="1">
        <f>IFERROR(__xludf.DUMMYFUNCTION("""COMPUTED_VALUE"""),5740.0)</f>
        <v>5740</v>
      </c>
      <c r="F2120" s="1">
        <f>IFERROR(__xludf.DUMMYFUNCTION("""COMPUTED_VALUE"""),152459.0)</f>
        <v>152459</v>
      </c>
    </row>
    <row r="2121">
      <c r="A2121" s="2">
        <f>IFERROR(__xludf.DUMMYFUNCTION("""COMPUTED_VALUE"""),44348.64583333333)</f>
        <v>44348.64583</v>
      </c>
      <c r="B2121" s="1">
        <f>IFERROR(__xludf.DUMMYFUNCTION("""COMPUTED_VALUE"""),5750.0)</f>
        <v>5750</v>
      </c>
      <c r="C2121" s="1">
        <f>IFERROR(__xludf.DUMMYFUNCTION("""COMPUTED_VALUE"""),5800.0)</f>
        <v>5800</v>
      </c>
      <c r="D2121" s="1">
        <f>IFERROR(__xludf.DUMMYFUNCTION("""COMPUTED_VALUE"""),5560.0)</f>
        <v>5560</v>
      </c>
      <c r="E2121" s="1">
        <f>IFERROR(__xludf.DUMMYFUNCTION("""COMPUTED_VALUE"""),5670.0)</f>
        <v>5670</v>
      </c>
      <c r="F2121" s="1">
        <f>IFERROR(__xludf.DUMMYFUNCTION("""COMPUTED_VALUE"""),157267.0)</f>
        <v>157267</v>
      </c>
    </row>
    <row r="2122">
      <c r="A2122" s="2">
        <f>IFERROR(__xludf.DUMMYFUNCTION("""COMPUTED_VALUE"""),44349.64583333333)</f>
        <v>44349.64583</v>
      </c>
      <c r="B2122" s="1">
        <f>IFERROR(__xludf.DUMMYFUNCTION("""COMPUTED_VALUE"""),5670.0)</f>
        <v>5670</v>
      </c>
      <c r="C2122" s="1">
        <f>IFERROR(__xludf.DUMMYFUNCTION("""COMPUTED_VALUE"""),5750.0)</f>
        <v>5750</v>
      </c>
      <c r="D2122" s="1">
        <f>IFERROR(__xludf.DUMMYFUNCTION("""COMPUTED_VALUE"""),5600.0)</f>
        <v>5600</v>
      </c>
      <c r="E2122" s="1">
        <f>IFERROR(__xludf.DUMMYFUNCTION("""COMPUTED_VALUE"""),5750.0)</f>
        <v>5750</v>
      </c>
      <c r="F2122" s="1">
        <f>IFERROR(__xludf.DUMMYFUNCTION("""COMPUTED_VALUE"""),81605.0)</f>
        <v>81605</v>
      </c>
    </row>
    <row r="2123">
      <c r="A2123" s="2">
        <f>IFERROR(__xludf.DUMMYFUNCTION("""COMPUTED_VALUE"""),44350.64583333333)</f>
        <v>44350.64583</v>
      </c>
      <c r="B2123" s="1">
        <f>IFERROR(__xludf.DUMMYFUNCTION("""COMPUTED_VALUE"""),5700.0)</f>
        <v>5700</v>
      </c>
      <c r="C2123" s="1">
        <f>IFERROR(__xludf.DUMMYFUNCTION("""COMPUTED_VALUE"""),5870.0)</f>
        <v>5870</v>
      </c>
      <c r="D2123" s="1">
        <f>IFERROR(__xludf.DUMMYFUNCTION("""COMPUTED_VALUE"""),5670.0)</f>
        <v>5670</v>
      </c>
      <c r="E2123" s="1">
        <f>IFERROR(__xludf.DUMMYFUNCTION("""COMPUTED_VALUE"""),5870.0)</f>
        <v>5870</v>
      </c>
      <c r="F2123" s="1">
        <f>IFERROR(__xludf.DUMMYFUNCTION("""COMPUTED_VALUE"""),87252.0)</f>
        <v>87252</v>
      </c>
    </row>
    <row r="2124">
      <c r="A2124" s="2">
        <f>IFERROR(__xludf.DUMMYFUNCTION("""COMPUTED_VALUE"""),44351.64583333333)</f>
        <v>44351.64583</v>
      </c>
      <c r="B2124" s="1">
        <f>IFERROR(__xludf.DUMMYFUNCTION("""COMPUTED_VALUE"""),5900.0)</f>
        <v>5900</v>
      </c>
      <c r="C2124" s="1">
        <f>IFERROR(__xludf.DUMMYFUNCTION("""COMPUTED_VALUE"""),5910.0)</f>
        <v>5910</v>
      </c>
      <c r="D2124" s="1">
        <f>IFERROR(__xludf.DUMMYFUNCTION("""COMPUTED_VALUE"""),5770.0)</f>
        <v>5770</v>
      </c>
      <c r="E2124" s="1">
        <f>IFERROR(__xludf.DUMMYFUNCTION("""COMPUTED_VALUE"""),5820.0)</f>
        <v>5820</v>
      </c>
      <c r="F2124" s="1">
        <f>IFERROR(__xludf.DUMMYFUNCTION("""COMPUTED_VALUE"""),74394.0)</f>
        <v>74394</v>
      </c>
    </row>
    <row r="2125">
      <c r="A2125" s="2">
        <f>IFERROR(__xludf.DUMMYFUNCTION("""COMPUTED_VALUE"""),44354.64583333333)</f>
        <v>44354.64583</v>
      </c>
      <c r="B2125" s="1">
        <f>IFERROR(__xludf.DUMMYFUNCTION("""COMPUTED_VALUE"""),5850.0)</f>
        <v>5850</v>
      </c>
      <c r="C2125" s="1">
        <f>IFERROR(__xludf.DUMMYFUNCTION("""COMPUTED_VALUE"""),5850.0)</f>
        <v>5850</v>
      </c>
      <c r="D2125" s="1">
        <f>IFERROR(__xludf.DUMMYFUNCTION("""COMPUTED_VALUE"""),5670.0)</f>
        <v>5670</v>
      </c>
      <c r="E2125" s="1">
        <f>IFERROR(__xludf.DUMMYFUNCTION("""COMPUTED_VALUE"""),5710.0)</f>
        <v>5710</v>
      </c>
      <c r="F2125" s="1">
        <f>IFERROR(__xludf.DUMMYFUNCTION("""COMPUTED_VALUE"""),141961.0)</f>
        <v>141961</v>
      </c>
    </row>
    <row r="2126">
      <c r="A2126" s="2">
        <f>IFERROR(__xludf.DUMMYFUNCTION("""COMPUTED_VALUE"""),44355.64583333333)</f>
        <v>44355.64583</v>
      </c>
      <c r="B2126" s="1">
        <f>IFERROR(__xludf.DUMMYFUNCTION("""COMPUTED_VALUE"""),5710.0)</f>
        <v>5710</v>
      </c>
      <c r="C2126" s="1">
        <f>IFERROR(__xludf.DUMMYFUNCTION("""COMPUTED_VALUE"""),5780.0)</f>
        <v>5780</v>
      </c>
      <c r="D2126" s="1">
        <f>IFERROR(__xludf.DUMMYFUNCTION("""COMPUTED_VALUE"""),5600.0)</f>
        <v>5600</v>
      </c>
      <c r="E2126" s="1">
        <f>IFERROR(__xludf.DUMMYFUNCTION("""COMPUTED_VALUE"""),5770.0)</f>
        <v>5770</v>
      </c>
      <c r="F2126" s="1">
        <f>IFERROR(__xludf.DUMMYFUNCTION("""COMPUTED_VALUE"""),62249.0)</f>
        <v>62249</v>
      </c>
    </row>
    <row r="2127">
      <c r="A2127" s="2">
        <f>IFERROR(__xludf.DUMMYFUNCTION("""COMPUTED_VALUE"""),44356.64583333333)</f>
        <v>44356.64583</v>
      </c>
      <c r="B2127" s="1">
        <f>IFERROR(__xludf.DUMMYFUNCTION("""COMPUTED_VALUE"""),5810.0)</f>
        <v>5810</v>
      </c>
      <c r="C2127" s="1">
        <f>IFERROR(__xludf.DUMMYFUNCTION("""COMPUTED_VALUE"""),5810.0)</f>
        <v>5810</v>
      </c>
      <c r="D2127" s="1">
        <f>IFERROR(__xludf.DUMMYFUNCTION("""COMPUTED_VALUE"""),5520.0)</f>
        <v>5520</v>
      </c>
      <c r="E2127" s="1">
        <f>IFERROR(__xludf.DUMMYFUNCTION("""COMPUTED_VALUE"""),5750.0)</f>
        <v>5750</v>
      </c>
      <c r="F2127" s="1">
        <f>IFERROR(__xludf.DUMMYFUNCTION("""COMPUTED_VALUE"""),100187.0)</f>
        <v>100187</v>
      </c>
    </row>
    <row r="2128">
      <c r="A2128" s="2">
        <f>IFERROR(__xludf.DUMMYFUNCTION("""COMPUTED_VALUE"""),44357.64583333333)</f>
        <v>44357.64583</v>
      </c>
      <c r="B2128" s="1">
        <f>IFERROR(__xludf.DUMMYFUNCTION("""COMPUTED_VALUE"""),5740.0)</f>
        <v>5740</v>
      </c>
      <c r="C2128" s="1">
        <f>IFERROR(__xludf.DUMMYFUNCTION("""COMPUTED_VALUE"""),5740.0)</f>
        <v>5740</v>
      </c>
      <c r="D2128" s="1">
        <f>IFERROR(__xludf.DUMMYFUNCTION("""COMPUTED_VALUE"""),5600.0)</f>
        <v>5600</v>
      </c>
      <c r="E2128" s="1">
        <f>IFERROR(__xludf.DUMMYFUNCTION("""COMPUTED_VALUE"""),5600.0)</f>
        <v>5600</v>
      </c>
      <c r="F2128" s="1">
        <f>IFERROR(__xludf.DUMMYFUNCTION("""COMPUTED_VALUE"""),73115.0)</f>
        <v>73115</v>
      </c>
    </row>
    <row r="2129">
      <c r="A2129" s="2">
        <f>IFERROR(__xludf.DUMMYFUNCTION("""COMPUTED_VALUE"""),44358.64583333333)</f>
        <v>44358.64583</v>
      </c>
      <c r="B2129" s="1">
        <f>IFERROR(__xludf.DUMMYFUNCTION("""COMPUTED_VALUE"""),5570.0)</f>
        <v>5570</v>
      </c>
      <c r="C2129" s="1">
        <f>IFERROR(__xludf.DUMMYFUNCTION("""COMPUTED_VALUE"""),5640.0)</f>
        <v>5640</v>
      </c>
      <c r="D2129" s="1">
        <f>IFERROR(__xludf.DUMMYFUNCTION("""COMPUTED_VALUE"""),5550.0)</f>
        <v>5550</v>
      </c>
      <c r="E2129" s="1">
        <f>IFERROR(__xludf.DUMMYFUNCTION("""COMPUTED_VALUE"""),5550.0)</f>
        <v>5550</v>
      </c>
      <c r="F2129" s="1">
        <f>IFERROR(__xludf.DUMMYFUNCTION("""COMPUTED_VALUE"""),112442.0)</f>
        <v>112442</v>
      </c>
    </row>
    <row r="2130">
      <c r="A2130" s="2">
        <f>IFERROR(__xludf.DUMMYFUNCTION("""COMPUTED_VALUE"""),44361.64583333333)</f>
        <v>44361.64583</v>
      </c>
      <c r="B2130" s="1">
        <f>IFERROR(__xludf.DUMMYFUNCTION("""COMPUTED_VALUE"""),5570.0)</f>
        <v>5570</v>
      </c>
      <c r="C2130" s="1">
        <f>IFERROR(__xludf.DUMMYFUNCTION("""COMPUTED_VALUE"""),5570.0)</f>
        <v>5570</v>
      </c>
      <c r="D2130" s="1">
        <f>IFERROR(__xludf.DUMMYFUNCTION("""COMPUTED_VALUE"""),5490.0)</f>
        <v>5490</v>
      </c>
      <c r="E2130" s="1">
        <f>IFERROR(__xludf.DUMMYFUNCTION("""COMPUTED_VALUE"""),5540.0)</f>
        <v>5540</v>
      </c>
      <c r="F2130" s="1">
        <f>IFERROR(__xludf.DUMMYFUNCTION("""COMPUTED_VALUE"""),69101.0)</f>
        <v>69101</v>
      </c>
    </row>
    <row r="2131">
      <c r="A2131" s="2">
        <f>IFERROR(__xludf.DUMMYFUNCTION("""COMPUTED_VALUE"""),44362.64583333333)</f>
        <v>44362.64583</v>
      </c>
      <c r="B2131" s="1">
        <f>IFERROR(__xludf.DUMMYFUNCTION("""COMPUTED_VALUE"""),5540.0)</f>
        <v>5540</v>
      </c>
      <c r="C2131" s="1">
        <f>IFERROR(__xludf.DUMMYFUNCTION("""COMPUTED_VALUE"""),5560.0)</f>
        <v>5560</v>
      </c>
      <c r="D2131" s="1">
        <f>IFERROR(__xludf.DUMMYFUNCTION("""COMPUTED_VALUE"""),5480.0)</f>
        <v>5480</v>
      </c>
      <c r="E2131" s="1">
        <f>IFERROR(__xludf.DUMMYFUNCTION("""COMPUTED_VALUE"""),5540.0)</f>
        <v>5540</v>
      </c>
      <c r="F2131" s="1">
        <f>IFERROR(__xludf.DUMMYFUNCTION("""COMPUTED_VALUE"""),47124.0)</f>
        <v>47124</v>
      </c>
    </row>
    <row r="2132">
      <c r="A2132" s="2">
        <f>IFERROR(__xludf.DUMMYFUNCTION("""COMPUTED_VALUE"""),44363.64583333333)</f>
        <v>44363.64583</v>
      </c>
      <c r="B2132" s="1">
        <f>IFERROR(__xludf.DUMMYFUNCTION("""COMPUTED_VALUE"""),5540.0)</f>
        <v>5540</v>
      </c>
      <c r="C2132" s="1">
        <f>IFERROR(__xludf.DUMMYFUNCTION("""COMPUTED_VALUE"""),5660.0)</f>
        <v>5660</v>
      </c>
      <c r="D2132" s="1">
        <f>IFERROR(__xludf.DUMMYFUNCTION("""COMPUTED_VALUE"""),5510.0)</f>
        <v>5510</v>
      </c>
      <c r="E2132" s="1">
        <f>IFERROR(__xludf.DUMMYFUNCTION("""COMPUTED_VALUE"""),5640.0)</f>
        <v>5640</v>
      </c>
      <c r="F2132" s="1">
        <f>IFERROR(__xludf.DUMMYFUNCTION("""COMPUTED_VALUE"""),83746.0)</f>
        <v>83746</v>
      </c>
    </row>
    <row r="2133">
      <c r="A2133" s="2">
        <f>IFERROR(__xludf.DUMMYFUNCTION("""COMPUTED_VALUE"""),44364.64583333333)</f>
        <v>44364.64583</v>
      </c>
      <c r="B2133" s="1">
        <f>IFERROR(__xludf.DUMMYFUNCTION("""COMPUTED_VALUE"""),5640.0)</f>
        <v>5640</v>
      </c>
      <c r="C2133" s="1">
        <f>IFERROR(__xludf.DUMMYFUNCTION("""COMPUTED_VALUE"""),5640.0)</f>
        <v>5640</v>
      </c>
      <c r="D2133" s="1">
        <f>IFERROR(__xludf.DUMMYFUNCTION("""COMPUTED_VALUE"""),5530.0)</f>
        <v>5530</v>
      </c>
      <c r="E2133" s="1">
        <f>IFERROR(__xludf.DUMMYFUNCTION("""COMPUTED_VALUE"""),5600.0)</f>
        <v>5600</v>
      </c>
      <c r="F2133" s="1">
        <f>IFERROR(__xludf.DUMMYFUNCTION("""COMPUTED_VALUE"""),36307.0)</f>
        <v>36307</v>
      </c>
    </row>
    <row r="2134">
      <c r="A2134" s="2">
        <f>IFERROR(__xludf.DUMMYFUNCTION("""COMPUTED_VALUE"""),44365.64583333333)</f>
        <v>44365.64583</v>
      </c>
      <c r="B2134" s="1">
        <f>IFERROR(__xludf.DUMMYFUNCTION("""COMPUTED_VALUE"""),5600.0)</f>
        <v>5600</v>
      </c>
      <c r="C2134" s="1">
        <f>IFERROR(__xludf.DUMMYFUNCTION("""COMPUTED_VALUE"""),5630.0)</f>
        <v>5630</v>
      </c>
      <c r="D2134" s="1">
        <f>IFERROR(__xludf.DUMMYFUNCTION("""COMPUTED_VALUE"""),5540.0)</f>
        <v>5540</v>
      </c>
      <c r="E2134" s="1">
        <f>IFERROR(__xludf.DUMMYFUNCTION("""COMPUTED_VALUE"""),5560.0)</f>
        <v>5560</v>
      </c>
      <c r="F2134" s="1">
        <f>IFERROR(__xludf.DUMMYFUNCTION("""COMPUTED_VALUE"""),40722.0)</f>
        <v>40722</v>
      </c>
    </row>
    <row r="2135">
      <c r="A2135" s="2">
        <f>IFERROR(__xludf.DUMMYFUNCTION("""COMPUTED_VALUE"""),44368.64583333333)</f>
        <v>44368.64583</v>
      </c>
      <c r="B2135" s="1">
        <f>IFERROR(__xludf.DUMMYFUNCTION("""COMPUTED_VALUE"""),5600.0)</f>
        <v>5600</v>
      </c>
      <c r="C2135" s="1">
        <f>IFERROR(__xludf.DUMMYFUNCTION("""COMPUTED_VALUE"""),5600.0)</f>
        <v>5600</v>
      </c>
      <c r="D2135" s="1">
        <f>IFERROR(__xludf.DUMMYFUNCTION("""COMPUTED_VALUE"""),5520.0)</f>
        <v>5520</v>
      </c>
      <c r="E2135" s="1">
        <f>IFERROR(__xludf.DUMMYFUNCTION("""COMPUTED_VALUE"""),5580.0)</f>
        <v>5580</v>
      </c>
      <c r="F2135" s="1">
        <f>IFERROR(__xludf.DUMMYFUNCTION("""COMPUTED_VALUE"""),41894.0)</f>
        <v>41894</v>
      </c>
    </row>
    <row r="2136">
      <c r="A2136" s="2">
        <f>IFERROR(__xludf.DUMMYFUNCTION("""COMPUTED_VALUE"""),44369.64583333333)</f>
        <v>44369.64583</v>
      </c>
      <c r="B2136" s="1">
        <f>IFERROR(__xludf.DUMMYFUNCTION("""COMPUTED_VALUE"""),5580.0)</f>
        <v>5580</v>
      </c>
      <c r="C2136" s="1">
        <f>IFERROR(__xludf.DUMMYFUNCTION("""COMPUTED_VALUE"""),5580.0)</f>
        <v>5580</v>
      </c>
      <c r="D2136" s="1">
        <f>IFERROR(__xludf.DUMMYFUNCTION("""COMPUTED_VALUE"""),5480.0)</f>
        <v>5480</v>
      </c>
      <c r="E2136" s="1">
        <f>IFERROR(__xludf.DUMMYFUNCTION("""COMPUTED_VALUE"""),5530.0)</f>
        <v>5530</v>
      </c>
      <c r="F2136" s="1">
        <f>IFERROR(__xludf.DUMMYFUNCTION("""COMPUTED_VALUE"""),50813.0)</f>
        <v>50813</v>
      </c>
    </row>
    <row r="2137">
      <c r="A2137" s="2">
        <f>IFERROR(__xludf.DUMMYFUNCTION("""COMPUTED_VALUE"""),44370.64583333333)</f>
        <v>44370.64583</v>
      </c>
      <c r="B2137" s="1">
        <f>IFERROR(__xludf.DUMMYFUNCTION("""COMPUTED_VALUE"""),5540.0)</f>
        <v>5540</v>
      </c>
      <c r="C2137" s="1">
        <f>IFERROR(__xludf.DUMMYFUNCTION("""COMPUTED_VALUE"""),5950.0)</f>
        <v>5950</v>
      </c>
      <c r="D2137" s="1">
        <f>IFERROR(__xludf.DUMMYFUNCTION("""COMPUTED_VALUE"""),5540.0)</f>
        <v>5540</v>
      </c>
      <c r="E2137" s="1">
        <f>IFERROR(__xludf.DUMMYFUNCTION("""COMPUTED_VALUE"""),5800.0)</f>
        <v>5800</v>
      </c>
      <c r="F2137" s="1">
        <f>IFERROR(__xludf.DUMMYFUNCTION("""COMPUTED_VALUE"""),312620.0)</f>
        <v>312620</v>
      </c>
    </row>
    <row r="2138">
      <c r="A2138" s="2">
        <f>IFERROR(__xludf.DUMMYFUNCTION("""COMPUTED_VALUE"""),44371.64583333333)</f>
        <v>44371.64583</v>
      </c>
      <c r="B2138" s="1">
        <f>IFERROR(__xludf.DUMMYFUNCTION("""COMPUTED_VALUE"""),5760.0)</f>
        <v>5760</v>
      </c>
      <c r="C2138" s="1">
        <f>IFERROR(__xludf.DUMMYFUNCTION("""COMPUTED_VALUE"""),5870.0)</f>
        <v>5870</v>
      </c>
      <c r="D2138" s="1">
        <f>IFERROR(__xludf.DUMMYFUNCTION("""COMPUTED_VALUE"""),5680.0)</f>
        <v>5680</v>
      </c>
      <c r="E2138" s="1">
        <f>IFERROR(__xludf.DUMMYFUNCTION("""COMPUTED_VALUE"""),5770.0)</f>
        <v>5770</v>
      </c>
      <c r="F2138" s="1">
        <f>IFERROR(__xludf.DUMMYFUNCTION("""COMPUTED_VALUE"""),74286.0)</f>
        <v>74286</v>
      </c>
    </row>
    <row r="2139">
      <c r="A2139" s="2">
        <f>IFERROR(__xludf.DUMMYFUNCTION("""COMPUTED_VALUE"""),44372.64583333333)</f>
        <v>44372.64583</v>
      </c>
      <c r="B2139" s="1">
        <f>IFERROR(__xludf.DUMMYFUNCTION("""COMPUTED_VALUE"""),5770.0)</f>
        <v>5770</v>
      </c>
      <c r="C2139" s="1">
        <f>IFERROR(__xludf.DUMMYFUNCTION("""COMPUTED_VALUE"""),5850.0)</f>
        <v>5850</v>
      </c>
      <c r="D2139" s="1">
        <f>IFERROR(__xludf.DUMMYFUNCTION("""COMPUTED_VALUE"""),5670.0)</f>
        <v>5670</v>
      </c>
      <c r="E2139" s="1">
        <f>IFERROR(__xludf.DUMMYFUNCTION("""COMPUTED_VALUE"""),5740.0)</f>
        <v>5740</v>
      </c>
      <c r="F2139" s="1">
        <f>IFERROR(__xludf.DUMMYFUNCTION("""COMPUTED_VALUE"""),106348.0)</f>
        <v>106348</v>
      </c>
    </row>
    <row r="2140">
      <c r="A2140" s="2">
        <f>IFERROR(__xludf.DUMMYFUNCTION("""COMPUTED_VALUE"""),44375.64583333333)</f>
        <v>44375.64583</v>
      </c>
      <c r="B2140" s="1">
        <f>IFERROR(__xludf.DUMMYFUNCTION("""COMPUTED_VALUE"""),5720.0)</f>
        <v>5720</v>
      </c>
      <c r="C2140" s="1">
        <f>IFERROR(__xludf.DUMMYFUNCTION("""COMPUTED_VALUE"""),5820.0)</f>
        <v>5820</v>
      </c>
      <c r="D2140" s="1">
        <f>IFERROR(__xludf.DUMMYFUNCTION("""COMPUTED_VALUE"""),5700.0)</f>
        <v>5700</v>
      </c>
      <c r="E2140" s="1">
        <f>IFERROR(__xludf.DUMMYFUNCTION("""COMPUTED_VALUE"""),5810.0)</f>
        <v>5810</v>
      </c>
      <c r="F2140" s="1">
        <f>IFERROR(__xludf.DUMMYFUNCTION("""COMPUTED_VALUE"""),145149.0)</f>
        <v>145149</v>
      </c>
    </row>
    <row r="2141">
      <c r="A2141" s="2">
        <f>IFERROR(__xludf.DUMMYFUNCTION("""COMPUTED_VALUE"""),44376.64583333333)</f>
        <v>44376.64583</v>
      </c>
      <c r="B2141" s="1">
        <f>IFERROR(__xludf.DUMMYFUNCTION("""COMPUTED_VALUE"""),5840.0)</f>
        <v>5840</v>
      </c>
      <c r="C2141" s="1">
        <f>IFERROR(__xludf.DUMMYFUNCTION("""COMPUTED_VALUE"""),5850.0)</f>
        <v>5850</v>
      </c>
      <c r="D2141" s="1">
        <f>IFERROR(__xludf.DUMMYFUNCTION("""COMPUTED_VALUE"""),5750.0)</f>
        <v>5750</v>
      </c>
      <c r="E2141" s="1">
        <f>IFERROR(__xludf.DUMMYFUNCTION("""COMPUTED_VALUE"""),5820.0)</f>
        <v>5820</v>
      </c>
      <c r="F2141" s="1">
        <f>IFERROR(__xludf.DUMMYFUNCTION("""COMPUTED_VALUE"""),96868.0)</f>
        <v>96868</v>
      </c>
    </row>
    <row r="2142">
      <c r="A2142" s="2">
        <f>IFERROR(__xludf.DUMMYFUNCTION("""COMPUTED_VALUE"""),44377.64583333333)</f>
        <v>44377.64583</v>
      </c>
      <c r="B2142" s="1">
        <f>IFERROR(__xludf.DUMMYFUNCTION("""COMPUTED_VALUE"""),5810.0)</f>
        <v>5810</v>
      </c>
      <c r="C2142" s="1">
        <f>IFERROR(__xludf.DUMMYFUNCTION("""COMPUTED_VALUE"""),6040.0)</f>
        <v>6040</v>
      </c>
      <c r="D2142" s="1">
        <f>IFERROR(__xludf.DUMMYFUNCTION("""COMPUTED_VALUE"""),5810.0)</f>
        <v>5810</v>
      </c>
      <c r="E2142" s="1">
        <f>IFERROR(__xludf.DUMMYFUNCTION("""COMPUTED_VALUE"""),5890.0)</f>
        <v>5890</v>
      </c>
      <c r="F2142" s="1">
        <f>IFERROR(__xludf.DUMMYFUNCTION("""COMPUTED_VALUE"""),342959.0)</f>
        <v>342959</v>
      </c>
    </row>
    <row r="2143">
      <c r="A2143" s="2">
        <f>IFERROR(__xludf.DUMMYFUNCTION("""COMPUTED_VALUE"""),44379.64583333333)</f>
        <v>44379.64583</v>
      </c>
      <c r="B2143" s="1">
        <f>IFERROR(__xludf.DUMMYFUNCTION("""COMPUTED_VALUE"""),5960.0)</f>
        <v>5960</v>
      </c>
      <c r="C2143" s="1">
        <f>IFERROR(__xludf.DUMMYFUNCTION("""COMPUTED_VALUE"""),5960.0)</f>
        <v>5960</v>
      </c>
      <c r="D2143" s="1">
        <f>IFERROR(__xludf.DUMMYFUNCTION("""COMPUTED_VALUE"""),5720.0)</f>
        <v>5720</v>
      </c>
      <c r="E2143" s="1">
        <f>IFERROR(__xludf.DUMMYFUNCTION("""COMPUTED_VALUE"""),5740.0)</f>
        <v>5740</v>
      </c>
      <c r="F2143" s="1">
        <f>IFERROR(__xludf.DUMMYFUNCTION("""COMPUTED_VALUE"""),209112.0)</f>
        <v>209112</v>
      </c>
    </row>
    <row r="2144">
      <c r="A2144" s="2">
        <f>IFERROR(__xludf.DUMMYFUNCTION("""COMPUTED_VALUE"""),44382.64583333333)</f>
        <v>44382.64583</v>
      </c>
      <c r="B2144" s="1">
        <f>IFERROR(__xludf.DUMMYFUNCTION("""COMPUTED_VALUE"""),5780.0)</f>
        <v>5780</v>
      </c>
      <c r="C2144" s="1">
        <f>IFERROR(__xludf.DUMMYFUNCTION("""COMPUTED_VALUE"""),6050.0)</f>
        <v>6050</v>
      </c>
      <c r="D2144" s="1">
        <f>IFERROR(__xludf.DUMMYFUNCTION("""COMPUTED_VALUE"""),5650.0)</f>
        <v>5650</v>
      </c>
      <c r="E2144" s="1">
        <f>IFERROR(__xludf.DUMMYFUNCTION("""COMPUTED_VALUE"""),6040.0)</f>
        <v>6040</v>
      </c>
      <c r="F2144" s="1">
        <f>IFERROR(__xludf.DUMMYFUNCTION("""COMPUTED_VALUE"""),238374.0)</f>
        <v>238374</v>
      </c>
    </row>
    <row r="2145">
      <c r="A2145" s="2">
        <f>IFERROR(__xludf.DUMMYFUNCTION("""COMPUTED_VALUE"""),44383.64583333333)</f>
        <v>44383.64583</v>
      </c>
      <c r="B2145" s="1">
        <f>IFERROR(__xludf.DUMMYFUNCTION("""COMPUTED_VALUE"""),6040.0)</f>
        <v>6040</v>
      </c>
      <c r="C2145" s="1">
        <f>IFERROR(__xludf.DUMMYFUNCTION("""COMPUTED_VALUE"""),6150.0)</f>
        <v>6150</v>
      </c>
      <c r="D2145" s="1">
        <f>IFERROR(__xludf.DUMMYFUNCTION("""COMPUTED_VALUE"""),5930.0)</f>
        <v>5930</v>
      </c>
      <c r="E2145" s="1">
        <f>IFERROR(__xludf.DUMMYFUNCTION("""COMPUTED_VALUE"""),6100.0)</f>
        <v>6100</v>
      </c>
      <c r="F2145" s="1">
        <f>IFERROR(__xludf.DUMMYFUNCTION("""COMPUTED_VALUE"""),317287.0)</f>
        <v>317287</v>
      </c>
    </row>
    <row r="2146">
      <c r="A2146" s="2">
        <f>IFERROR(__xludf.DUMMYFUNCTION("""COMPUTED_VALUE"""),44384.64583333333)</f>
        <v>44384.64583</v>
      </c>
      <c r="B2146" s="1">
        <f>IFERROR(__xludf.DUMMYFUNCTION("""COMPUTED_VALUE"""),6030.0)</f>
        <v>6030</v>
      </c>
      <c r="C2146" s="1">
        <f>IFERROR(__xludf.DUMMYFUNCTION("""COMPUTED_VALUE"""),6160.0)</f>
        <v>6160</v>
      </c>
      <c r="D2146" s="1">
        <f>IFERROR(__xludf.DUMMYFUNCTION("""COMPUTED_VALUE"""),6000.0)</f>
        <v>6000</v>
      </c>
      <c r="E2146" s="1">
        <f>IFERROR(__xludf.DUMMYFUNCTION("""COMPUTED_VALUE"""),6080.0)</f>
        <v>6080</v>
      </c>
      <c r="F2146" s="1">
        <f>IFERROR(__xludf.DUMMYFUNCTION("""COMPUTED_VALUE"""),134062.0)</f>
        <v>134062</v>
      </c>
    </row>
    <row r="2147">
      <c r="A2147" s="2">
        <f>IFERROR(__xludf.DUMMYFUNCTION("""COMPUTED_VALUE"""),44385.64583333333)</f>
        <v>44385.64583</v>
      </c>
      <c r="B2147" s="1">
        <f>IFERROR(__xludf.DUMMYFUNCTION("""COMPUTED_VALUE"""),6080.0)</f>
        <v>6080</v>
      </c>
      <c r="C2147" s="1">
        <f>IFERROR(__xludf.DUMMYFUNCTION("""COMPUTED_VALUE"""),6120.0)</f>
        <v>6120</v>
      </c>
      <c r="D2147" s="1">
        <f>IFERROR(__xludf.DUMMYFUNCTION("""COMPUTED_VALUE"""),5870.0)</f>
        <v>5870</v>
      </c>
      <c r="E2147" s="1">
        <f>IFERROR(__xludf.DUMMYFUNCTION("""COMPUTED_VALUE"""),6000.0)</f>
        <v>6000</v>
      </c>
      <c r="F2147" s="1">
        <f>IFERROR(__xludf.DUMMYFUNCTION("""COMPUTED_VALUE"""),111120.0)</f>
        <v>111120</v>
      </c>
    </row>
    <row r="2148">
      <c r="A2148" s="2">
        <f>IFERROR(__xludf.DUMMYFUNCTION("""COMPUTED_VALUE"""),44386.64583333333)</f>
        <v>44386.64583</v>
      </c>
      <c r="B2148" s="1">
        <f>IFERROR(__xludf.DUMMYFUNCTION("""COMPUTED_VALUE"""),5980.0)</f>
        <v>5980</v>
      </c>
      <c r="C2148" s="1">
        <f>IFERROR(__xludf.DUMMYFUNCTION("""COMPUTED_VALUE"""),6000.0)</f>
        <v>6000</v>
      </c>
      <c r="D2148" s="1">
        <f>IFERROR(__xludf.DUMMYFUNCTION("""COMPUTED_VALUE"""),5790.0)</f>
        <v>5790</v>
      </c>
      <c r="E2148" s="1">
        <f>IFERROR(__xludf.DUMMYFUNCTION("""COMPUTED_VALUE"""),5930.0)</f>
        <v>5930</v>
      </c>
      <c r="F2148" s="1">
        <f>IFERROR(__xludf.DUMMYFUNCTION("""COMPUTED_VALUE"""),114024.0)</f>
        <v>114024</v>
      </c>
    </row>
    <row r="2149">
      <c r="A2149" s="2">
        <f>IFERROR(__xludf.DUMMYFUNCTION("""COMPUTED_VALUE"""),44389.64583333333)</f>
        <v>44389.64583</v>
      </c>
      <c r="B2149" s="1">
        <f>IFERROR(__xludf.DUMMYFUNCTION("""COMPUTED_VALUE"""),6030.0)</f>
        <v>6030</v>
      </c>
      <c r="C2149" s="1">
        <f>IFERROR(__xludf.DUMMYFUNCTION("""COMPUTED_VALUE"""),6210.0)</f>
        <v>6210</v>
      </c>
      <c r="D2149" s="1">
        <f>IFERROR(__xludf.DUMMYFUNCTION("""COMPUTED_VALUE"""),5990.0)</f>
        <v>5990</v>
      </c>
      <c r="E2149" s="1">
        <f>IFERROR(__xludf.DUMMYFUNCTION("""COMPUTED_VALUE"""),6120.0)</f>
        <v>6120</v>
      </c>
      <c r="F2149" s="1">
        <f>IFERROR(__xludf.DUMMYFUNCTION("""COMPUTED_VALUE"""),363871.0)</f>
        <v>363871</v>
      </c>
    </row>
    <row r="2150">
      <c r="A2150" s="2">
        <f>IFERROR(__xludf.DUMMYFUNCTION("""COMPUTED_VALUE"""),44390.64583333333)</f>
        <v>44390.64583</v>
      </c>
      <c r="B2150" s="1">
        <f>IFERROR(__xludf.DUMMYFUNCTION("""COMPUTED_VALUE"""),6120.0)</f>
        <v>6120</v>
      </c>
      <c r="C2150" s="1">
        <f>IFERROR(__xludf.DUMMYFUNCTION("""COMPUTED_VALUE"""),6190.0)</f>
        <v>6190</v>
      </c>
      <c r="D2150" s="1">
        <f>IFERROR(__xludf.DUMMYFUNCTION("""COMPUTED_VALUE"""),6000.0)</f>
        <v>6000</v>
      </c>
      <c r="E2150" s="1">
        <f>IFERROR(__xludf.DUMMYFUNCTION("""COMPUTED_VALUE"""),6190.0)</f>
        <v>6190</v>
      </c>
      <c r="F2150" s="1">
        <f>IFERROR(__xludf.DUMMYFUNCTION("""COMPUTED_VALUE"""),161242.0)</f>
        <v>161242</v>
      </c>
    </row>
    <row r="2151">
      <c r="A2151" s="2">
        <f>IFERROR(__xludf.DUMMYFUNCTION("""COMPUTED_VALUE"""),44391.64583333333)</f>
        <v>44391.64583</v>
      </c>
      <c r="B2151" s="1">
        <f>IFERROR(__xludf.DUMMYFUNCTION("""COMPUTED_VALUE"""),6140.0)</f>
        <v>6140</v>
      </c>
      <c r="C2151" s="1">
        <f>IFERROR(__xludf.DUMMYFUNCTION("""COMPUTED_VALUE"""),6200.0)</f>
        <v>6200</v>
      </c>
      <c r="D2151" s="1">
        <f>IFERROR(__xludf.DUMMYFUNCTION("""COMPUTED_VALUE"""),6030.0)</f>
        <v>6030</v>
      </c>
      <c r="E2151" s="1">
        <f>IFERROR(__xludf.DUMMYFUNCTION("""COMPUTED_VALUE"""),6050.0)</f>
        <v>6050</v>
      </c>
      <c r="F2151" s="1">
        <f>IFERROR(__xludf.DUMMYFUNCTION("""COMPUTED_VALUE"""),169125.0)</f>
        <v>169125</v>
      </c>
    </row>
    <row r="2152">
      <c r="A2152" s="2">
        <f>IFERROR(__xludf.DUMMYFUNCTION("""COMPUTED_VALUE"""),44392.64583333333)</f>
        <v>44392.64583</v>
      </c>
      <c r="B2152" s="1">
        <f>IFERROR(__xludf.DUMMYFUNCTION("""COMPUTED_VALUE"""),6060.0)</f>
        <v>6060</v>
      </c>
      <c r="C2152" s="1">
        <f>IFERROR(__xludf.DUMMYFUNCTION("""COMPUTED_VALUE"""),6110.0)</f>
        <v>6110</v>
      </c>
      <c r="D2152" s="1">
        <f>IFERROR(__xludf.DUMMYFUNCTION("""COMPUTED_VALUE"""),5910.0)</f>
        <v>5910</v>
      </c>
      <c r="E2152" s="1">
        <f>IFERROR(__xludf.DUMMYFUNCTION("""COMPUTED_VALUE"""),5990.0)</f>
        <v>5990</v>
      </c>
      <c r="F2152" s="1">
        <f>IFERROR(__xludf.DUMMYFUNCTION("""COMPUTED_VALUE"""),136753.0)</f>
        <v>136753</v>
      </c>
    </row>
    <row r="2153">
      <c r="A2153" s="2">
        <f>IFERROR(__xludf.DUMMYFUNCTION("""COMPUTED_VALUE"""),44393.64583333333)</f>
        <v>44393.64583</v>
      </c>
      <c r="B2153" s="1">
        <f>IFERROR(__xludf.DUMMYFUNCTION("""COMPUTED_VALUE"""),5990.0)</f>
        <v>5990</v>
      </c>
      <c r="C2153" s="1">
        <f>IFERROR(__xludf.DUMMYFUNCTION("""COMPUTED_VALUE"""),6000.0)</f>
        <v>6000</v>
      </c>
      <c r="D2153" s="1">
        <f>IFERROR(__xludf.DUMMYFUNCTION("""COMPUTED_VALUE"""),5880.0)</f>
        <v>5880</v>
      </c>
      <c r="E2153" s="1">
        <f>IFERROR(__xludf.DUMMYFUNCTION("""COMPUTED_VALUE"""),5910.0)</f>
        <v>5910</v>
      </c>
      <c r="F2153" s="1">
        <f>IFERROR(__xludf.DUMMYFUNCTION("""COMPUTED_VALUE"""),110640.0)</f>
        <v>110640</v>
      </c>
    </row>
    <row r="2154">
      <c r="A2154" s="2">
        <f>IFERROR(__xludf.DUMMYFUNCTION("""COMPUTED_VALUE"""),44396.64583333333)</f>
        <v>44396.64583</v>
      </c>
      <c r="B2154" s="1">
        <f>IFERROR(__xludf.DUMMYFUNCTION("""COMPUTED_VALUE"""),5920.0)</f>
        <v>5920</v>
      </c>
      <c r="C2154" s="1">
        <f>IFERROR(__xludf.DUMMYFUNCTION("""COMPUTED_VALUE"""),5920.0)</f>
        <v>5920</v>
      </c>
      <c r="D2154" s="1">
        <f>IFERROR(__xludf.DUMMYFUNCTION("""COMPUTED_VALUE"""),5650.0)</f>
        <v>5650</v>
      </c>
      <c r="E2154" s="1">
        <f>IFERROR(__xludf.DUMMYFUNCTION("""COMPUTED_VALUE"""),5670.0)</f>
        <v>5670</v>
      </c>
      <c r="F2154" s="1">
        <f>IFERROR(__xludf.DUMMYFUNCTION("""COMPUTED_VALUE"""),270499.0)</f>
        <v>270499</v>
      </c>
    </row>
    <row r="2155">
      <c r="A2155" s="2">
        <f>IFERROR(__xludf.DUMMYFUNCTION("""COMPUTED_VALUE"""),44397.64583333333)</f>
        <v>44397.64583</v>
      </c>
      <c r="B2155" s="1">
        <f>IFERROR(__xludf.DUMMYFUNCTION("""COMPUTED_VALUE"""),5600.0)</f>
        <v>5600</v>
      </c>
      <c r="C2155" s="1">
        <f>IFERROR(__xludf.DUMMYFUNCTION("""COMPUTED_VALUE"""),5750.0)</f>
        <v>5750</v>
      </c>
      <c r="D2155" s="1">
        <f>IFERROR(__xludf.DUMMYFUNCTION("""COMPUTED_VALUE"""),5490.0)</f>
        <v>5490</v>
      </c>
      <c r="E2155" s="1">
        <f>IFERROR(__xludf.DUMMYFUNCTION("""COMPUTED_VALUE"""),5690.0)</f>
        <v>5690</v>
      </c>
      <c r="F2155" s="1">
        <f>IFERROR(__xludf.DUMMYFUNCTION("""COMPUTED_VALUE"""),153185.0)</f>
        <v>153185</v>
      </c>
    </row>
    <row r="2156">
      <c r="A2156" s="2">
        <f>IFERROR(__xludf.DUMMYFUNCTION("""COMPUTED_VALUE"""),44398.64583333333)</f>
        <v>44398.64583</v>
      </c>
      <c r="B2156" s="1">
        <f>IFERROR(__xludf.DUMMYFUNCTION("""COMPUTED_VALUE"""),5690.0)</f>
        <v>5690</v>
      </c>
      <c r="C2156" s="1">
        <f>IFERROR(__xludf.DUMMYFUNCTION("""COMPUTED_VALUE"""),5750.0)</f>
        <v>5750</v>
      </c>
      <c r="D2156" s="1">
        <f>IFERROR(__xludf.DUMMYFUNCTION("""COMPUTED_VALUE"""),5600.0)</f>
        <v>5600</v>
      </c>
      <c r="E2156" s="1">
        <f>IFERROR(__xludf.DUMMYFUNCTION("""COMPUTED_VALUE"""),5600.0)</f>
        <v>5600</v>
      </c>
      <c r="F2156" s="1">
        <f>IFERROR(__xludf.DUMMYFUNCTION("""COMPUTED_VALUE"""),69940.0)</f>
        <v>69940</v>
      </c>
    </row>
    <row r="2157">
      <c r="A2157" s="2">
        <f>IFERROR(__xludf.DUMMYFUNCTION("""COMPUTED_VALUE"""),44399.64583333333)</f>
        <v>44399.64583</v>
      </c>
      <c r="B2157" s="1">
        <f>IFERROR(__xludf.DUMMYFUNCTION("""COMPUTED_VALUE"""),5700.0)</f>
        <v>5700</v>
      </c>
      <c r="C2157" s="1">
        <f>IFERROR(__xludf.DUMMYFUNCTION("""COMPUTED_VALUE"""),5860.0)</f>
        <v>5860</v>
      </c>
      <c r="D2157" s="1">
        <f>IFERROR(__xludf.DUMMYFUNCTION("""COMPUTED_VALUE"""),5700.0)</f>
        <v>5700</v>
      </c>
      <c r="E2157" s="1">
        <f>IFERROR(__xludf.DUMMYFUNCTION("""COMPUTED_VALUE"""),5810.0)</f>
        <v>5810</v>
      </c>
      <c r="F2157" s="1">
        <f>IFERROR(__xludf.DUMMYFUNCTION("""COMPUTED_VALUE"""),107972.0)</f>
        <v>107972</v>
      </c>
    </row>
    <row r="2158">
      <c r="A2158" s="2">
        <f>IFERROR(__xludf.DUMMYFUNCTION("""COMPUTED_VALUE"""),44400.64583333333)</f>
        <v>44400.64583</v>
      </c>
      <c r="B2158" s="1">
        <f>IFERROR(__xludf.DUMMYFUNCTION("""COMPUTED_VALUE"""),5830.0)</f>
        <v>5830</v>
      </c>
      <c r="C2158" s="1">
        <f>IFERROR(__xludf.DUMMYFUNCTION("""COMPUTED_VALUE"""),5900.0)</f>
        <v>5900</v>
      </c>
      <c r="D2158" s="1">
        <f>IFERROR(__xludf.DUMMYFUNCTION("""COMPUTED_VALUE"""),5730.0)</f>
        <v>5730</v>
      </c>
      <c r="E2158" s="1">
        <f>IFERROR(__xludf.DUMMYFUNCTION("""COMPUTED_VALUE"""),5810.0)</f>
        <v>5810</v>
      </c>
      <c r="F2158" s="1">
        <f>IFERROR(__xludf.DUMMYFUNCTION("""COMPUTED_VALUE"""),75446.0)</f>
        <v>75446</v>
      </c>
    </row>
    <row r="2159">
      <c r="A2159" s="2">
        <f>IFERROR(__xludf.DUMMYFUNCTION("""COMPUTED_VALUE"""),44403.64583333333)</f>
        <v>44403.64583</v>
      </c>
      <c r="B2159" s="1">
        <f>IFERROR(__xludf.DUMMYFUNCTION("""COMPUTED_VALUE"""),5800.0)</f>
        <v>5800</v>
      </c>
      <c r="C2159" s="1">
        <f>IFERROR(__xludf.DUMMYFUNCTION("""COMPUTED_VALUE"""),5860.0)</f>
        <v>5860</v>
      </c>
      <c r="D2159" s="1">
        <f>IFERROR(__xludf.DUMMYFUNCTION("""COMPUTED_VALUE"""),5660.0)</f>
        <v>5660</v>
      </c>
      <c r="E2159" s="1">
        <f>IFERROR(__xludf.DUMMYFUNCTION("""COMPUTED_VALUE"""),5750.0)</f>
        <v>5750</v>
      </c>
      <c r="F2159" s="1">
        <f>IFERROR(__xludf.DUMMYFUNCTION("""COMPUTED_VALUE"""),104025.0)</f>
        <v>104025</v>
      </c>
    </row>
    <row r="2160">
      <c r="A2160" s="2">
        <f>IFERROR(__xludf.DUMMYFUNCTION("""COMPUTED_VALUE"""),44404.64583333333)</f>
        <v>44404.64583</v>
      </c>
      <c r="B2160" s="1">
        <f>IFERROR(__xludf.DUMMYFUNCTION("""COMPUTED_VALUE"""),5750.0)</f>
        <v>5750</v>
      </c>
      <c r="C2160" s="1">
        <f>IFERROR(__xludf.DUMMYFUNCTION("""COMPUTED_VALUE"""),5750.0)</f>
        <v>5750</v>
      </c>
      <c r="D2160" s="1">
        <f>IFERROR(__xludf.DUMMYFUNCTION("""COMPUTED_VALUE"""),5550.0)</f>
        <v>5550</v>
      </c>
      <c r="E2160" s="1">
        <f>IFERROR(__xludf.DUMMYFUNCTION("""COMPUTED_VALUE"""),5570.0)</f>
        <v>5570</v>
      </c>
      <c r="F2160" s="1">
        <f>IFERROR(__xludf.DUMMYFUNCTION("""COMPUTED_VALUE"""),179809.0)</f>
        <v>179809</v>
      </c>
    </row>
    <row r="2161">
      <c r="A2161" s="2">
        <f>IFERROR(__xludf.DUMMYFUNCTION("""COMPUTED_VALUE"""),44405.64583333333)</f>
        <v>44405.64583</v>
      </c>
      <c r="B2161" s="1">
        <f>IFERROR(__xludf.DUMMYFUNCTION("""COMPUTED_VALUE"""),5600.0)</f>
        <v>5600</v>
      </c>
      <c r="C2161" s="1">
        <f>IFERROR(__xludf.DUMMYFUNCTION("""COMPUTED_VALUE"""),5620.0)</f>
        <v>5620</v>
      </c>
      <c r="D2161" s="1">
        <f>IFERROR(__xludf.DUMMYFUNCTION("""COMPUTED_VALUE"""),5500.0)</f>
        <v>5500</v>
      </c>
      <c r="E2161" s="1">
        <f>IFERROR(__xludf.DUMMYFUNCTION("""COMPUTED_VALUE"""),5500.0)</f>
        <v>5500</v>
      </c>
      <c r="F2161" s="1">
        <f>IFERROR(__xludf.DUMMYFUNCTION("""COMPUTED_VALUE"""),42938.0)</f>
        <v>42938</v>
      </c>
    </row>
    <row r="2162">
      <c r="A2162" s="2">
        <f>IFERROR(__xludf.DUMMYFUNCTION("""COMPUTED_VALUE"""),44406.64583333333)</f>
        <v>44406.64583</v>
      </c>
      <c r="B2162" s="1">
        <f>IFERROR(__xludf.DUMMYFUNCTION("""COMPUTED_VALUE"""),5530.0)</f>
        <v>5530</v>
      </c>
      <c r="C2162" s="1">
        <f>IFERROR(__xludf.DUMMYFUNCTION("""COMPUTED_VALUE"""),5570.0)</f>
        <v>5570</v>
      </c>
      <c r="D2162" s="1">
        <f>IFERROR(__xludf.DUMMYFUNCTION("""COMPUTED_VALUE"""),5500.0)</f>
        <v>5500</v>
      </c>
      <c r="E2162" s="1">
        <f>IFERROR(__xludf.DUMMYFUNCTION("""COMPUTED_VALUE"""),5540.0)</f>
        <v>5540</v>
      </c>
      <c r="F2162" s="1">
        <f>IFERROR(__xludf.DUMMYFUNCTION("""COMPUTED_VALUE"""),35543.0)</f>
        <v>35543</v>
      </c>
    </row>
    <row r="2163">
      <c r="A2163" s="2">
        <f>IFERROR(__xludf.DUMMYFUNCTION("""COMPUTED_VALUE"""),44407.64583333333)</f>
        <v>44407.64583</v>
      </c>
      <c r="B2163" s="1">
        <f>IFERROR(__xludf.DUMMYFUNCTION("""COMPUTED_VALUE"""),5600.0)</f>
        <v>5600</v>
      </c>
      <c r="C2163" s="1">
        <f>IFERROR(__xludf.DUMMYFUNCTION("""COMPUTED_VALUE"""),5660.0)</f>
        <v>5660</v>
      </c>
      <c r="D2163" s="1">
        <f>IFERROR(__xludf.DUMMYFUNCTION("""COMPUTED_VALUE"""),5510.0)</f>
        <v>5510</v>
      </c>
      <c r="E2163" s="1">
        <f>IFERROR(__xludf.DUMMYFUNCTION("""COMPUTED_VALUE"""),5610.0)</f>
        <v>5610</v>
      </c>
      <c r="F2163" s="1">
        <f>IFERROR(__xludf.DUMMYFUNCTION("""COMPUTED_VALUE"""),90785.0)</f>
        <v>90785</v>
      </c>
    </row>
    <row r="2164">
      <c r="A2164" s="2">
        <f>IFERROR(__xludf.DUMMYFUNCTION("""COMPUTED_VALUE"""),44410.64583333333)</f>
        <v>44410.64583</v>
      </c>
      <c r="B2164" s="1">
        <f>IFERROR(__xludf.DUMMYFUNCTION("""COMPUTED_VALUE"""),5590.0)</f>
        <v>5590</v>
      </c>
      <c r="C2164" s="1">
        <f>IFERROR(__xludf.DUMMYFUNCTION("""COMPUTED_VALUE"""),5880.0)</f>
        <v>5880</v>
      </c>
      <c r="D2164" s="1">
        <f>IFERROR(__xludf.DUMMYFUNCTION("""COMPUTED_VALUE"""),5500.0)</f>
        <v>5500</v>
      </c>
      <c r="E2164" s="1">
        <f>IFERROR(__xludf.DUMMYFUNCTION("""COMPUTED_VALUE"""),5530.0)</f>
        <v>5530</v>
      </c>
      <c r="F2164" s="1">
        <f>IFERROR(__xludf.DUMMYFUNCTION("""COMPUTED_VALUE"""),100612.0)</f>
        <v>100612</v>
      </c>
    </row>
    <row r="2165">
      <c r="A2165" s="2">
        <f>IFERROR(__xludf.DUMMYFUNCTION("""COMPUTED_VALUE"""),44411.64583333333)</f>
        <v>44411.64583</v>
      </c>
      <c r="B2165" s="1">
        <f>IFERROR(__xludf.DUMMYFUNCTION("""COMPUTED_VALUE"""),5540.0)</f>
        <v>5540</v>
      </c>
      <c r="C2165" s="1">
        <f>IFERROR(__xludf.DUMMYFUNCTION("""COMPUTED_VALUE"""),5690.0)</f>
        <v>5690</v>
      </c>
      <c r="D2165" s="1">
        <f>IFERROR(__xludf.DUMMYFUNCTION("""COMPUTED_VALUE"""),5480.0)</f>
        <v>5480</v>
      </c>
      <c r="E2165" s="1">
        <f>IFERROR(__xludf.DUMMYFUNCTION("""COMPUTED_VALUE"""),5600.0)</f>
        <v>5600</v>
      </c>
      <c r="F2165" s="1">
        <f>IFERROR(__xludf.DUMMYFUNCTION("""COMPUTED_VALUE"""),90754.0)</f>
        <v>90754</v>
      </c>
    </row>
    <row r="2166">
      <c r="A2166" s="2">
        <f>IFERROR(__xludf.DUMMYFUNCTION("""COMPUTED_VALUE"""),44412.64583333333)</f>
        <v>44412.64583</v>
      </c>
      <c r="B2166" s="1">
        <f>IFERROR(__xludf.DUMMYFUNCTION("""COMPUTED_VALUE"""),5600.0)</f>
        <v>5600</v>
      </c>
      <c r="C2166" s="1">
        <f>IFERROR(__xludf.DUMMYFUNCTION("""COMPUTED_VALUE"""),5690.0)</f>
        <v>5690</v>
      </c>
      <c r="D2166" s="1">
        <f>IFERROR(__xludf.DUMMYFUNCTION("""COMPUTED_VALUE"""),5570.0)</f>
        <v>5570</v>
      </c>
      <c r="E2166" s="1">
        <f>IFERROR(__xludf.DUMMYFUNCTION("""COMPUTED_VALUE"""),5630.0)</f>
        <v>5630</v>
      </c>
      <c r="F2166" s="1">
        <f>IFERROR(__xludf.DUMMYFUNCTION("""COMPUTED_VALUE"""),52256.0)</f>
        <v>52256</v>
      </c>
    </row>
    <row r="2167">
      <c r="A2167" s="2">
        <f>IFERROR(__xludf.DUMMYFUNCTION("""COMPUTED_VALUE"""),44413.64583333333)</f>
        <v>44413.64583</v>
      </c>
      <c r="B2167" s="1">
        <f>IFERROR(__xludf.DUMMYFUNCTION("""COMPUTED_VALUE"""),5590.0)</f>
        <v>5590</v>
      </c>
      <c r="C2167" s="1">
        <f>IFERROR(__xludf.DUMMYFUNCTION("""COMPUTED_VALUE"""),5740.0)</f>
        <v>5740</v>
      </c>
      <c r="D2167" s="1">
        <f>IFERROR(__xludf.DUMMYFUNCTION("""COMPUTED_VALUE"""),5520.0)</f>
        <v>5520</v>
      </c>
      <c r="E2167" s="1">
        <f>IFERROR(__xludf.DUMMYFUNCTION("""COMPUTED_VALUE"""),5720.0)</f>
        <v>5720</v>
      </c>
      <c r="F2167" s="1">
        <f>IFERROR(__xludf.DUMMYFUNCTION("""COMPUTED_VALUE"""),75638.0)</f>
        <v>75638</v>
      </c>
    </row>
    <row r="2168">
      <c r="A2168" s="2">
        <f>IFERROR(__xludf.DUMMYFUNCTION("""COMPUTED_VALUE"""),44414.64583333333)</f>
        <v>44414.64583</v>
      </c>
      <c r="B2168" s="1">
        <f>IFERROR(__xludf.DUMMYFUNCTION("""COMPUTED_VALUE"""),5740.0)</f>
        <v>5740</v>
      </c>
      <c r="C2168" s="1">
        <f>IFERROR(__xludf.DUMMYFUNCTION("""COMPUTED_VALUE"""),5790.0)</f>
        <v>5790</v>
      </c>
      <c r="D2168" s="1">
        <f>IFERROR(__xludf.DUMMYFUNCTION("""COMPUTED_VALUE"""),5670.0)</f>
        <v>5670</v>
      </c>
      <c r="E2168" s="1">
        <f>IFERROR(__xludf.DUMMYFUNCTION("""COMPUTED_VALUE"""),5710.0)</f>
        <v>5710</v>
      </c>
      <c r="F2168" s="1">
        <f>IFERROR(__xludf.DUMMYFUNCTION("""COMPUTED_VALUE"""),57734.0)</f>
        <v>57734</v>
      </c>
    </row>
    <row r="2169">
      <c r="A2169" s="2">
        <f>IFERROR(__xludf.DUMMYFUNCTION("""COMPUTED_VALUE"""),44417.64583333333)</f>
        <v>44417.64583</v>
      </c>
      <c r="B2169" s="1">
        <f>IFERROR(__xludf.DUMMYFUNCTION("""COMPUTED_VALUE"""),5690.0)</f>
        <v>5690</v>
      </c>
      <c r="C2169" s="1">
        <f>IFERROR(__xludf.DUMMYFUNCTION("""COMPUTED_VALUE"""),5700.0)</f>
        <v>5700</v>
      </c>
      <c r="D2169" s="1">
        <f>IFERROR(__xludf.DUMMYFUNCTION("""COMPUTED_VALUE"""),5600.0)</f>
        <v>5600</v>
      </c>
      <c r="E2169" s="1">
        <f>IFERROR(__xludf.DUMMYFUNCTION("""COMPUTED_VALUE"""),5640.0)</f>
        <v>5640</v>
      </c>
      <c r="F2169" s="1">
        <f>IFERROR(__xludf.DUMMYFUNCTION("""COMPUTED_VALUE"""),60013.0)</f>
        <v>60013</v>
      </c>
    </row>
    <row r="2170">
      <c r="A2170" s="2">
        <f>IFERROR(__xludf.DUMMYFUNCTION("""COMPUTED_VALUE"""),44418.64583333333)</f>
        <v>44418.64583</v>
      </c>
      <c r="B2170" s="1">
        <f>IFERROR(__xludf.DUMMYFUNCTION("""COMPUTED_VALUE"""),5590.0)</f>
        <v>5590</v>
      </c>
      <c r="C2170" s="1">
        <f>IFERROR(__xludf.DUMMYFUNCTION("""COMPUTED_VALUE"""),5640.0)</f>
        <v>5640</v>
      </c>
      <c r="D2170" s="1">
        <f>IFERROR(__xludf.DUMMYFUNCTION("""COMPUTED_VALUE"""),5490.0)</f>
        <v>5490</v>
      </c>
      <c r="E2170" s="1">
        <f>IFERROR(__xludf.DUMMYFUNCTION("""COMPUTED_VALUE"""),5540.0)</f>
        <v>5540</v>
      </c>
      <c r="F2170" s="1">
        <f>IFERROR(__xludf.DUMMYFUNCTION("""COMPUTED_VALUE"""),79905.0)</f>
        <v>79905</v>
      </c>
    </row>
    <row r="2171">
      <c r="A2171" s="2">
        <f>IFERROR(__xludf.DUMMYFUNCTION("""COMPUTED_VALUE"""),44419.64583333333)</f>
        <v>44419.64583</v>
      </c>
      <c r="B2171" s="1">
        <f>IFERROR(__xludf.DUMMYFUNCTION("""COMPUTED_VALUE"""),5540.0)</f>
        <v>5540</v>
      </c>
      <c r="C2171" s="1">
        <f>IFERROR(__xludf.DUMMYFUNCTION("""COMPUTED_VALUE"""),5760.0)</f>
        <v>5760</v>
      </c>
      <c r="D2171" s="1">
        <f>IFERROR(__xludf.DUMMYFUNCTION("""COMPUTED_VALUE"""),5490.0)</f>
        <v>5490</v>
      </c>
      <c r="E2171" s="1">
        <f>IFERROR(__xludf.DUMMYFUNCTION("""COMPUTED_VALUE"""),5730.0)</f>
        <v>5730</v>
      </c>
      <c r="F2171" s="1">
        <f>IFERROR(__xludf.DUMMYFUNCTION("""COMPUTED_VALUE"""),149995.0)</f>
        <v>149995</v>
      </c>
    </row>
    <row r="2172">
      <c r="A2172" s="2">
        <f>IFERROR(__xludf.DUMMYFUNCTION("""COMPUTED_VALUE"""),44420.64583333333)</f>
        <v>44420.64583</v>
      </c>
      <c r="B2172" s="1">
        <f>IFERROR(__xludf.DUMMYFUNCTION("""COMPUTED_VALUE"""),5730.0)</f>
        <v>5730</v>
      </c>
      <c r="C2172" s="1">
        <f>IFERROR(__xludf.DUMMYFUNCTION("""COMPUTED_VALUE"""),5840.0)</f>
        <v>5840</v>
      </c>
      <c r="D2172" s="1">
        <f>IFERROR(__xludf.DUMMYFUNCTION("""COMPUTED_VALUE"""),5680.0)</f>
        <v>5680</v>
      </c>
      <c r="E2172" s="1">
        <f>IFERROR(__xludf.DUMMYFUNCTION("""COMPUTED_VALUE"""),5770.0)</f>
        <v>5770</v>
      </c>
      <c r="F2172" s="1">
        <f>IFERROR(__xludf.DUMMYFUNCTION("""COMPUTED_VALUE"""),105352.0)</f>
        <v>105352</v>
      </c>
    </row>
    <row r="2173">
      <c r="A2173" s="2">
        <f>IFERROR(__xludf.DUMMYFUNCTION("""COMPUTED_VALUE"""),44421.64583333333)</f>
        <v>44421.64583</v>
      </c>
      <c r="B2173" s="1">
        <f>IFERROR(__xludf.DUMMYFUNCTION("""COMPUTED_VALUE"""),5750.0)</f>
        <v>5750</v>
      </c>
      <c r="C2173" s="1">
        <f>IFERROR(__xludf.DUMMYFUNCTION("""COMPUTED_VALUE"""),5780.0)</f>
        <v>5780</v>
      </c>
      <c r="D2173" s="1">
        <f>IFERROR(__xludf.DUMMYFUNCTION("""COMPUTED_VALUE"""),5500.0)</f>
        <v>5500</v>
      </c>
      <c r="E2173" s="1">
        <f>IFERROR(__xludf.DUMMYFUNCTION("""COMPUTED_VALUE"""),5660.0)</f>
        <v>5660</v>
      </c>
      <c r="F2173" s="1">
        <f>IFERROR(__xludf.DUMMYFUNCTION("""COMPUTED_VALUE"""),137465.0)</f>
        <v>137465</v>
      </c>
    </row>
    <row r="2174">
      <c r="A2174" s="2">
        <f>IFERROR(__xludf.DUMMYFUNCTION("""COMPUTED_VALUE"""),44425.64583333333)</f>
        <v>44425.64583</v>
      </c>
      <c r="B2174" s="1">
        <f>IFERROR(__xludf.DUMMYFUNCTION("""COMPUTED_VALUE"""),5570.0)</f>
        <v>5570</v>
      </c>
      <c r="C2174" s="1">
        <f>IFERROR(__xludf.DUMMYFUNCTION("""COMPUTED_VALUE"""),5650.0)</f>
        <v>5650</v>
      </c>
      <c r="D2174" s="1">
        <f>IFERROR(__xludf.DUMMYFUNCTION("""COMPUTED_VALUE"""),5280.0)</f>
        <v>5280</v>
      </c>
      <c r="E2174" s="1">
        <f>IFERROR(__xludf.DUMMYFUNCTION("""COMPUTED_VALUE"""),5410.0)</f>
        <v>5410</v>
      </c>
      <c r="F2174" s="1">
        <f>IFERROR(__xludf.DUMMYFUNCTION("""COMPUTED_VALUE"""),148388.0)</f>
        <v>148388</v>
      </c>
    </row>
    <row r="2175">
      <c r="A2175" s="2">
        <f>IFERROR(__xludf.DUMMYFUNCTION("""COMPUTED_VALUE"""),44426.64583333333)</f>
        <v>44426.64583</v>
      </c>
      <c r="B2175" s="1">
        <f>IFERROR(__xludf.DUMMYFUNCTION("""COMPUTED_VALUE"""),5400.0)</f>
        <v>5400</v>
      </c>
      <c r="C2175" s="1">
        <f>IFERROR(__xludf.DUMMYFUNCTION("""COMPUTED_VALUE"""),5430.0)</f>
        <v>5430</v>
      </c>
      <c r="D2175" s="1">
        <f>IFERROR(__xludf.DUMMYFUNCTION("""COMPUTED_VALUE"""),5050.0)</f>
        <v>5050</v>
      </c>
      <c r="E2175" s="1">
        <f>IFERROR(__xludf.DUMMYFUNCTION("""COMPUTED_VALUE"""),5060.0)</f>
        <v>5060</v>
      </c>
      <c r="F2175" s="1">
        <f>IFERROR(__xludf.DUMMYFUNCTION("""COMPUTED_VALUE"""),248417.0)</f>
        <v>248417</v>
      </c>
    </row>
    <row r="2176">
      <c r="A2176" s="2">
        <f>IFERROR(__xludf.DUMMYFUNCTION("""COMPUTED_VALUE"""),44427.64583333333)</f>
        <v>44427.64583</v>
      </c>
      <c r="B2176" s="1">
        <f>IFERROR(__xludf.DUMMYFUNCTION("""COMPUTED_VALUE"""),5050.0)</f>
        <v>5050</v>
      </c>
      <c r="C2176" s="1">
        <f>IFERROR(__xludf.DUMMYFUNCTION("""COMPUTED_VALUE"""),5060.0)</f>
        <v>5060</v>
      </c>
      <c r="D2176" s="1">
        <f>IFERROR(__xludf.DUMMYFUNCTION("""COMPUTED_VALUE"""),4660.0)</f>
        <v>4660</v>
      </c>
      <c r="E2176" s="1">
        <f>IFERROR(__xludf.DUMMYFUNCTION("""COMPUTED_VALUE"""),4735.0)</f>
        <v>4735</v>
      </c>
      <c r="F2176" s="1">
        <f>IFERROR(__xludf.DUMMYFUNCTION("""COMPUTED_VALUE"""),260003.0)</f>
        <v>260003</v>
      </c>
    </row>
    <row r="2177">
      <c r="A2177" s="2">
        <f>IFERROR(__xludf.DUMMYFUNCTION("""COMPUTED_VALUE"""),44428.64583333333)</f>
        <v>44428.64583</v>
      </c>
      <c r="B2177" s="1">
        <f>IFERROR(__xludf.DUMMYFUNCTION("""COMPUTED_VALUE"""),4800.0)</f>
        <v>4800</v>
      </c>
      <c r="C2177" s="1">
        <f>IFERROR(__xludf.DUMMYFUNCTION("""COMPUTED_VALUE"""),4800.0)</f>
        <v>4800</v>
      </c>
      <c r="D2177" s="1">
        <f>IFERROR(__xludf.DUMMYFUNCTION("""COMPUTED_VALUE"""),4550.0)</f>
        <v>4550</v>
      </c>
      <c r="E2177" s="1">
        <f>IFERROR(__xludf.DUMMYFUNCTION("""COMPUTED_VALUE"""),4780.0)</f>
        <v>4780</v>
      </c>
      <c r="F2177" s="1">
        <f>IFERROR(__xludf.DUMMYFUNCTION("""COMPUTED_VALUE"""),123076.0)</f>
        <v>123076</v>
      </c>
    </row>
    <row r="2178">
      <c r="A2178" s="2">
        <f>IFERROR(__xludf.DUMMYFUNCTION("""COMPUTED_VALUE"""),44431.64583333333)</f>
        <v>44431.64583</v>
      </c>
      <c r="B2178" s="1">
        <f>IFERROR(__xludf.DUMMYFUNCTION("""COMPUTED_VALUE"""),4700.0)</f>
        <v>4700</v>
      </c>
      <c r="C2178" s="1">
        <f>IFERROR(__xludf.DUMMYFUNCTION("""COMPUTED_VALUE"""),5040.0)</f>
        <v>5040</v>
      </c>
      <c r="D2178" s="1">
        <f>IFERROR(__xludf.DUMMYFUNCTION("""COMPUTED_VALUE"""),4700.0)</f>
        <v>4700</v>
      </c>
      <c r="E2178" s="1">
        <f>IFERROR(__xludf.DUMMYFUNCTION("""COMPUTED_VALUE"""),4880.0)</f>
        <v>4880</v>
      </c>
      <c r="F2178" s="1">
        <f>IFERROR(__xludf.DUMMYFUNCTION("""COMPUTED_VALUE"""),129480.0)</f>
        <v>129480</v>
      </c>
    </row>
    <row r="2179">
      <c r="A2179" s="2">
        <f>IFERROR(__xludf.DUMMYFUNCTION("""COMPUTED_VALUE"""),44432.64583333333)</f>
        <v>44432.64583</v>
      </c>
      <c r="B2179" s="1">
        <f>IFERROR(__xludf.DUMMYFUNCTION("""COMPUTED_VALUE"""),5020.0)</f>
        <v>5020</v>
      </c>
      <c r="C2179" s="1">
        <f>IFERROR(__xludf.DUMMYFUNCTION("""COMPUTED_VALUE"""),5100.0)</f>
        <v>5100</v>
      </c>
      <c r="D2179" s="1">
        <f>IFERROR(__xludf.DUMMYFUNCTION("""COMPUTED_VALUE"""),4935.0)</f>
        <v>4935</v>
      </c>
      <c r="E2179" s="1">
        <f>IFERROR(__xludf.DUMMYFUNCTION("""COMPUTED_VALUE"""),4990.0)</f>
        <v>4990</v>
      </c>
      <c r="F2179" s="1">
        <f>IFERROR(__xludf.DUMMYFUNCTION("""COMPUTED_VALUE"""),76442.0)</f>
        <v>76442</v>
      </c>
    </row>
    <row r="2180">
      <c r="A2180" s="2">
        <f>IFERROR(__xludf.DUMMYFUNCTION("""COMPUTED_VALUE"""),44433.64583333333)</f>
        <v>44433.64583</v>
      </c>
      <c r="B2180" s="1">
        <f>IFERROR(__xludf.DUMMYFUNCTION("""COMPUTED_VALUE"""),4990.0)</f>
        <v>4990</v>
      </c>
      <c r="C2180" s="1">
        <f>IFERROR(__xludf.DUMMYFUNCTION("""COMPUTED_VALUE"""),5000.0)</f>
        <v>5000</v>
      </c>
      <c r="D2180" s="1">
        <f>IFERROR(__xludf.DUMMYFUNCTION("""COMPUTED_VALUE"""),4750.0)</f>
        <v>4750</v>
      </c>
      <c r="E2180" s="1">
        <f>IFERROR(__xludf.DUMMYFUNCTION("""COMPUTED_VALUE"""),4820.0)</f>
        <v>4820</v>
      </c>
      <c r="F2180" s="1">
        <f>IFERROR(__xludf.DUMMYFUNCTION("""COMPUTED_VALUE"""),151620.0)</f>
        <v>151620</v>
      </c>
    </row>
    <row r="2181">
      <c r="A2181" s="2">
        <f>IFERROR(__xludf.DUMMYFUNCTION("""COMPUTED_VALUE"""),44434.64583333333)</f>
        <v>44434.64583</v>
      </c>
      <c r="B2181" s="1">
        <f>IFERROR(__xludf.DUMMYFUNCTION("""COMPUTED_VALUE"""),4820.0)</f>
        <v>4820</v>
      </c>
      <c r="C2181" s="1">
        <f>IFERROR(__xludf.DUMMYFUNCTION("""COMPUTED_VALUE"""),4900.0)</f>
        <v>4900</v>
      </c>
      <c r="D2181" s="1">
        <f>IFERROR(__xludf.DUMMYFUNCTION("""COMPUTED_VALUE"""),4700.0)</f>
        <v>4700</v>
      </c>
      <c r="E2181" s="1">
        <f>IFERROR(__xludf.DUMMYFUNCTION("""COMPUTED_VALUE"""),4780.0)</f>
        <v>4780</v>
      </c>
      <c r="F2181" s="1">
        <f>IFERROR(__xludf.DUMMYFUNCTION("""COMPUTED_VALUE"""),96680.0)</f>
        <v>96680</v>
      </c>
    </row>
    <row r="2182">
      <c r="A2182" s="2">
        <f>IFERROR(__xludf.DUMMYFUNCTION("""COMPUTED_VALUE"""),44435.64583333333)</f>
        <v>44435.64583</v>
      </c>
      <c r="B2182" s="1">
        <f>IFERROR(__xludf.DUMMYFUNCTION("""COMPUTED_VALUE"""),4740.0)</f>
        <v>4740</v>
      </c>
      <c r="C2182" s="1">
        <f>IFERROR(__xludf.DUMMYFUNCTION("""COMPUTED_VALUE"""),4950.0)</f>
        <v>4950</v>
      </c>
      <c r="D2182" s="1">
        <f>IFERROR(__xludf.DUMMYFUNCTION("""COMPUTED_VALUE"""),4640.0)</f>
        <v>4640</v>
      </c>
      <c r="E2182" s="1">
        <f>IFERROR(__xludf.DUMMYFUNCTION("""COMPUTED_VALUE"""),4880.0)</f>
        <v>4880</v>
      </c>
      <c r="F2182" s="1">
        <f>IFERROR(__xludf.DUMMYFUNCTION("""COMPUTED_VALUE"""),72393.0)</f>
        <v>72393</v>
      </c>
    </row>
    <row r="2183">
      <c r="A2183" s="2">
        <f>IFERROR(__xludf.DUMMYFUNCTION("""COMPUTED_VALUE"""),44438.64583333333)</f>
        <v>44438.64583</v>
      </c>
      <c r="B2183" s="1">
        <f>IFERROR(__xludf.DUMMYFUNCTION("""COMPUTED_VALUE"""),4905.0)</f>
        <v>4905</v>
      </c>
      <c r="C2183" s="1">
        <f>IFERROR(__xludf.DUMMYFUNCTION("""COMPUTED_VALUE"""),5000.0)</f>
        <v>5000</v>
      </c>
      <c r="D2183" s="1">
        <f>IFERROR(__xludf.DUMMYFUNCTION("""COMPUTED_VALUE"""),4880.0)</f>
        <v>4880</v>
      </c>
      <c r="E2183" s="1">
        <f>IFERROR(__xludf.DUMMYFUNCTION("""COMPUTED_VALUE"""),4935.0)</f>
        <v>4935</v>
      </c>
      <c r="F2183" s="1">
        <f>IFERROR(__xludf.DUMMYFUNCTION("""COMPUTED_VALUE"""),86237.0)</f>
        <v>86237</v>
      </c>
    </row>
    <row r="2184">
      <c r="A2184" s="2">
        <f>IFERROR(__xludf.DUMMYFUNCTION("""COMPUTED_VALUE"""),44439.64583333333)</f>
        <v>44439.64583</v>
      </c>
      <c r="B2184" s="1">
        <f>IFERROR(__xludf.DUMMYFUNCTION("""COMPUTED_VALUE"""),5000.0)</f>
        <v>5000</v>
      </c>
      <c r="C2184" s="1">
        <f>IFERROR(__xludf.DUMMYFUNCTION("""COMPUTED_VALUE"""),5000.0)</f>
        <v>5000</v>
      </c>
      <c r="D2184" s="1">
        <f>IFERROR(__xludf.DUMMYFUNCTION("""COMPUTED_VALUE"""),4810.0)</f>
        <v>4810</v>
      </c>
      <c r="E2184" s="1">
        <f>IFERROR(__xludf.DUMMYFUNCTION("""COMPUTED_VALUE"""),4940.0)</f>
        <v>4940</v>
      </c>
      <c r="F2184" s="1">
        <f>IFERROR(__xludf.DUMMYFUNCTION("""COMPUTED_VALUE"""),40175.0)</f>
        <v>40175</v>
      </c>
    </row>
    <row r="2185">
      <c r="A2185" s="2">
        <f>IFERROR(__xludf.DUMMYFUNCTION("""COMPUTED_VALUE"""),44440.64583333333)</f>
        <v>44440.64583</v>
      </c>
      <c r="B2185" s="1">
        <f>IFERROR(__xludf.DUMMYFUNCTION("""COMPUTED_VALUE"""),5000.0)</f>
        <v>5000</v>
      </c>
      <c r="C2185" s="1">
        <f>IFERROR(__xludf.DUMMYFUNCTION("""COMPUTED_VALUE"""),5000.0)</f>
        <v>5000</v>
      </c>
      <c r="D2185" s="1">
        <f>IFERROR(__xludf.DUMMYFUNCTION("""COMPUTED_VALUE"""),4875.0)</f>
        <v>4875</v>
      </c>
      <c r="E2185" s="1">
        <f>IFERROR(__xludf.DUMMYFUNCTION("""COMPUTED_VALUE"""),4915.0)</f>
        <v>4915</v>
      </c>
      <c r="F2185" s="1">
        <f>IFERROR(__xludf.DUMMYFUNCTION("""COMPUTED_VALUE"""),43134.0)</f>
        <v>43134</v>
      </c>
    </row>
    <row r="2186">
      <c r="A2186" s="2">
        <f>IFERROR(__xludf.DUMMYFUNCTION("""COMPUTED_VALUE"""),44441.64583333333)</f>
        <v>44441.64583</v>
      </c>
      <c r="B2186" s="1">
        <f>IFERROR(__xludf.DUMMYFUNCTION("""COMPUTED_VALUE"""),4930.0)</f>
        <v>4930</v>
      </c>
      <c r="C2186" s="1">
        <f>IFERROR(__xludf.DUMMYFUNCTION("""COMPUTED_VALUE"""),4940.0)</f>
        <v>4940</v>
      </c>
      <c r="D2186" s="1">
        <f>IFERROR(__xludf.DUMMYFUNCTION("""COMPUTED_VALUE"""),4795.0)</f>
        <v>4795</v>
      </c>
      <c r="E2186" s="1">
        <f>IFERROR(__xludf.DUMMYFUNCTION("""COMPUTED_VALUE"""),4815.0)</f>
        <v>4815</v>
      </c>
      <c r="F2186" s="1">
        <f>IFERROR(__xludf.DUMMYFUNCTION("""COMPUTED_VALUE"""),66953.0)</f>
        <v>66953</v>
      </c>
    </row>
    <row r="2187">
      <c r="A2187" s="2">
        <f>IFERROR(__xludf.DUMMYFUNCTION("""COMPUTED_VALUE"""),44442.64583333333)</f>
        <v>44442.64583</v>
      </c>
      <c r="B2187" s="1">
        <f>IFERROR(__xludf.DUMMYFUNCTION("""COMPUTED_VALUE"""),4800.0)</f>
        <v>4800</v>
      </c>
      <c r="C2187" s="1">
        <f>IFERROR(__xludf.DUMMYFUNCTION("""COMPUTED_VALUE"""),4865.0)</f>
        <v>4865</v>
      </c>
      <c r="D2187" s="1">
        <f>IFERROR(__xludf.DUMMYFUNCTION("""COMPUTED_VALUE"""),4645.0)</f>
        <v>4645</v>
      </c>
      <c r="E2187" s="1">
        <f>IFERROR(__xludf.DUMMYFUNCTION("""COMPUTED_VALUE"""),4810.0)</f>
        <v>4810</v>
      </c>
      <c r="F2187" s="1">
        <f>IFERROR(__xludf.DUMMYFUNCTION("""COMPUTED_VALUE"""),177970.0)</f>
        <v>177970</v>
      </c>
    </row>
    <row r="2188">
      <c r="A2188" s="2">
        <f>IFERROR(__xludf.DUMMYFUNCTION("""COMPUTED_VALUE"""),44445.64583333333)</f>
        <v>44445.64583</v>
      </c>
      <c r="B2188" s="1">
        <f>IFERROR(__xludf.DUMMYFUNCTION("""COMPUTED_VALUE"""),4810.0)</f>
        <v>4810</v>
      </c>
      <c r="C2188" s="1">
        <f>IFERROR(__xludf.DUMMYFUNCTION("""COMPUTED_VALUE"""),4890.0)</f>
        <v>4890</v>
      </c>
      <c r="D2188" s="1">
        <f>IFERROR(__xludf.DUMMYFUNCTION("""COMPUTED_VALUE"""),4780.0)</f>
        <v>4780</v>
      </c>
      <c r="E2188" s="1">
        <f>IFERROR(__xludf.DUMMYFUNCTION("""COMPUTED_VALUE"""),4820.0)</f>
        <v>4820</v>
      </c>
      <c r="F2188" s="1">
        <f>IFERROR(__xludf.DUMMYFUNCTION("""COMPUTED_VALUE"""),71413.0)</f>
        <v>71413</v>
      </c>
    </row>
    <row r="2189">
      <c r="A2189" s="2">
        <f>IFERROR(__xludf.DUMMYFUNCTION("""COMPUTED_VALUE"""),44446.64583333333)</f>
        <v>44446.64583</v>
      </c>
      <c r="B2189" s="1">
        <f>IFERROR(__xludf.DUMMYFUNCTION("""COMPUTED_VALUE"""),4810.0)</f>
        <v>4810</v>
      </c>
      <c r="C2189" s="1">
        <f>IFERROR(__xludf.DUMMYFUNCTION("""COMPUTED_VALUE"""),4905.0)</f>
        <v>4905</v>
      </c>
      <c r="D2189" s="1">
        <f>IFERROR(__xludf.DUMMYFUNCTION("""COMPUTED_VALUE"""),4720.0)</f>
        <v>4720</v>
      </c>
      <c r="E2189" s="1">
        <f>IFERROR(__xludf.DUMMYFUNCTION("""COMPUTED_VALUE"""),4750.0)</f>
        <v>4750</v>
      </c>
      <c r="F2189" s="1">
        <f>IFERROR(__xludf.DUMMYFUNCTION("""COMPUTED_VALUE"""),64826.0)</f>
        <v>64826</v>
      </c>
    </row>
    <row r="2190">
      <c r="A2190" s="2">
        <f>IFERROR(__xludf.DUMMYFUNCTION("""COMPUTED_VALUE"""),44447.64583333333)</f>
        <v>44447.64583</v>
      </c>
      <c r="B2190" s="1">
        <f>IFERROR(__xludf.DUMMYFUNCTION("""COMPUTED_VALUE"""),4745.0)</f>
        <v>4745</v>
      </c>
      <c r="C2190" s="1">
        <f>IFERROR(__xludf.DUMMYFUNCTION("""COMPUTED_VALUE"""),4790.0)</f>
        <v>4790</v>
      </c>
      <c r="D2190" s="1">
        <f>IFERROR(__xludf.DUMMYFUNCTION("""COMPUTED_VALUE"""),4600.0)</f>
        <v>4600</v>
      </c>
      <c r="E2190" s="1">
        <f>IFERROR(__xludf.DUMMYFUNCTION("""COMPUTED_VALUE"""),4670.0)</f>
        <v>4670</v>
      </c>
      <c r="F2190" s="1">
        <f>IFERROR(__xludf.DUMMYFUNCTION("""COMPUTED_VALUE"""),133816.0)</f>
        <v>133816</v>
      </c>
    </row>
    <row r="2191">
      <c r="A2191" s="2">
        <f>IFERROR(__xludf.DUMMYFUNCTION("""COMPUTED_VALUE"""),44448.64583333333)</f>
        <v>44448.64583</v>
      </c>
      <c r="B2191" s="1">
        <f>IFERROR(__xludf.DUMMYFUNCTION("""COMPUTED_VALUE"""),4670.0)</f>
        <v>4670</v>
      </c>
      <c r="C2191" s="1">
        <f>IFERROR(__xludf.DUMMYFUNCTION("""COMPUTED_VALUE"""),4735.0)</f>
        <v>4735</v>
      </c>
      <c r="D2191" s="1">
        <f>IFERROR(__xludf.DUMMYFUNCTION("""COMPUTED_VALUE"""),4560.0)</f>
        <v>4560</v>
      </c>
      <c r="E2191" s="1">
        <f>IFERROR(__xludf.DUMMYFUNCTION("""COMPUTED_VALUE"""),4585.0)</f>
        <v>4585</v>
      </c>
      <c r="F2191" s="1">
        <f>IFERROR(__xludf.DUMMYFUNCTION("""COMPUTED_VALUE"""),85793.0)</f>
        <v>85793</v>
      </c>
    </row>
    <row r="2192">
      <c r="A2192" s="2">
        <f>IFERROR(__xludf.DUMMYFUNCTION("""COMPUTED_VALUE"""),44449.64583333333)</f>
        <v>44449.64583</v>
      </c>
      <c r="B2192" s="1">
        <f>IFERROR(__xludf.DUMMYFUNCTION("""COMPUTED_VALUE"""),4580.0)</f>
        <v>4580</v>
      </c>
      <c r="C2192" s="1">
        <f>IFERROR(__xludf.DUMMYFUNCTION("""COMPUTED_VALUE"""),4765.0)</f>
        <v>4765</v>
      </c>
      <c r="D2192" s="1">
        <f>IFERROR(__xludf.DUMMYFUNCTION("""COMPUTED_VALUE"""),4550.0)</f>
        <v>4550</v>
      </c>
      <c r="E2192" s="1">
        <f>IFERROR(__xludf.DUMMYFUNCTION("""COMPUTED_VALUE"""),4720.0)</f>
        <v>4720</v>
      </c>
      <c r="F2192" s="1">
        <f>IFERROR(__xludf.DUMMYFUNCTION("""COMPUTED_VALUE"""),82919.0)</f>
        <v>82919</v>
      </c>
    </row>
    <row r="2193">
      <c r="A2193" s="2">
        <f>IFERROR(__xludf.DUMMYFUNCTION("""COMPUTED_VALUE"""),44452.64583333333)</f>
        <v>44452.64583</v>
      </c>
      <c r="B2193" s="1">
        <f>IFERROR(__xludf.DUMMYFUNCTION("""COMPUTED_VALUE"""),4720.0)</f>
        <v>4720</v>
      </c>
      <c r="C2193" s="1">
        <f>IFERROR(__xludf.DUMMYFUNCTION("""COMPUTED_VALUE"""),4720.0)</f>
        <v>4720</v>
      </c>
      <c r="D2193" s="1">
        <f>IFERROR(__xludf.DUMMYFUNCTION("""COMPUTED_VALUE"""),4545.0)</f>
        <v>4545</v>
      </c>
      <c r="E2193" s="1">
        <f>IFERROR(__xludf.DUMMYFUNCTION("""COMPUTED_VALUE"""),4620.0)</f>
        <v>4620</v>
      </c>
      <c r="F2193" s="1">
        <f>IFERROR(__xludf.DUMMYFUNCTION("""COMPUTED_VALUE"""),82633.0)</f>
        <v>82633</v>
      </c>
    </row>
    <row r="2194">
      <c r="A2194" s="2">
        <f>IFERROR(__xludf.DUMMYFUNCTION("""COMPUTED_VALUE"""),44453.64583333333)</f>
        <v>44453.64583</v>
      </c>
      <c r="B2194" s="1">
        <f>IFERROR(__xludf.DUMMYFUNCTION("""COMPUTED_VALUE"""),4620.0)</f>
        <v>4620</v>
      </c>
      <c r="C2194" s="1">
        <f>IFERROR(__xludf.DUMMYFUNCTION("""COMPUTED_VALUE"""),4630.0)</f>
        <v>4630</v>
      </c>
      <c r="D2194" s="1">
        <f>IFERROR(__xludf.DUMMYFUNCTION("""COMPUTED_VALUE"""),4490.0)</f>
        <v>4490</v>
      </c>
      <c r="E2194" s="1">
        <f>IFERROR(__xludf.DUMMYFUNCTION("""COMPUTED_VALUE"""),4520.0)</f>
        <v>4520</v>
      </c>
      <c r="F2194" s="1">
        <f>IFERROR(__xludf.DUMMYFUNCTION("""COMPUTED_VALUE"""),111714.0)</f>
        <v>111714</v>
      </c>
    </row>
    <row r="2195">
      <c r="A2195" s="2">
        <f>IFERROR(__xludf.DUMMYFUNCTION("""COMPUTED_VALUE"""),44454.64583333333)</f>
        <v>44454.64583</v>
      </c>
      <c r="B2195" s="1">
        <f>IFERROR(__xludf.DUMMYFUNCTION("""COMPUTED_VALUE"""),4550.0)</f>
        <v>4550</v>
      </c>
      <c r="C2195" s="1">
        <f>IFERROR(__xludf.DUMMYFUNCTION("""COMPUTED_VALUE"""),4565.0)</f>
        <v>4565</v>
      </c>
      <c r="D2195" s="1">
        <f>IFERROR(__xludf.DUMMYFUNCTION("""COMPUTED_VALUE"""),4485.0)</f>
        <v>4485</v>
      </c>
      <c r="E2195" s="1">
        <f>IFERROR(__xludf.DUMMYFUNCTION("""COMPUTED_VALUE"""),4520.0)</f>
        <v>4520</v>
      </c>
      <c r="F2195" s="1">
        <f>IFERROR(__xludf.DUMMYFUNCTION("""COMPUTED_VALUE"""),50649.0)</f>
        <v>50649</v>
      </c>
    </row>
    <row r="2196">
      <c r="A2196" s="2">
        <f>IFERROR(__xludf.DUMMYFUNCTION("""COMPUTED_VALUE"""),44455.64583333333)</f>
        <v>44455.64583</v>
      </c>
      <c r="B2196" s="1">
        <f>IFERROR(__xludf.DUMMYFUNCTION("""COMPUTED_VALUE"""),4520.0)</f>
        <v>4520</v>
      </c>
      <c r="C2196" s="1">
        <f>IFERROR(__xludf.DUMMYFUNCTION("""COMPUTED_VALUE"""),4525.0)</f>
        <v>4525</v>
      </c>
      <c r="D2196" s="1">
        <f>IFERROR(__xludf.DUMMYFUNCTION("""COMPUTED_VALUE"""),4315.0)</f>
        <v>4315</v>
      </c>
      <c r="E2196" s="1">
        <f>IFERROR(__xludf.DUMMYFUNCTION("""COMPUTED_VALUE"""),4395.0)</f>
        <v>4395</v>
      </c>
      <c r="F2196" s="1">
        <f>IFERROR(__xludf.DUMMYFUNCTION("""COMPUTED_VALUE"""),167345.0)</f>
        <v>167345</v>
      </c>
    </row>
    <row r="2197">
      <c r="A2197" s="2">
        <f>IFERROR(__xludf.DUMMYFUNCTION("""COMPUTED_VALUE"""),44456.64583333333)</f>
        <v>44456.64583</v>
      </c>
      <c r="B2197" s="1">
        <f>IFERROR(__xludf.DUMMYFUNCTION("""COMPUTED_VALUE"""),4395.0)</f>
        <v>4395</v>
      </c>
      <c r="C2197" s="1">
        <f>IFERROR(__xludf.DUMMYFUNCTION("""COMPUTED_VALUE"""),4490.0)</f>
        <v>4490</v>
      </c>
      <c r="D2197" s="1">
        <f>IFERROR(__xludf.DUMMYFUNCTION("""COMPUTED_VALUE"""),4325.0)</f>
        <v>4325</v>
      </c>
      <c r="E2197" s="1">
        <f>IFERROR(__xludf.DUMMYFUNCTION("""COMPUTED_VALUE"""),4400.0)</f>
        <v>4400</v>
      </c>
      <c r="F2197" s="1">
        <f>IFERROR(__xludf.DUMMYFUNCTION("""COMPUTED_VALUE"""),44854.0)</f>
        <v>44854</v>
      </c>
    </row>
    <row r="2198">
      <c r="A2198" s="2">
        <f>IFERROR(__xludf.DUMMYFUNCTION("""COMPUTED_VALUE"""),44462.64583333333)</f>
        <v>44462.64583</v>
      </c>
      <c r="B2198" s="1">
        <f>IFERROR(__xludf.DUMMYFUNCTION("""COMPUTED_VALUE"""),4400.0)</f>
        <v>4400</v>
      </c>
      <c r="C2198" s="1">
        <f>IFERROR(__xludf.DUMMYFUNCTION("""COMPUTED_VALUE"""),4460.0)</f>
        <v>4460</v>
      </c>
      <c r="D2198" s="1">
        <f>IFERROR(__xludf.DUMMYFUNCTION("""COMPUTED_VALUE"""),4310.0)</f>
        <v>4310</v>
      </c>
      <c r="E2198" s="1">
        <f>IFERROR(__xludf.DUMMYFUNCTION("""COMPUTED_VALUE"""),4360.0)</f>
        <v>4360</v>
      </c>
      <c r="F2198" s="1">
        <f>IFERROR(__xludf.DUMMYFUNCTION("""COMPUTED_VALUE"""),34771.0)</f>
        <v>34771</v>
      </c>
    </row>
    <row r="2199">
      <c r="A2199" s="2">
        <f>IFERROR(__xludf.DUMMYFUNCTION("""COMPUTED_VALUE"""),44463.64583333333)</f>
        <v>44463.64583</v>
      </c>
      <c r="B2199" s="1">
        <f>IFERROR(__xludf.DUMMYFUNCTION("""COMPUTED_VALUE"""),4365.0)</f>
        <v>4365</v>
      </c>
      <c r="C2199" s="1">
        <f>IFERROR(__xludf.DUMMYFUNCTION("""COMPUTED_VALUE"""),4475.0)</f>
        <v>4475</v>
      </c>
      <c r="D2199" s="1">
        <f>IFERROR(__xludf.DUMMYFUNCTION("""COMPUTED_VALUE"""),4360.0)</f>
        <v>4360</v>
      </c>
      <c r="E2199" s="1">
        <f>IFERROR(__xludf.DUMMYFUNCTION("""COMPUTED_VALUE"""),4400.0)</f>
        <v>4400</v>
      </c>
      <c r="F2199" s="1">
        <f>IFERROR(__xludf.DUMMYFUNCTION("""COMPUTED_VALUE"""),46239.0)</f>
        <v>46239</v>
      </c>
    </row>
    <row r="2200">
      <c r="A2200" s="2">
        <f>IFERROR(__xludf.DUMMYFUNCTION("""COMPUTED_VALUE"""),44466.64583333333)</f>
        <v>44466.64583</v>
      </c>
      <c r="B2200" s="1">
        <f>IFERROR(__xludf.DUMMYFUNCTION("""COMPUTED_VALUE"""),4385.0)</f>
        <v>4385</v>
      </c>
      <c r="C2200" s="1">
        <f>IFERROR(__xludf.DUMMYFUNCTION("""COMPUTED_VALUE"""),4505.0)</f>
        <v>4505</v>
      </c>
      <c r="D2200" s="1">
        <f>IFERROR(__xludf.DUMMYFUNCTION("""COMPUTED_VALUE"""),4385.0)</f>
        <v>4385</v>
      </c>
      <c r="E2200" s="1">
        <f>IFERROR(__xludf.DUMMYFUNCTION("""COMPUTED_VALUE"""),4500.0)</f>
        <v>4500</v>
      </c>
      <c r="F2200" s="1">
        <f>IFERROR(__xludf.DUMMYFUNCTION("""COMPUTED_VALUE"""),68955.0)</f>
        <v>68955</v>
      </c>
    </row>
    <row r="2201">
      <c r="A2201" s="2">
        <f>IFERROR(__xludf.DUMMYFUNCTION("""COMPUTED_VALUE"""),44467.64583333333)</f>
        <v>44467.64583</v>
      </c>
      <c r="B2201" s="1">
        <f>IFERROR(__xludf.DUMMYFUNCTION("""COMPUTED_VALUE"""),4510.0)</f>
        <v>4510</v>
      </c>
      <c r="C2201" s="1">
        <f>IFERROR(__xludf.DUMMYFUNCTION("""COMPUTED_VALUE"""),4595.0)</f>
        <v>4595</v>
      </c>
      <c r="D2201" s="1">
        <f>IFERROR(__xludf.DUMMYFUNCTION("""COMPUTED_VALUE"""),4420.0)</f>
        <v>4420</v>
      </c>
      <c r="E2201" s="1">
        <f>IFERROR(__xludf.DUMMYFUNCTION("""COMPUTED_VALUE"""),4500.0)</f>
        <v>4500</v>
      </c>
      <c r="F2201" s="1">
        <f>IFERROR(__xludf.DUMMYFUNCTION("""COMPUTED_VALUE"""),51008.0)</f>
        <v>51008</v>
      </c>
    </row>
    <row r="2202">
      <c r="A2202" s="2">
        <f>IFERROR(__xludf.DUMMYFUNCTION("""COMPUTED_VALUE"""),44468.64583333333)</f>
        <v>44468.64583</v>
      </c>
      <c r="B2202" s="1">
        <f>IFERROR(__xludf.DUMMYFUNCTION("""COMPUTED_VALUE"""),4385.0)</f>
        <v>4385</v>
      </c>
      <c r="C2202" s="1">
        <f>IFERROR(__xludf.DUMMYFUNCTION("""COMPUTED_VALUE"""),4505.0)</f>
        <v>4505</v>
      </c>
      <c r="D2202" s="1">
        <f>IFERROR(__xludf.DUMMYFUNCTION("""COMPUTED_VALUE"""),4195.0)</f>
        <v>4195</v>
      </c>
      <c r="E2202" s="1">
        <f>IFERROR(__xludf.DUMMYFUNCTION("""COMPUTED_VALUE"""),4480.0)</f>
        <v>4480</v>
      </c>
      <c r="F2202" s="1">
        <f>IFERROR(__xludf.DUMMYFUNCTION("""COMPUTED_VALUE"""),130052.0)</f>
        <v>130052</v>
      </c>
    </row>
    <row r="2203">
      <c r="A2203" s="2">
        <f>IFERROR(__xludf.DUMMYFUNCTION("""COMPUTED_VALUE"""),44469.64583333333)</f>
        <v>44469.64583</v>
      </c>
      <c r="B2203" s="1">
        <f>IFERROR(__xludf.DUMMYFUNCTION("""COMPUTED_VALUE"""),4485.0)</f>
        <v>4485</v>
      </c>
      <c r="C2203" s="1">
        <f>IFERROR(__xludf.DUMMYFUNCTION("""COMPUTED_VALUE"""),4545.0)</f>
        <v>4545</v>
      </c>
      <c r="D2203" s="1">
        <f>IFERROR(__xludf.DUMMYFUNCTION("""COMPUTED_VALUE"""),4330.0)</f>
        <v>4330</v>
      </c>
      <c r="E2203" s="1">
        <f>IFERROR(__xludf.DUMMYFUNCTION("""COMPUTED_VALUE"""),4375.0)</f>
        <v>4375</v>
      </c>
      <c r="F2203" s="1">
        <f>IFERROR(__xludf.DUMMYFUNCTION("""COMPUTED_VALUE"""),50769.0)</f>
        <v>50769</v>
      </c>
    </row>
    <row r="2204">
      <c r="A2204" s="2">
        <f>IFERROR(__xludf.DUMMYFUNCTION("""COMPUTED_VALUE"""),44470.64583333333)</f>
        <v>44470.64583</v>
      </c>
      <c r="B2204" s="1">
        <f>IFERROR(__xludf.DUMMYFUNCTION("""COMPUTED_VALUE"""),4375.0)</f>
        <v>4375</v>
      </c>
      <c r="C2204" s="1">
        <f>IFERROR(__xludf.DUMMYFUNCTION("""COMPUTED_VALUE"""),4400.0)</f>
        <v>4400</v>
      </c>
      <c r="D2204" s="1">
        <f>IFERROR(__xludf.DUMMYFUNCTION("""COMPUTED_VALUE"""),4170.0)</f>
        <v>4170</v>
      </c>
      <c r="E2204" s="1">
        <f>IFERROR(__xludf.DUMMYFUNCTION("""COMPUTED_VALUE"""),4350.0)</f>
        <v>4350</v>
      </c>
      <c r="F2204" s="1">
        <f>IFERROR(__xludf.DUMMYFUNCTION("""COMPUTED_VALUE"""),87841.0)</f>
        <v>87841</v>
      </c>
    </row>
    <row r="2205">
      <c r="A2205" s="2">
        <f>IFERROR(__xludf.DUMMYFUNCTION("""COMPUTED_VALUE"""),44474.64583333333)</f>
        <v>44474.64583</v>
      </c>
      <c r="B2205" s="1">
        <f>IFERROR(__xludf.DUMMYFUNCTION("""COMPUTED_VALUE"""),4350.0)</f>
        <v>4350</v>
      </c>
      <c r="C2205" s="1">
        <f>IFERROR(__xludf.DUMMYFUNCTION("""COMPUTED_VALUE"""),4350.0)</f>
        <v>4350</v>
      </c>
      <c r="D2205" s="1">
        <f>IFERROR(__xludf.DUMMYFUNCTION("""COMPUTED_VALUE"""),3900.0)</f>
        <v>3900</v>
      </c>
      <c r="E2205" s="1">
        <f>IFERROR(__xludf.DUMMYFUNCTION("""COMPUTED_VALUE"""),4080.0)</f>
        <v>4080</v>
      </c>
      <c r="F2205" s="1">
        <f>IFERROR(__xludf.DUMMYFUNCTION("""COMPUTED_VALUE"""),413462.0)</f>
        <v>413462</v>
      </c>
    </row>
    <row r="2206">
      <c r="A2206" s="2">
        <f>IFERROR(__xludf.DUMMYFUNCTION("""COMPUTED_VALUE"""),44475.64583333333)</f>
        <v>44475.64583</v>
      </c>
      <c r="B2206" s="1">
        <f>IFERROR(__xludf.DUMMYFUNCTION("""COMPUTED_VALUE"""),4100.0)</f>
        <v>4100</v>
      </c>
      <c r="C2206" s="1">
        <f>IFERROR(__xludf.DUMMYFUNCTION("""COMPUTED_VALUE"""),4190.0)</f>
        <v>4190</v>
      </c>
      <c r="D2206" s="1">
        <f>IFERROR(__xludf.DUMMYFUNCTION("""COMPUTED_VALUE"""),3795.0)</f>
        <v>3795</v>
      </c>
      <c r="E2206" s="1">
        <f>IFERROR(__xludf.DUMMYFUNCTION("""COMPUTED_VALUE"""),3870.0)</f>
        <v>3870</v>
      </c>
      <c r="F2206" s="1">
        <f>IFERROR(__xludf.DUMMYFUNCTION("""COMPUTED_VALUE"""),158492.0)</f>
        <v>158492</v>
      </c>
    </row>
    <row r="2207">
      <c r="A2207" s="2">
        <f>IFERROR(__xludf.DUMMYFUNCTION("""COMPUTED_VALUE"""),44476.64583333333)</f>
        <v>44476.64583</v>
      </c>
      <c r="B2207" s="1">
        <f>IFERROR(__xludf.DUMMYFUNCTION("""COMPUTED_VALUE"""),3825.0)</f>
        <v>3825</v>
      </c>
      <c r="C2207" s="1">
        <f>IFERROR(__xludf.DUMMYFUNCTION("""COMPUTED_VALUE"""),3995.0)</f>
        <v>3995</v>
      </c>
      <c r="D2207" s="1">
        <f>IFERROR(__xludf.DUMMYFUNCTION("""COMPUTED_VALUE"""),3825.0)</f>
        <v>3825</v>
      </c>
      <c r="E2207" s="1">
        <f>IFERROR(__xludf.DUMMYFUNCTION("""COMPUTED_VALUE"""),3960.0)</f>
        <v>3960</v>
      </c>
      <c r="F2207" s="1">
        <f>IFERROR(__xludf.DUMMYFUNCTION("""COMPUTED_VALUE"""),45067.0)</f>
        <v>45067</v>
      </c>
    </row>
    <row r="2208">
      <c r="A2208" s="2">
        <f>IFERROR(__xludf.DUMMYFUNCTION("""COMPUTED_VALUE"""),44477.64583333333)</f>
        <v>44477.64583</v>
      </c>
      <c r="B2208" s="1">
        <f>IFERROR(__xludf.DUMMYFUNCTION("""COMPUTED_VALUE"""),3965.0)</f>
        <v>3965</v>
      </c>
      <c r="C2208" s="1">
        <f>IFERROR(__xludf.DUMMYFUNCTION("""COMPUTED_VALUE"""),4135.0)</f>
        <v>4135</v>
      </c>
      <c r="D2208" s="1">
        <f>IFERROR(__xludf.DUMMYFUNCTION("""COMPUTED_VALUE"""),3965.0)</f>
        <v>3965</v>
      </c>
      <c r="E2208" s="1">
        <f>IFERROR(__xludf.DUMMYFUNCTION("""COMPUTED_VALUE"""),4055.0)</f>
        <v>4055</v>
      </c>
      <c r="F2208" s="1">
        <f>IFERROR(__xludf.DUMMYFUNCTION("""COMPUTED_VALUE"""),46669.0)</f>
        <v>46669</v>
      </c>
    </row>
    <row r="2209">
      <c r="A2209" s="2">
        <f>IFERROR(__xludf.DUMMYFUNCTION("""COMPUTED_VALUE"""),44481.64583333333)</f>
        <v>44481.64583</v>
      </c>
      <c r="B2209" s="1">
        <f>IFERROR(__xludf.DUMMYFUNCTION("""COMPUTED_VALUE"""),4060.0)</f>
        <v>4060</v>
      </c>
      <c r="C2209" s="1">
        <f>IFERROR(__xludf.DUMMYFUNCTION("""COMPUTED_VALUE"""),4080.0)</f>
        <v>4080</v>
      </c>
      <c r="D2209" s="1">
        <f>IFERROR(__xludf.DUMMYFUNCTION("""COMPUTED_VALUE"""),3820.0)</f>
        <v>3820</v>
      </c>
      <c r="E2209" s="1">
        <f>IFERROR(__xludf.DUMMYFUNCTION("""COMPUTED_VALUE"""),3970.0)</f>
        <v>3970</v>
      </c>
      <c r="F2209" s="1">
        <f>IFERROR(__xludf.DUMMYFUNCTION("""COMPUTED_VALUE"""),72753.0)</f>
        <v>72753</v>
      </c>
    </row>
    <row r="2210">
      <c r="A2210" s="2">
        <f>IFERROR(__xludf.DUMMYFUNCTION("""COMPUTED_VALUE"""),44482.64583333333)</f>
        <v>44482.64583</v>
      </c>
      <c r="B2210" s="1">
        <f>IFERROR(__xludf.DUMMYFUNCTION("""COMPUTED_VALUE"""),3945.0)</f>
        <v>3945</v>
      </c>
      <c r="C2210" s="1">
        <f>IFERROR(__xludf.DUMMYFUNCTION("""COMPUTED_VALUE"""),4135.0)</f>
        <v>4135</v>
      </c>
      <c r="D2210" s="1">
        <f>IFERROR(__xludf.DUMMYFUNCTION("""COMPUTED_VALUE"""),3905.0)</f>
        <v>3905</v>
      </c>
      <c r="E2210" s="1">
        <f>IFERROR(__xludf.DUMMYFUNCTION("""COMPUTED_VALUE"""),4050.0)</f>
        <v>4050</v>
      </c>
      <c r="F2210" s="1">
        <f>IFERROR(__xludf.DUMMYFUNCTION("""COMPUTED_VALUE"""),67948.0)</f>
        <v>67948</v>
      </c>
    </row>
    <row r="2211">
      <c r="A2211" s="2">
        <f>IFERROR(__xludf.DUMMYFUNCTION("""COMPUTED_VALUE"""),44483.64583333333)</f>
        <v>44483.64583</v>
      </c>
      <c r="B2211" s="1">
        <f>IFERROR(__xludf.DUMMYFUNCTION("""COMPUTED_VALUE"""),4035.0)</f>
        <v>4035</v>
      </c>
      <c r="C2211" s="1">
        <f>IFERROR(__xludf.DUMMYFUNCTION("""COMPUTED_VALUE"""),4115.0)</f>
        <v>4115</v>
      </c>
      <c r="D2211" s="1">
        <f>IFERROR(__xludf.DUMMYFUNCTION("""COMPUTED_VALUE"""),3980.0)</f>
        <v>3980</v>
      </c>
      <c r="E2211" s="1">
        <f>IFERROR(__xludf.DUMMYFUNCTION("""COMPUTED_VALUE"""),4070.0)</f>
        <v>4070</v>
      </c>
      <c r="F2211" s="1">
        <f>IFERROR(__xludf.DUMMYFUNCTION("""COMPUTED_VALUE"""),37468.0)</f>
        <v>37468</v>
      </c>
    </row>
    <row r="2212">
      <c r="A2212" s="2">
        <f>IFERROR(__xludf.DUMMYFUNCTION("""COMPUTED_VALUE"""),44484.64583333333)</f>
        <v>44484.64583</v>
      </c>
      <c r="B2212" s="1">
        <f>IFERROR(__xludf.DUMMYFUNCTION("""COMPUTED_VALUE"""),4100.0)</f>
        <v>4100</v>
      </c>
      <c r="C2212" s="1">
        <f>IFERROR(__xludf.DUMMYFUNCTION("""COMPUTED_VALUE"""),4200.0)</f>
        <v>4200</v>
      </c>
      <c r="D2212" s="1">
        <f>IFERROR(__xludf.DUMMYFUNCTION("""COMPUTED_VALUE"""),4045.0)</f>
        <v>4045</v>
      </c>
      <c r="E2212" s="1">
        <f>IFERROR(__xludf.DUMMYFUNCTION("""COMPUTED_VALUE"""),4180.0)</f>
        <v>4180</v>
      </c>
      <c r="F2212" s="1">
        <f>IFERROR(__xludf.DUMMYFUNCTION("""COMPUTED_VALUE"""),37958.0)</f>
        <v>37958</v>
      </c>
    </row>
    <row r="2213">
      <c r="A2213" s="2">
        <f>IFERROR(__xludf.DUMMYFUNCTION("""COMPUTED_VALUE"""),44487.64583333333)</f>
        <v>44487.64583</v>
      </c>
      <c r="B2213" s="1">
        <f>IFERROR(__xludf.DUMMYFUNCTION("""COMPUTED_VALUE"""),4200.0)</f>
        <v>4200</v>
      </c>
      <c r="C2213" s="1">
        <f>IFERROR(__xludf.DUMMYFUNCTION("""COMPUTED_VALUE"""),4300.0)</f>
        <v>4300</v>
      </c>
      <c r="D2213" s="1">
        <f>IFERROR(__xludf.DUMMYFUNCTION("""COMPUTED_VALUE"""),4160.0)</f>
        <v>4160</v>
      </c>
      <c r="E2213" s="1">
        <f>IFERROR(__xludf.DUMMYFUNCTION("""COMPUTED_VALUE"""),4220.0)</f>
        <v>4220</v>
      </c>
      <c r="F2213" s="1">
        <f>IFERROR(__xludf.DUMMYFUNCTION("""COMPUTED_VALUE"""),29255.0)</f>
        <v>29255</v>
      </c>
    </row>
    <row r="2214">
      <c r="A2214" s="2">
        <f>IFERROR(__xludf.DUMMYFUNCTION("""COMPUTED_VALUE"""),44488.64583333333)</f>
        <v>44488.64583</v>
      </c>
      <c r="B2214" s="1">
        <f>IFERROR(__xludf.DUMMYFUNCTION("""COMPUTED_VALUE"""),4230.0)</f>
        <v>4230</v>
      </c>
      <c r="C2214" s="1">
        <f>IFERROR(__xludf.DUMMYFUNCTION("""COMPUTED_VALUE"""),4300.0)</f>
        <v>4300</v>
      </c>
      <c r="D2214" s="1">
        <f>IFERROR(__xludf.DUMMYFUNCTION("""COMPUTED_VALUE"""),4160.0)</f>
        <v>4160</v>
      </c>
      <c r="E2214" s="1">
        <f>IFERROR(__xludf.DUMMYFUNCTION("""COMPUTED_VALUE"""),4280.0)</f>
        <v>4280</v>
      </c>
      <c r="F2214" s="1">
        <f>IFERROR(__xludf.DUMMYFUNCTION("""COMPUTED_VALUE"""),33420.0)</f>
        <v>33420</v>
      </c>
    </row>
    <row r="2215">
      <c r="A2215" s="2">
        <f>IFERROR(__xludf.DUMMYFUNCTION("""COMPUTED_VALUE"""),44489.64583333333)</f>
        <v>44489.64583</v>
      </c>
      <c r="B2215" s="1">
        <f>IFERROR(__xludf.DUMMYFUNCTION("""COMPUTED_VALUE"""),4245.0)</f>
        <v>4245</v>
      </c>
      <c r="C2215" s="1">
        <f>IFERROR(__xludf.DUMMYFUNCTION("""COMPUTED_VALUE"""),4350.0)</f>
        <v>4350</v>
      </c>
      <c r="D2215" s="1">
        <f>IFERROR(__xludf.DUMMYFUNCTION("""COMPUTED_VALUE"""),4185.0)</f>
        <v>4185</v>
      </c>
      <c r="E2215" s="1">
        <f>IFERROR(__xludf.DUMMYFUNCTION("""COMPUTED_VALUE"""),4245.0)</f>
        <v>4245</v>
      </c>
      <c r="F2215" s="1">
        <f>IFERROR(__xludf.DUMMYFUNCTION("""COMPUTED_VALUE"""),42674.0)</f>
        <v>42674</v>
      </c>
    </row>
    <row r="2216">
      <c r="A2216" s="2">
        <f>IFERROR(__xludf.DUMMYFUNCTION("""COMPUTED_VALUE"""),44490.64583333333)</f>
        <v>44490.64583</v>
      </c>
      <c r="B2216" s="1">
        <f>IFERROR(__xludf.DUMMYFUNCTION("""COMPUTED_VALUE"""),4210.0)</f>
        <v>4210</v>
      </c>
      <c r="C2216" s="1">
        <f>IFERROR(__xludf.DUMMYFUNCTION("""COMPUTED_VALUE"""),4260.0)</f>
        <v>4260</v>
      </c>
      <c r="D2216" s="1">
        <f>IFERROR(__xludf.DUMMYFUNCTION("""COMPUTED_VALUE"""),4120.0)</f>
        <v>4120</v>
      </c>
      <c r="E2216" s="1">
        <f>IFERROR(__xludf.DUMMYFUNCTION("""COMPUTED_VALUE"""),4170.0)</f>
        <v>4170</v>
      </c>
      <c r="F2216" s="1">
        <f>IFERROR(__xludf.DUMMYFUNCTION("""COMPUTED_VALUE"""),40653.0)</f>
        <v>40653</v>
      </c>
    </row>
    <row r="2217">
      <c r="A2217" s="2">
        <f>IFERROR(__xludf.DUMMYFUNCTION("""COMPUTED_VALUE"""),44491.64583333333)</f>
        <v>44491.64583</v>
      </c>
      <c r="B2217" s="1">
        <f>IFERROR(__xludf.DUMMYFUNCTION("""COMPUTED_VALUE"""),4125.0)</f>
        <v>4125</v>
      </c>
      <c r="C2217" s="1">
        <f>IFERROR(__xludf.DUMMYFUNCTION("""COMPUTED_VALUE"""),4125.0)</f>
        <v>4125</v>
      </c>
      <c r="D2217" s="1">
        <f>IFERROR(__xludf.DUMMYFUNCTION("""COMPUTED_VALUE"""),3800.0)</f>
        <v>3800</v>
      </c>
      <c r="E2217" s="1">
        <f>IFERROR(__xludf.DUMMYFUNCTION("""COMPUTED_VALUE"""),3885.0)</f>
        <v>3885</v>
      </c>
      <c r="F2217" s="1">
        <f>IFERROR(__xludf.DUMMYFUNCTION("""COMPUTED_VALUE"""),506335.0)</f>
        <v>506335</v>
      </c>
    </row>
    <row r="2218">
      <c r="A2218" s="2">
        <f>IFERROR(__xludf.DUMMYFUNCTION("""COMPUTED_VALUE"""),44494.64583333333)</f>
        <v>44494.64583</v>
      </c>
      <c r="B2218" s="1">
        <f>IFERROR(__xludf.DUMMYFUNCTION("""COMPUTED_VALUE"""),3945.0)</f>
        <v>3945</v>
      </c>
      <c r="C2218" s="1">
        <f>IFERROR(__xludf.DUMMYFUNCTION("""COMPUTED_VALUE"""),4055.0)</f>
        <v>4055</v>
      </c>
      <c r="D2218" s="1">
        <f>IFERROR(__xludf.DUMMYFUNCTION("""COMPUTED_VALUE"""),3860.0)</f>
        <v>3860</v>
      </c>
      <c r="E2218" s="1">
        <f>IFERROR(__xludf.DUMMYFUNCTION("""COMPUTED_VALUE"""),3865.0)</f>
        <v>3865</v>
      </c>
      <c r="F2218" s="1">
        <f>IFERROR(__xludf.DUMMYFUNCTION("""COMPUTED_VALUE"""),97396.0)</f>
        <v>97396</v>
      </c>
    </row>
    <row r="2219">
      <c r="A2219" s="2">
        <f>IFERROR(__xludf.DUMMYFUNCTION("""COMPUTED_VALUE"""),44495.64583333333)</f>
        <v>44495.64583</v>
      </c>
      <c r="B2219" s="1">
        <f>IFERROR(__xludf.DUMMYFUNCTION("""COMPUTED_VALUE"""),3875.0)</f>
        <v>3875</v>
      </c>
      <c r="C2219" s="1">
        <f>IFERROR(__xludf.DUMMYFUNCTION("""COMPUTED_VALUE"""),3985.0)</f>
        <v>3985</v>
      </c>
      <c r="D2219" s="1">
        <f>IFERROR(__xludf.DUMMYFUNCTION("""COMPUTED_VALUE"""),3875.0)</f>
        <v>3875</v>
      </c>
      <c r="E2219" s="1">
        <f>IFERROR(__xludf.DUMMYFUNCTION("""COMPUTED_VALUE"""),3930.0)</f>
        <v>3930</v>
      </c>
      <c r="F2219" s="1">
        <f>IFERROR(__xludf.DUMMYFUNCTION("""COMPUTED_VALUE"""),65829.0)</f>
        <v>65829</v>
      </c>
    </row>
    <row r="2220">
      <c r="A2220" s="2">
        <f>IFERROR(__xludf.DUMMYFUNCTION("""COMPUTED_VALUE"""),44496.64583333333)</f>
        <v>44496.64583</v>
      </c>
      <c r="B2220" s="1">
        <f>IFERROR(__xludf.DUMMYFUNCTION("""COMPUTED_VALUE"""),3955.0)</f>
        <v>3955</v>
      </c>
      <c r="C2220" s="1">
        <f>IFERROR(__xludf.DUMMYFUNCTION("""COMPUTED_VALUE"""),3990.0)</f>
        <v>3990</v>
      </c>
      <c r="D2220" s="1">
        <f>IFERROR(__xludf.DUMMYFUNCTION("""COMPUTED_VALUE"""),3900.0)</f>
        <v>3900</v>
      </c>
      <c r="E2220" s="1">
        <f>IFERROR(__xludf.DUMMYFUNCTION("""COMPUTED_VALUE"""),3920.0)</f>
        <v>3920</v>
      </c>
      <c r="F2220" s="1">
        <f>IFERROR(__xludf.DUMMYFUNCTION("""COMPUTED_VALUE"""),24068.0)</f>
        <v>24068</v>
      </c>
    </row>
    <row r="2221">
      <c r="A2221" s="2">
        <f>IFERROR(__xludf.DUMMYFUNCTION("""COMPUTED_VALUE"""),44497.64583333333)</f>
        <v>44497.64583</v>
      </c>
      <c r="B2221" s="1">
        <f>IFERROR(__xludf.DUMMYFUNCTION("""COMPUTED_VALUE"""),3930.0)</f>
        <v>3930</v>
      </c>
      <c r="C2221" s="1">
        <f>IFERROR(__xludf.DUMMYFUNCTION("""COMPUTED_VALUE"""),4035.0)</f>
        <v>4035</v>
      </c>
      <c r="D2221" s="1">
        <f>IFERROR(__xludf.DUMMYFUNCTION("""COMPUTED_VALUE"""),3835.0)</f>
        <v>3835</v>
      </c>
      <c r="E2221" s="1">
        <f>IFERROR(__xludf.DUMMYFUNCTION("""COMPUTED_VALUE"""),3835.0)</f>
        <v>3835</v>
      </c>
      <c r="F2221" s="1">
        <f>IFERROR(__xludf.DUMMYFUNCTION("""COMPUTED_VALUE"""),33075.0)</f>
        <v>33075</v>
      </c>
    </row>
    <row r="2222">
      <c r="A2222" s="2">
        <f>IFERROR(__xludf.DUMMYFUNCTION("""COMPUTED_VALUE"""),44498.64583333333)</f>
        <v>44498.64583</v>
      </c>
      <c r="B2222" s="1">
        <f>IFERROR(__xludf.DUMMYFUNCTION("""COMPUTED_VALUE"""),3850.0)</f>
        <v>3850</v>
      </c>
      <c r="C2222" s="1">
        <f>IFERROR(__xludf.DUMMYFUNCTION("""COMPUTED_VALUE"""),3910.0)</f>
        <v>3910</v>
      </c>
      <c r="D2222" s="1">
        <f>IFERROR(__xludf.DUMMYFUNCTION("""COMPUTED_VALUE"""),3700.0)</f>
        <v>3700</v>
      </c>
      <c r="E2222" s="1">
        <f>IFERROR(__xludf.DUMMYFUNCTION("""COMPUTED_VALUE"""),3745.0)</f>
        <v>3745</v>
      </c>
      <c r="F2222" s="1">
        <f>IFERROR(__xludf.DUMMYFUNCTION("""COMPUTED_VALUE"""),61858.0)</f>
        <v>61858</v>
      </c>
    </row>
    <row r="2223">
      <c r="A2223" s="2">
        <f>IFERROR(__xludf.DUMMYFUNCTION("""COMPUTED_VALUE"""),44501.64583333333)</f>
        <v>44501.64583</v>
      </c>
      <c r="B2223" s="1">
        <f>IFERROR(__xludf.DUMMYFUNCTION("""COMPUTED_VALUE"""),3755.0)</f>
        <v>3755</v>
      </c>
      <c r="C2223" s="1">
        <f>IFERROR(__xludf.DUMMYFUNCTION("""COMPUTED_VALUE"""),3870.0)</f>
        <v>3870</v>
      </c>
      <c r="D2223" s="1">
        <f>IFERROR(__xludf.DUMMYFUNCTION("""COMPUTED_VALUE"""),3755.0)</f>
        <v>3755</v>
      </c>
      <c r="E2223" s="1">
        <f>IFERROR(__xludf.DUMMYFUNCTION("""COMPUTED_VALUE"""),3850.0)</f>
        <v>3850</v>
      </c>
      <c r="F2223" s="1">
        <f>IFERROR(__xludf.DUMMYFUNCTION("""COMPUTED_VALUE"""),57049.0)</f>
        <v>57049</v>
      </c>
    </row>
    <row r="2224">
      <c r="A2224" s="2">
        <f>IFERROR(__xludf.DUMMYFUNCTION("""COMPUTED_VALUE"""),44502.64583333333)</f>
        <v>44502.64583</v>
      </c>
      <c r="B2224" s="1">
        <f>IFERROR(__xludf.DUMMYFUNCTION("""COMPUTED_VALUE"""),3900.0)</f>
        <v>3900</v>
      </c>
      <c r="C2224" s="1">
        <f>IFERROR(__xludf.DUMMYFUNCTION("""COMPUTED_VALUE"""),3975.0)</f>
        <v>3975</v>
      </c>
      <c r="D2224" s="1">
        <f>IFERROR(__xludf.DUMMYFUNCTION("""COMPUTED_VALUE"""),3800.0)</f>
        <v>3800</v>
      </c>
      <c r="E2224" s="1">
        <f>IFERROR(__xludf.DUMMYFUNCTION("""COMPUTED_VALUE"""),3915.0)</f>
        <v>3915</v>
      </c>
      <c r="F2224" s="1">
        <f>IFERROR(__xludf.DUMMYFUNCTION("""COMPUTED_VALUE"""),86899.0)</f>
        <v>86899</v>
      </c>
    </row>
    <row r="2225">
      <c r="A2225" s="2">
        <f>IFERROR(__xludf.DUMMYFUNCTION("""COMPUTED_VALUE"""),44503.64583333333)</f>
        <v>44503.64583</v>
      </c>
      <c r="B2225" s="1">
        <f>IFERROR(__xludf.DUMMYFUNCTION("""COMPUTED_VALUE"""),3925.0)</f>
        <v>3925</v>
      </c>
      <c r="C2225" s="1">
        <f>IFERROR(__xludf.DUMMYFUNCTION("""COMPUTED_VALUE"""),3945.0)</f>
        <v>3945</v>
      </c>
      <c r="D2225" s="1">
        <f>IFERROR(__xludf.DUMMYFUNCTION("""COMPUTED_VALUE"""),3830.0)</f>
        <v>3830</v>
      </c>
      <c r="E2225" s="1">
        <f>IFERROR(__xludf.DUMMYFUNCTION("""COMPUTED_VALUE"""),3900.0)</f>
        <v>3900</v>
      </c>
      <c r="F2225" s="1">
        <f>IFERROR(__xludf.DUMMYFUNCTION("""COMPUTED_VALUE"""),30386.0)</f>
        <v>30386</v>
      </c>
    </row>
    <row r="2226">
      <c r="A2226" s="2">
        <f>IFERROR(__xludf.DUMMYFUNCTION("""COMPUTED_VALUE"""),44504.64583333333)</f>
        <v>44504.64583</v>
      </c>
      <c r="B2226" s="1">
        <f>IFERROR(__xludf.DUMMYFUNCTION("""COMPUTED_VALUE"""),3935.0)</f>
        <v>3935</v>
      </c>
      <c r="C2226" s="1">
        <f>IFERROR(__xludf.DUMMYFUNCTION("""COMPUTED_VALUE"""),3935.0)</f>
        <v>3935</v>
      </c>
      <c r="D2226" s="1">
        <f>IFERROR(__xludf.DUMMYFUNCTION("""COMPUTED_VALUE"""),3800.0)</f>
        <v>3800</v>
      </c>
      <c r="E2226" s="1">
        <f>IFERROR(__xludf.DUMMYFUNCTION("""COMPUTED_VALUE"""),3855.0)</f>
        <v>3855</v>
      </c>
      <c r="F2226" s="1">
        <f>IFERROR(__xludf.DUMMYFUNCTION("""COMPUTED_VALUE"""),50872.0)</f>
        <v>50872</v>
      </c>
    </row>
    <row r="2227">
      <c r="A2227" s="2">
        <f>IFERROR(__xludf.DUMMYFUNCTION("""COMPUTED_VALUE"""),44505.64583333333)</f>
        <v>44505.64583</v>
      </c>
      <c r="B2227" s="1">
        <f>IFERROR(__xludf.DUMMYFUNCTION("""COMPUTED_VALUE"""),3900.0)</f>
        <v>3900</v>
      </c>
      <c r="C2227" s="1">
        <f>IFERROR(__xludf.DUMMYFUNCTION("""COMPUTED_VALUE"""),3910.0)</f>
        <v>3910</v>
      </c>
      <c r="D2227" s="1">
        <f>IFERROR(__xludf.DUMMYFUNCTION("""COMPUTED_VALUE"""),3810.0)</f>
        <v>3810</v>
      </c>
      <c r="E2227" s="1">
        <f>IFERROR(__xludf.DUMMYFUNCTION("""COMPUTED_VALUE"""),3910.0)</f>
        <v>3910</v>
      </c>
      <c r="F2227" s="1">
        <f>IFERROR(__xludf.DUMMYFUNCTION("""COMPUTED_VALUE"""),48510.0)</f>
        <v>48510</v>
      </c>
    </row>
    <row r="2228">
      <c r="A2228" s="2">
        <f>IFERROR(__xludf.DUMMYFUNCTION("""COMPUTED_VALUE"""),44508.64583333333)</f>
        <v>44508.64583</v>
      </c>
      <c r="B2228" s="1">
        <f>IFERROR(__xludf.DUMMYFUNCTION("""COMPUTED_VALUE"""),3860.0)</f>
        <v>3860</v>
      </c>
      <c r="C2228" s="1">
        <f>IFERROR(__xludf.DUMMYFUNCTION("""COMPUTED_VALUE"""),4000.0)</f>
        <v>4000</v>
      </c>
      <c r="D2228" s="1">
        <f>IFERROR(__xludf.DUMMYFUNCTION("""COMPUTED_VALUE"""),3810.0)</f>
        <v>3810</v>
      </c>
      <c r="E2228" s="1">
        <f>IFERROR(__xludf.DUMMYFUNCTION("""COMPUTED_VALUE"""),3935.0)</f>
        <v>3935</v>
      </c>
      <c r="F2228" s="1">
        <f>IFERROR(__xludf.DUMMYFUNCTION("""COMPUTED_VALUE"""),55994.0)</f>
        <v>55994</v>
      </c>
    </row>
    <row r="2229">
      <c r="A2229" s="2">
        <f>IFERROR(__xludf.DUMMYFUNCTION("""COMPUTED_VALUE"""),44509.64583333333)</f>
        <v>44509.64583</v>
      </c>
      <c r="B2229" s="1">
        <f>IFERROR(__xludf.DUMMYFUNCTION("""COMPUTED_VALUE"""),3935.0)</f>
        <v>3935</v>
      </c>
      <c r="C2229" s="1">
        <f>IFERROR(__xludf.DUMMYFUNCTION("""COMPUTED_VALUE"""),4325.0)</f>
        <v>4325</v>
      </c>
      <c r="D2229" s="1">
        <f>IFERROR(__xludf.DUMMYFUNCTION("""COMPUTED_VALUE"""),3935.0)</f>
        <v>3935</v>
      </c>
      <c r="E2229" s="1">
        <f>IFERROR(__xludf.DUMMYFUNCTION("""COMPUTED_VALUE"""),4195.0)</f>
        <v>4195</v>
      </c>
      <c r="F2229" s="1">
        <f>IFERROR(__xludf.DUMMYFUNCTION("""COMPUTED_VALUE"""),305851.0)</f>
        <v>305851</v>
      </c>
    </row>
    <row r="2230">
      <c r="A2230" s="2">
        <f>IFERROR(__xludf.DUMMYFUNCTION("""COMPUTED_VALUE"""),44510.64583333333)</f>
        <v>44510.64583</v>
      </c>
      <c r="B2230" s="1">
        <f>IFERROR(__xludf.DUMMYFUNCTION("""COMPUTED_VALUE"""),4190.0)</f>
        <v>4190</v>
      </c>
      <c r="C2230" s="1">
        <f>IFERROR(__xludf.DUMMYFUNCTION("""COMPUTED_VALUE"""),4315.0)</f>
        <v>4315</v>
      </c>
      <c r="D2230" s="1">
        <f>IFERROR(__xludf.DUMMYFUNCTION("""COMPUTED_VALUE"""),4100.0)</f>
        <v>4100</v>
      </c>
      <c r="E2230" s="1">
        <f>IFERROR(__xludf.DUMMYFUNCTION("""COMPUTED_VALUE"""),4150.0)</f>
        <v>4150</v>
      </c>
      <c r="F2230" s="1">
        <f>IFERROR(__xludf.DUMMYFUNCTION("""COMPUTED_VALUE"""),76455.0)</f>
        <v>76455</v>
      </c>
    </row>
    <row r="2231">
      <c r="A2231" s="2">
        <f>IFERROR(__xludf.DUMMYFUNCTION("""COMPUTED_VALUE"""),44511.64583333333)</f>
        <v>44511.64583</v>
      </c>
      <c r="B2231" s="1">
        <f>IFERROR(__xludf.DUMMYFUNCTION("""COMPUTED_VALUE"""),4050.0)</f>
        <v>4050</v>
      </c>
      <c r="C2231" s="1">
        <f>IFERROR(__xludf.DUMMYFUNCTION("""COMPUTED_VALUE"""),4285.0)</f>
        <v>4285</v>
      </c>
      <c r="D2231" s="1">
        <f>IFERROR(__xludf.DUMMYFUNCTION("""COMPUTED_VALUE"""),3940.0)</f>
        <v>3940</v>
      </c>
      <c r="E2231" s="1">
        <f>IFERROR(__xludf.DUMMYFUNCTION("""COMPUTED_VALUE"""),4200.0)</f>
        <v>4200</v>
      </c>
      <c r="F2231" s="1">
        <f>IFERROR(__xludf.DUMMYFUNCTION("""COMPUTED_VALUE"""),97558.0)</f>
        <v>97558</v>
      </c>
    </row>
    <row r="2232">
      <c r="A2232" s="2">
        <f>IFERROR(__xludf.DUMMYFUNCTION("""COMPUTED_VALUE"""),44512.64583333333)</f>
        <v>44512.64583</v>
      </c>
      <c r="B2232" s="1">
        <f>IFERROR(__xludf.DUMMYFUNCTION("""COMPUTED_VALUE"""),4200.0)</f>
        <v>4200</v>
      </c>
      <c r="C2232" s="1">
        <f>IFERROR(__xludf.DUMMYFUNCTION("""COMPUTED_VALUE"""),4300.0)</f>
        <v>4300</v>
      </c>
      <c r="D2232" s="1">
        <f>IFERROR(__xludf.DUMMYFUNCTION("""COMPUTED_VALUE"""),4140.0)</f>
        <v>4140</v>
      </c>
      <c r="E2232" s="1">
        <f>IFERROR(__xludf.DUMMYFUNCTION("""COMPUTED_VALUE"""),4170.0)</f>
        <v>4170</v>
      </c>
      <c r="F2232" s="1">
        <f>IFERROR(__xludf.DUMMYFUNCTION("""COMPUTED_VALUE"""),12454.0)</f>
        <v>12454</v>
      </c>
    </row>
    <row r="2233">
      <c r="A2233" s="2">
        <f>IFERROR(__xludf.DUMMYFUNCTION("""COMPUTED_VALUE"""),44515.64583333333)</f>
        <v>44515.64583</v>
      </c>
      <c r="B2233" s="1">
        <f>IFERROR(__xludf.DUMMYFUNCTION("""COMPUTED_VALUE"""),4180.0)</f>
        <v>4180</v>
      </c>
      <c r="C2233" s="1">
        <f>IFERROR(__xludf.DUMMYFUNCTION("""COMPUTED_VALUE"""),4290.0)</f>
        <v>4290</v>
      </c>
      <c r="D2233" s="1">
        <f>IFERROR(__xludf.DUMMYFUNCTION("""COMPUTED_VALUE"""),4180.0)</f>
        <v>4180</v>
      </c>
      <c r="E2233" s="1">
        <f>IFERROR(__xludf.DUMMYFUNCTION("""COMPUTED_VALUE"""),4245.0)</f>
        <v>4245</v>
      </c>
      <c r="F2233" s="1">
        <f>IFERROR(__xludf.DUMMYFUNCTION("""COMPUTED_VALUE"""),40020.0)</f>
        <v>40020</v>
      </c>
    </row>
    <row r="2234">
      <c r="A2234" s="2">
        <f>IFERROR(__xludf.DUMMYFUNCTION("""COMPUTED_VALUE"""),44516.64583333333)</f>
        <v>44516.64583</v>
      </c>
      <c r="B2234" s="1">
        <f>IFERROR(__xludf.DUMMYFUNCTION("""COMPUTED_VALUE"""),4240.0)</f>
        <v>4240</v>
      </c>
      <c r="C2234" s="1">
        <f>IFERROR(__xludf.DUMMYFUNCTION("""COMPUTED_VALUE"""),4240.0)</f>
        <v>4240</v>
      </c>
      <c r="D2234" s="1">
        <f>IFERROR(__xludf.DUMMYFUNCTION("""COMPUTED_VALUE"""),4140.0)</f>
        <v>4140</v>
      </c>
      <c r="E2234" s="1">
        <f>IFERROR(__xludf.DUMMYFUNCTION("""COMPUTED_VALUE"""),4190.0)</f>
        <v>4190</v>
      </c>
      <c r="F2234" s="1">
        <f>IFERROR(__xludf.DUMMYFUNCTION("""COMPUTED_VALUE"""),15799.0)</f>
        <v>15799</v>
      </c>
    </row>
    <row r="2235">
      <c r="A2235" s="2">
        <f>IFERROR(__xludf.DUMMYFUNCTION("""COMPUTED_VALUE"""),44517.64583333333)</f>
        <v>44517.64583</v>
      </c>
      <c r="B2235" s="1">
        <f>IFERROR(__xludf.DUMMYFUNCTION("""COMPUTED_VALUE"""),4190.0)</f>
        <v>4190</v>
      </c>
      <c r="C2235" s="1">
        <f>IFERROR(__xludf.DUMMYFUNCTION("""COMPUTED_VALUE"""),4190.0)</f>
        <v>4190</v>
      </c>
      <c r="D2235" s="1">
        <f>IFERROR(__xludf.DUMMYFUNCTION("""COMPUTED_VALUE"""),4015.0)</f>
        <v>4015</v>
      </c>
      <c r="E2235" s="1">
        <f>IFERROR(__xludf.DUMMYFUNCTION("""COMPUTED_VALUE"""),4175.0)</f>
        <v>4175</v>
      </c>
      <c r="F2235" s="1">
        <f>IFERROR(__xludf.DUMMYFUNCTION("""COMPUTED_VALUE"""),44128.0)</f>
        <v>44128</v>
      </c>
    </row>
    <row r="2236">
      <c r="A2236" s="2">
        <f>IFERROR(__xludf.DUMMYFUNCTION("""COMPUTED_VALUE"""),44518.64583333333)</f>
        <v>44518.64583</v>
      </c>
      <c r="B2236" s="1">
        <f>IFERROR(__xludf.DUMMYFUNCTION("""COMPUTED_VALUE"""),4140.0)</f>
        <v>4140</v>
      </c>
      <c r="C2236" s="1">
        <f>IFERROR(__xludf.DUMMYFUNCTION("""COMPUTED_VALUE"""),4140.0)</f>
        <v>4140</v>
      </c>
      <c r="D2236" s="1">
        <f>IFERROR(__xludf.DUMMYFUNCTION("""COMPUTED_VALUE"""),3915.0)</f>
        <v>3915</v>
      </c>
      <c r="E2236" s="1">
        <f>IFERROR(__xludf.DUMMYFUNCTION("""COMPUTED_VALUE"""),4010.0)</f>
        <v>4010</v>
      </c>
      <c r="F2236" s="1">
        <f>IFERROR(__xludf.DUMMYFUNCTION("""COMPUTED_VALUE"""),105149.0)</f>
        <v>105149</v>
      </c>
    </row>
    <row r="2237">
      <c r="A2237" s="2">
        <f>IFERROR(__xludf.DUMMYFUNCTION("""COMPUTED_VALUE"""),44519.64583333333)</f>
        <v>44519.64583</v>
      </c>
      <c r="B2237" s="1">
        <f>IFERROR(__xludf.DUMMYFUNCTION("""COMPUTED_VALUE"""),4010.0)</f>
        <v>4010</v>
      </c>
      <c r="C2237" s="1">
        <f>IFERROR(__xludf.DUMMYFUNCTION("""COMPUTED_VALUE"""),4025.0)</f>
        <v>4025</v>
      </c>
      <c r="D2237" s="1">
        <f>IFERROR(__xludf.DUMMYFUNCTION("""COMPUTED_VALUE"""),3925.0)</f>
        <v>3925</v>
      </c>
      <c r="E2237" s="1">
        <f>IFERROR(__xludf.DUMMYFUNCTION("""COMPUTED_VALUE"""),4000.0)</f>
        <v>4000</v>
      </c>
      <c r="F2237" s="1">
        <f>IFERROR(__xludf.DUMMYFUNCTION("""COMPUTED_VALUE"""),28942.0)</f>
        <v>28942</v>
      </c>
    </row>
    <row r="2238">
      <c r="A2238" s="2">
        <f>IFERROR(__xludf.DUMMYFUNCTION("""COMPUTED_VALUE"""),44522.64583333333)</f>
        <v>44522.64583</v>
      </c>
      <c r="B2238" s="1">
        <f>IFERROR(__xludf.DUMMYFUNCTION("""COMPUTED_VALUE"""),4020.0)</f>
        <v>4020</v>
      </c>
      <c r="C2238" s="1">
        <f>IFERROR(__xludf.DUMMYFUNCTION("""COMPUTED_VALUE"""),4020.0)</f>
        <v>4020</v>
      </c>
      <c r="D2238" s="1">
        <f>IFERROR(__xludf.DUMMYFUNCTION("""COMPUTED_VALUE"""),3575.0)</f>
        <v>3575</v>
      </c>
      <c r="E2238" s="1">
        <f>IFERROR(__xludf.DUMMYFUNCTION("""COMPUTED_VALUE"""),3800.0)</f>
        <v>3800</v>
      </c>
      <c r="F2238" s="1">
        <f>IFERROR(__xludf.DUMMYFUNCTION("""COMPUTED_VALUE"""),456889.0)</f>
        <v>456889</v>
      </c>
    </row>
    <row r="2239">
      <c r="A2239" s="2">
        <f>IFERROR(__xludf.DUMMYFUNCTION("""COMPUTED_VALUE"""),44523.64583333333)</f>
        <v>44523.64583</v>
      </c>
      <c r="B2239" s="1">
        <f>IFERROR(__xludf.DUMMYFUNCTION("""COMPUTED_VALUE"""),3805.0)</f>
        <v>3805</v>
      </c>
      <c r="C2239" s="1">
        <f>IFERROR(__xludf.DUMMYFUNCTION("""COMPUTED_VALUE"""),3885.0)</f>
        <v>3885</v>
      </c>
      <c r="D2239" s="1">
        <f>IFERROR(__xludf.DUMMYFUNCTION("""COMPUTED_VALUE"""),3735.0)</f>
        <v>3735</v>
      </c>
      <c r="E2239" s="1">
        <f>IFERROR(__xludf.DUMMYFUNCTION("""COMPUTED_VALUE"""),3800.0)</f>
        <v>3800</v>
      </c>
      <c r="F2239" s="1">
        <f>IFERROR(__xludf.DUMMYFUNCTION("""COMPUTED_VALUE"""),56432.0)</f>
        <v>56432</v>
      </c>
    </row>
    <row r="2240">
      <c r="A2240" s="2">
        <f>IFERROR(__xludf.DUMMYFUNCTION("""COMPUTED_VALUE"""),44524.64583333333)</f>
        <v>44524.64583</v>
      </c>
      <c r="B2240" s="1">
        <f>IFERROR(__xludf.DUMMYFUNCTION("""COMPUTED_VALUE"""),3800.0)</f>
        <v>3800</v>
      </c>
      <c r="C2240" s="1">
        <f>IFERROR(__xludf.DUMMYFUNCTION("""COMPUTED_VALUE"""),3840.0)</f>
        <v>3840</v>
      </c>
      <c r="D2240" s="1">
        <f>IFERROR(__xludf.DUMMYFUNCTION("""COMPUTED_VALUE"""),3690.0)</f>
        <v>3690</v>
      </c>
      <c r="E2240" s="1">
        <f>IFERROR(__xludf.DUMMYFUNCTION("""COMPUTED_VALUE"""),3760.0)</f>
        <v>3760</v>
      </c>
      <c r="F2240" s="1">
        <f>IFERROR(__xludf.DUMMYFUNCTION("""COMPUTED_VALUE"""),50869.0)</f>
        <v>50869</v>
      </c>
    </row>
    <row r="2241">
      <c r="A2241" s="2">
        <f>IFERROR(__xludf.DUMMYFUNCTION("""COMPUTED_VALUE"""),44525.64583333333)</f>
        <v>44525.64583</v>
      </c>
      <c r="B2241" s="1">
        <f>IFERROR(__xludf.DUMMYFUNCTION("""COMPUTED_VALUE"""),3765.0)</f>
        <v>3765</v>
      </c>
      <c r="C2241" s="1">
        <f>IFERROR(__xludf.DUMMYFUNCTION("""COMPUTED_VALUE"""),3795.0)</f>
        <v>3795</v>
      </c>
      <c r="D2241" s="1">
        <f>IFERROR(__xludf.DUMMYFUNCTION("""COMPUTED_VALUE"""),3660.0)</f>
        <v>3660</v>
      </c>
      <c r="E2241" s="1">
        <f>IFERROR(__xludf.DUMMYFUNCTION("""COMPUTED_VALUE"""),3765.0)</f>
        <v>3765</v>
      </c>
      <c r="F2241" s="1">
        <f>IFERROR(__xludf.DUMMYFUNCTION("""COMPUTED_VALUE"""),38073.0)</f>
        <v>38073</v>
      </c>
    </row>
    <row r="2242">
      <c r="A2242" s="2">
        <f>IFERROR(__xludf.DUMMYFUNCTION("""COMPUTED_VALUE"""),44526.64583333333)</f>
        <v>44526.64583</v>
      </c>
      <c r="B2242" s="1">
        <f>IFERROR(__xludf.DUMMYFUNCTION("""COMPUTED_VALUE"""),3750.0)</f>
        <v>3750</v>
      </c>
      <c r="C2242" s="1">
        <f>IFERROR(__xludf.DUMMYFUNCTION("""COMPUTED_VALUE"""),3790.0)</f>
        <v>3790</v>
      </c>
      <c r="D2242" s="1">
        <f>IFERROR(__xludf.DUMMYFUNCTION("""COMPUTED_VALUE"""),3435.0)</f>
        <v>3435</v>
      </c>
      <c r="E2242" s="1">
        <f>IFERROR(__xludf.DUMMYFUNCTION("""COMPUTED_VALUE"""),3565.0)</f>
        <v>3565</v>
      </c>
      <c r="F2242" s="1">
        <f>IFERROR(__xludf.DUMMYFUNCTION("""COMPUTED_VALUE"""),224732.0)</f>
        <v>224732</v>
      </c>
    </row>
    <row r="2243">
      <c r="A2243" s="2">
        <f>IFERROR(__xludf.DUMMYFUNCTION("""COMPUTED_VALUE"""),44529.64583333333)</f>
        <v>44529.64583</v>
      </c>
      <c r="B2243" s="1">
        <f>IFERROR(__xludf.DUMMYFUNCTION("""COMPUTED_VALUE"""),3475.0)</f>
        <v>3475</v>
      </c>
      <c r="C2243" s="1">
        <f>IFERROR(__xludf.DUMMYFUNCTION("""COMPUTED_VALUE"""),3565.0)</f>
        <v>3565</v>
      </c>
      <c r="D2243" s="1">
        <f>IFERROR(__xludf.DUMMYFUNCTION("""COMPUTED_VALUE"""),3375.0)</f>
        <v>3375</v>
      </c>
      <c r="E2243" s="1">
        <f>IFERROR(__xludf.DUMMYFUNCTION("""COMPUTED_VALUE"""),3420.0)</f>
        <v>3420</v>
      </c>
      <c r="F2243" s="1">
        <f>IFERROR(__xludf.DUMMYFUNCTION("""COMPUTED_VALUE"""),93007.0)</f>
        <v>93007</v>
      </c>
    </row>
    <row r="2244">
      <c r="A2244" s="2">
        <f>IFERROR(__xludf.DUMMYFUNCTION("""COMPUTED_VALUE"""),44530.64583333333)</f>
        <v>44530.64583</v>
      </c>
      <c r="B2244" s="1">
        <f>IFERROR(__xludf.DUMMYFUNCTION("""COMPUTED_VALUE"""),3420.0)</f>
        <v>3420</v>
      </c>
      <c r="C2244" s="1">
        <f>IFERROR(__xludf.DUMMYFUNCTION("""COMPUTED_VALUE"""),3495.0)</f>
        <v>3495</v>
      </c>
      <c r="D2244" s="1">
        <f>IFERROR(__xludf.DUMMYFUNCTION("""COMPUTED_VALUE"""),3100.0)</f>
        <v>3100</v>
      </c>
      <c r="E2244" s="1">
        <f>IFERROR(__xludf.DUMMYFUNCTION("""COMPUTED_VALUE"""),3190.0)</f>
        <v>3190</v>
      </c>
      <c r="F2244" s="1">
        <f>IFERROR(__xludf.DUMMYFUNCTION("""COMPUTED_VALUE"""),213573.0)</f>
        <v>213573</v>
      </c>
    </row>
    <row r="2245">
      <c r="A2245" s="2">
        <f>IFERROR(__xludf.DUMMYFUNCTION("""COMPUTED_VALUE"""),44531.64583333333)</f>
        <v>44531.64583</v>
      </c>
      <c r="B2245" s="1">
        <f>IFERROR(__xludf.DUMMYFUNCTION("""COMPUTED_VALUE"""),3225.0)</f>
        <v>3225</v>
      </c>
      <c r="C2245" s="1">
        <f>IFERROR(__xludf.DUMMYFUNCTION("""COMPUTED_VALUE"""),3290.0)</f>
        <v>3290</v>
      </c>
      <c r="D2245" s="1">
        <f>IFERROR(__xludf.DUMMYFUNCTION("""COMPUTED_VALUE"""),3145.0)</f>
        <v>3145</v>
      </c>
      <c r="E2245" s="1">
        <f>IFERROR(__xludf.DUMMYFUNCTION("""COMPUTED_VALUE"""),3210.0)</f>
        <v>3210</v>
      </c>
      <c r="F2245" s="1">
        <f>IFERROR(__xludf.DUMMYFUNCTION("""COMPUTED_VALUE"""),50260.0)</f>
        <v>50260</v>
      </c>
    </row>
    <row r="2246">
      <c r="A2246" s="2">
        <f>IFERROR(__xludf.DUMMYFUNCTION("""COMPUTED_VALUE"""),44532.64583333333)</f>
        <v>44532.64583</v>
      </c>
      <c r="B2246" s="1">
        <f>IFERROR(__xludf.DUMMYFUNCTION("""COMPUTED_VALUE"""),3210.0)</f>
        <v>3210</v>
      </c>
      <c r="C2246" s="1">
        <f>IFERROR(__xludf.DUMMYFUNCTION("""COMPUTED_VALUE"""),3600.0)</f>
        <v>3600</v>
      </c>
      <c r="D2246" s="1">
        <f>IFERROR(__xludf.DUMMYFUNCTION("""COMPUTED_VALUE"""),3175.0)</f>
        <v>3175</v>
      </c>
      <c r="E2246" s="1">
        <f>IFERROR(__xludf.DUMMYFUNCTION("""COMPUTED_VALUE"""),3495.0)</f>
        <v>3495</v>
      </c>
      <c r="F2246" s="1">
        <f>IFERROR(__xludf.DUMMYFUNCTION("""COMPUTED_VALUE"""),122388.0)</f>
        <v>122388</v>
      </c>
    </row>
    <row r="2247">
      <c r="A2247" s="2">
        <f>IFERROR(__xludf.DUMMYFUNCTION("""COMPUTED_VALUE"""),44533.64583333333)</f>
        <v>44533.64583</v>
      </c>
      <c r="B2247" s="1">
        <f>IFERROR(__xludf.DUMMYFUNCTION("""COMPUTED_VALUE"""),3495.0)</f>
        <v>3495</v>
      </c>
      <c r="C2247" s="1">
        <f>IFERROR(__xludf.DUMMYFUNCTION("""COMPUTED_VALUE"""),3600.0)</f>
        <v>3600</v>
      </c>
      <c r="D2247" s="1">
        <f>IFERROR(__xludf.DUMMYFUNCTION("""COMPUTED_VALUE"""),3450.0)</f>
        <v>3450</v>
      </c>
      <c r="E2247" s="1">
        <f>IFERROR(__xludf.DUMMYFUNCTION("""COMPUTED_VALUE"""),3505.0)</f>
        <v>3505</v>
      </c>
      <c r="F2247" s="1">
        <f>IFERROR(__xludf.DUMMYFUNCTION("""COMPUTED_VALUE"""),59577.0)</f>
        <v>59577</v>
      </c>
    </row>
    <row r="2248">
      <c r="A2248" s="2">
        <f>IFERROR(__xludf.DUMMYFUNCTION("""COMPUTED_VALUE"""),44536.64583333333)</f>
        <v>44536.64583</v>
      </c>
      <c r="B2248" s="1">
        <f>IFERROR(__xludf.DUMMYFUNCTION("""COMPUTED_VALUE"""),3495.0)</f>
        <v>3495</v>
      </c>
      <c r="C2248" s="1">
        <f>IFERROR(__xludf.DUMMYFUNCTION("""COMPUTED_VALUE"""),3540.0)</f>
        <v>3540</v>
      </c>
      <c r="D2248" s="1">
        <f>IFERROR(__xludf.DUMMYFUNCTION("""COMPUTED_VALUE"""),3400.0)</f>
        <v>3400</v>
      </c>
      <c r="E2248" s="1">
        <f>IFERROR(__xludf.DUMMYFUNCTION("""COMPUTED_VALUE"""),3490.0)</f>
        <v>3490</v>
      </c>
      <c r="F2248" s="1">
        <f>IFERROR(__xludf.DUMMYFUNCTION("""COMPUTED_VALUE"""),38051.0)</f>
        <v>38051</v>
      </c>
    </row>
    <row r="2249">
      <c r="A2249" s="2">
        <f>IFERROR(__xludf.DUMMYFUNCTION("""COMPUTED_VALUE"""),44537.64583333333)</f>
        <v>44537.64583</v>
      </c>
      <c r="B2249" s="1">
        <f>IFERROR(__xludf.DUMMYFUNCTION("""COMPUTED_VALUE"""),3530.0)</f>
        <v>3530</v>
      </c>
      <c r="C2249" s="1">
        <f>IFERROR(__xludf.DUMMYFUNCTION("""COMPUTED_VALUE"""),3710.0)</f>
        <v>3710</v>
      </c>
      <c r="D2249" s="1">
        <f>IFERROR(__xludf.DUMMYFUNCTION("""COMPUTED_VALUE"""),3530.0)</f>
        <v>3530</v>
      </c>
      <c r="E2249" s="1">
        <f>IFERROR(__xludf.DUMMYFUNCTION("""COMPUTED_VALUE"""),3620.0)</f>
        <v>3620</v>
      </c>
      <c r="F2249" s="1">
        <f>IFERROR(__xludf.DUMMYFUNCTION("""COMPUTED_VALUE"""),91039.0)</f>
        <v>91039</v>
      </c>
    </row>
    <row r="2250">
      <c r="A2250" s="2">
        <f>IFERROR(__xludf.DUMMYFUNCTION("""COMPUTED_VALUE"""),44538.64583333333)</f>
        <v>44538.64583</v>
      </c>
      <c r="B2250" s="1">
        <f>IFERROR(__xludf.DUMMYFUNCTION("""COMPUTED_VALUE"""),3620.0)</f>
        <v>3620</v>
      </c>
      <c r="C2250" s="1">
        <f>IFERROR(__xludf.DUMMYFUNCTION("""COMPUTED_VALUE"""),3770.0)</f>
        <v>3770</v>
      </c>
      <c r="D2250" s="1">
        <f>IFERROR(__xludf.DUMMYFUNCTION("""COMPUTED_VALUE"""),3620.0)</f>
        <v>3620</v>
      </c>
      <c r="E2250" s="1">
        <f>IFERROR(__xludf.DUMMYFUNCTION("""COMPUTED_VALUE"""),3705.0)</f>
        <v>3705</v>
      </c>
      <c r="F2250" s="1">
        <f>IFERROR(__xludf.DUMMYFUNCTION("""COMPUTED_VALUE"""),50892.0)</f>
        <v>50892</v>
      </c>
    </row>
    <row r="2251">
      <c r="A2251" s="2">
        <f>IFERROR(__xludf.DUMMYFUNCTION("""COMPUTED_VALUE"""),44539.64583333333)</f>
        <v>44539.64583</v>
      </c>
      <c r="B2251" s="1">
        <f>IFERROR(__xludf.DUMMYFUNCTION("""COMPUTED_VALUE"""),3670.0)</f>
        <v>3670</v>
      </c>
      <c r="C2251" s="1">
        <f>IFERROR(__xludf.DUMMYFUNCTION("""COMPUTED_VALUE"""),3830.0)</f>
        <v>3830</v>
      </c>
      <c r="D2251" s="1">
        <f>IFERROR(__xludf.DUMMYFUNCTION("""COMPUTED_VALUE"""),3670.0)</f>
        <v>3670</v>
      </c>
      <c r="E2251" s="1">
        <f>IFERROR(__xludf.DUMMYFUNCTION("""COMPUTED_VALUE"""),3800.0)</f>
        <v>3800</v>
      </c>
      <c r="F2251" s="1">
        <f>IFERROR(__xludf.DUMMYFUNCTION("""COMPUTED_VALUE"""),69173.0)</f>
        <v>69173</v>
      </c>
    </row>
    <row r="2252">
      <c r="A2252" s="2">
        <f>IFERROR(__xludf.DUMMYFUNCTION("""COMPUTED_VALUE"""),44540.64583333333)</f>
        <v>44540.64583</v>
      </c>
      <c r="B2252" s="1">
        <f>IFERROR(__xludf.DUMMYFUNCTION("""COMPUTED_VALUE"""),3800.0)</f>
        <v>3800</v>
      </c>
      <c r="C2252" s="1">
        <f>IFERROR(__xludf.DUMMYFUNCTION("""COMPUTED_VALUE"""),3885.0)</f>
        <v>3885</v>
      </c>
      <c r="D2252" s="1">
        <f>IFERROR(__xludf.DUMMYFUNCTION("""COMPUTED_VALUE"""),3695.0)</f>
        <v>3695</v>
      </c>
      <c r="E2252" s="1">
        <f>IFERROR(__xludf.DUMMYFUNCTION("""COMPUTED_VALUE"""),3800.0)</f>
        <v>3800</v>
      </c>
      <c r="F2252" s="1">
        <f>IFERROR(__xludf.DUMMYFUNCTION("""COMPUTED_VALUE"""),47986.0)</f>
        <v>47986</v>
      </c>
    </row>
    <row r="2253">
      <c r="A2253" s="2">
        <f>IFERROR(__xludf.DUMMYFUNCTION("""COMPUTED_VALUE"""),44543.64583333333)</f>
        <v>44543.64583</v>
      </c>
      <c r="B2253" s="1">
        <f>IFERROR(__xludf.DUMMYFUNCTION("""COMPUTED_VALUE"""),3820.0)</f>
        <v>3820</v>
      </c>
      <c r="C2253" s="1">
        <f>IFERROR(__xludf.DUMMYFUNCTION("""COMPUTED_VALUE"""),3930.0)</f>
        <v>3930</v>
      </c>
      <c r="D2253" s="1">
        <f>IFERROR(__xludf.DUMMYFUNCTION("""COMPUTED_VALUE"""),3680.0)</f>
        <v>3680</v>
      </c>
      <c r="E2253" s="1">
        <f>IFERROR(__xludf.DUMMYFUNCTION("""COMPUTED_VALUE"""),3815.0)</f>
        <v>3815</v>
      </c>
      <c r="F2253" s="1">
        <f>IFERROR(__xludf.DUMMYFUNCTION("""COMPUTED_VALUE"""),40383.0)</f>
        <v>40383</v>
      </c>
    </row>
    <row r="2254">
      <c r="A2254" s="2">
        <f>IFERROR(__xludf.DUMMYFUNCTION("""COMPUTED_VALUE"""),44544.64583333333)</f>
        <v>44544.64583</v>
      </c>
      <c r="B2254" s="1">
        <f>IFERROR(__xludf.DUMMYFUNCTION("""COMPUTED_VALUE"""),3775.0)</f>
        <v>3775</v>
      </c>
      <c r="C2254" s="1">
        <f>IFERROR(__xludf.DUMMYFUNCTION("""COMPUTED_VALUE"""),3855.0)</f>
        <v>3855</v>
      </c>
      <c r="D2254" s="1">
        <f>IFERROR(__xludf.DUMMYFUNCTION("""COMPUTED_VALUE"""),3775.0)</f>
        <v>3775</v>
      </c>
      <c r="E2254" s="1">
        <f>IFERROR(__xludf.DUMMYFUNCTION("""COMPUTED_VALUE"""),3845.0)</f>
        <v>3845</v>
      </c>
      <c r="F2254" s="1">
        <f>IFERROR(__xludf.DUMMYFUNCTION("""COMPUTED_VALUE"""),38743.0)</f>
        <v>38743</v>
      </c>
    </row>
    <row r="2255">
      <c r="A2255" s="2">
        <f>IFERROR(__xludf.DUMMYFUNCTION("""COMPUTED_VALUE"""),44545.64583333333)</f>
        <v>44545.64583</v>
      </c>
      <c r="B2255" s="1">
        <f>IFERROR(__xludf.DUMMYFUNCTION("""COMPUTED_VALUE"""),3860.0)</f>
        <v>3860</v>
      </c>
      <c r="C2255" s="1">
        <f>IFERROR(__xludf.DUMMYFUNCTION("""COMPUTED_VALUE"""),3885.0)</f>
        <v>3885</v>
      </c>
      <c r="D2255" s="1">
        <f>IFERROR(__xludf.DUMMYFUNCTION("""COMPUTED_VALUE"""),3770.0)</f>
        <v>3770</v>
      </c>
      <c r="E2255" s="1">
        <f>IFERROR(__xludf.DUMMYFUNCTION("""COMPUTED_VALUE"""),3820.0)</f>
        <v>3820</v>
      </c>
      <c r="F2255" s="1">
        <f>IFERROR(__xludf.DUMMYFUNCTION("""COMPUTED_VALUE"""),30336.0)</f>
        <v>30336</v>
      </c>
    </row>
    <row r="2256">
      <c r="A2256" s="2">
        <f>IFERROR(__xludf.DUMMYFUNCTION("""COMPUTED_VALUE"""),44546.64583333333)</f>
        <v>44546.64583</v>
      </c>
      <c r="B2256" s="1">
        <f>IFERROR(__xludf.DUMMYFUNCTION("""COMPUTED_VALUE"""),3830.0)</f>
        <v>3830</v>
      </c>
      <c r="C2256" s="1">
        <f>IFERROR(__xludf.DUMMYFUNCTION("""COMPUTED_VALUE"""),3855.0)</f>
        <v>3855</v>
      </c>
      <c r="D2256" s="1">
        <f>IFERROR(__xludf.DUMMYFUNCTION("""COMPUTED_VALUE"""),3740.0)</f>
        <v>3740</v>
      </c>
      <c r="E2256" s="1">
        <f>IFERROR(__xludf.DUMMYFUNCTION("""COMPUTED_VALUE"""),3765.0)</f>
        <v>3765</v>
      </c>
      <c r="F2256" s="1">
        <f>IFERROR(__xludf.DUMMYFUNCTION("""COMPUTED_VALUE"""),23564.0)</f>
        <v>23564</v>
      </c>
    </row>
    <row r="2257">
      <c r="A2257" s="2">
        <f>IFERROR(__xludf.DUMMYFUNCTION("""COMPUTED_VALUE"""),44547.64583333333)</f>
        <v>44547.64583</v>
      </c>
      <c r="B2257" s="1">
        <f>IFERROR(__xludf.DUMMYFUNCTION("""COMPUTED_VALUE"""),3790.0)</f>
        <v>3790</v>
      </c>
      <c r="C2257" s="1">
        <f>IFERROR(__xludf.DUMMYFUNCTION("""COMPUTED_VALUE"""),3790.0)</f>
        <v>3790</v>
      </c>
      <c r="D2257" s="1">
        <f>IFERROR(__xludf.DUMMYFUNCTION("""COMPUTED_VALUE"""),3650.0)</f>
        <v>3650</v>
      </c>
      <c r="E2257" s="1">
        <f>IFERROR(__xludf.DUMMYFUNCTION("""COMPUTED_VALUE"""),3705.0)</f>
        <v>3705</v>
      </c>
      <c r="F2257" s="1">
        <f>IFERROR(__xludf.DUMMYFUNCTION("""COMPUTED_VALUE"""),26435.0)</f>
        <v>26435</v>
      </c>
    </row>
    <row r="2258">
      <c r="A2258" s="2">
        <f>IFERROR(__xludf.DUMMYFUNCTION("""COMPUTED_VALUE"""),44550.64583333333)</f>
        <v>44550.64583</v>
      </c>
      <c r="B2258" s="1">
        <f>IFERROR(__xludf.DUMMYFUNCTION("""COMPUTED_VALUE"""),3645.0)</f>
        <v>3645</v>
      </c>
      <c r="C2258" s="1">
        <f>IFERROR(__xludf.DUMMYFUNCTION("""COMPUTED_VALUE"""),3665.0)</f>
        <v>3665</v>
      </c>
      <c r="D2258" s="1">
        <f>IFERROR(__xludf.DUMMYFUNCTION("""COMPUTED_VALUE"""),3555.0)</f>
        <v>3555</v>
      </c>
      <c r="E2258" s="1">
        <f>IFERROR(__xludf.DUMMYFUNCTION("""COMPUTED_VALUE"""),3650.0)</f>
        <v>3650</v>
      </c>
      <c r="F2258" s="1">
        <f>IFERROR(__xludf.DUMMYFUNCTION("""COMPUTED_VALUE"""),43615.0)</f>
        <v>43615</v>
      </c>
    </row>
    <row r="2259">
      <c r="A2259" s="2">
        <f>IFERROR(__xludf.DUMMYFUNCTION("""COMPUTED_VALUE"""),44551.64583333333)</f>
        <v>44551.64583</v>
      </c>
      <c r="B2259" s="1">
        <f>IFERROR(__xludf.DUMMYFUNCTION("""COMPUTED_VALUE"""),3600.0)</f>
        <v>3600</v>
      </c>
      <c r="C2259" s="1">
        <f>IFERROR(__xludf.DUMMYFUNCTION("""COMPUTED_VALUE"""),3610.0)</f>
        <v>3610</v>
      </c>
      <c r="D2259" s="1">
        <f>IFERROR(__xludf.DUMMYFUNCTION("""COMPUTED_VALUE"""),3500.0)</f>
        <v>3500</v>
      </c>
      <c r="E2259" s="1">
        <f>IFERROR(__xludf.DUMMYFUNCTION("""COMPUTED_VALUE"""),3580.0)</f>
        <v>3580</v>
      </c>
      <c r="F2259" s="1">
        <f>IFERROR(__xludf.DUMMYFUNCTION("""COMPUTED_VALUE"""),18989.0)</f>
        <v>18989</v>
      </c>
    </row>
    <row r="2260">
      <c r="A2260" s="2">
        <f>IFERROR(__xludf.DUMMYFUNCTION("""COMPUTED_VALUE"""),44552.64583333333)</f>
        <v>44552.64583</v>
      </c>
      <c r="B2260" s="1">
        <f>IFERROR(__xludf.DUMMYFUNCTION("""COMPUTED_VALUE"""),3570.0)</f>
        <v>3570</v>
      </c>
      <c r="C2260" s="1">
        <f>IFERROR(__xludf.DUMMYFUNCTION("""COMPUTED_VALUE"""),3640.0)</f>
        <v>3640</v>
      </c>
      <c r="D2260" s="1">
        <f>IFERROR(__xludf.DUMMYFUNCTION("""COMPUTED_VALUE"""),3570.0)</f>
        <v>3570</v>
      </c>
      <c r="E2260" s="1">
        <f>IFERROR(__xludf.DUMMYFUNCTION("""COMPUTED_VALUE"""),3600.0)</f>
        <v>3600</v>
      </c>
      <c r="F2260" s="1">
        <f>IFERROR(__xludf.DUMMYFUNCTION("""COMPUTED_VALUE"""),14831.0)</f>
        <v>14831</v>
      </c>
    </row>
    <row r="2261">
      <c r="A2261" s="2">
        <f>IFERROR(__xludf.DUMMYFUNCTION("""COMPUTED_VALUE"""),44553.64583333333)</f>
        <v>44553.64583</v>
      </c>
      <c r="B2261" s="1">
        <f>IFERROR(__xludf.DUMMYFUNCTION("""COMPUTED_VALUE"""),3650.0)</f>
        <v>3650</v>
      </c>
      <c r="C2261" s="1">
        <f>IFERROR(__xludf.DUMMYFUNCTION("""COMPUTED_VALUE"""),3770.0)</f>
        <v>3770</v>
      </c>
      <c r="D2261" s="1">
        <f>IFERROR(__xludf.DUMMYFUNCTION("""COMPUTED_VALUE"""),3590.0)</f>
        <v>3590</v>
      </c>
      <c r="E2261" s="1">
        <f>IFERROR(__xludf.DUMMYFUNCTION("""COMPUTED_VALUE"""),3770.0)</f>
        <v>3770</v>
      </c>
      <c r="F2261" s="1">
        <f>IFERROR(__xludf.DUMMYFUNCTION("""COMPUTED_VALUE"""),491832.0)</f>
        <v>491832</v>
      </c>
    </row>
    <row r="2262">
      <c r="A2262" s="2">
        <f>IFERROR(__xludf.DUMMYFUNCTION("""COMPUTED_VALUE"""),44554.64583333333)</f>
        <v>44554.64583</v>
      </c>
      <c r="B2262" s="1">
        <f>IFERROR(__xludf.DUMMYFUNCTION("""COMPUTED_VALUE"""),3820.0)</f>
        <v>3820</v>
      </c>
      <c r="C2262" s="1">
        <f>IFERROR(__xludf.DUMMYFUNCTION("""COMPUTED_VALUE"""),3900.0)</f>
        <v>3900</v>
      </c>
      <c r="D2262" s="1">
        <f>IFERROR(__xludf.DUMMYFUNCTION("""COMPUTED_VALUE"""),3795.0)</f>
        <v>3795</v>
      </c>
      <c r="E2262" s="1">
        <f>IFERROR(__xludf.DUMMYFUNCTION("""COMPUTED_VALUE"""),3820.0)</f>
        <v>3820</v>
      </c>
      <c r="F2262" s="1">
        <f>IFERROR(__xludf.DUMMYFUNCTION("""COMPUTED_VALUE"""),41793.0)</f>
        <v>41793</v>
      </c>
    </row>
    <row r="2263">
      <c r="A2263" s="2">
        <f>IFERROR(__xludf.DUMMYFUNCTION("""COMPUTED_VALUE"""),44557.64583333333)</f>
        <v>44557.64583</v>
      </c>
      <c r="B2263" s="1">
        <f>IFERROR(__xludf.DUMMYFUNCTION("""COMPUTED_VALUE"""),3795.0)</f>
        <v>3795</v>
      </c>
      <c r="C2263" s="1">
        <f>IFERROR(__xludf.DUMMYFUNCTION("""COMPUTED_VALUE"""),3910.0)</f>
        <v>3910</v>
      </c>
      <c r="D2263" s="1">
        <f>IFERROR(__xludf.DUMMYFUNCTION("""COMPUTED_VALUE"""),3740.0)</f>
        <v>3740</v>
      </c>
      <c r="E2263" s="1">
        <f>IFERROR(__xludf.DUMMYFUNCTION("""COMPUTED_VALUE"""),3900.0)</f>
        <v>3900</v>
      </c>
      <c r="F2263" s="1">
        <f>IFERROR(__xludf.DUMMYFUNCTION("""COMPUTED_VALUE"""),83563.0)</f>
        <v>83563</v>
      </c>
    </row>
    <row r="2264">
      <c r="A2264" s="2">
        <f>IFERROR(__xludf.DUMMYFUNCTION("""COMPUTED_VALUE"""),44558.64583333333)</f>
        <v>44558.64583</v>
      </c>
      <c r="B2264" s="1">
        <f>IFERROR(__xludf.DUMMYFUNCTION("""COMPUTED_VALUE"""),3920.0)</f>
        <v>3920</v>
      </c>
      <c r="C2264" s="1">
        <f>IFERROR(__xludf.DUMMYFUNCTION("""COMPUTED_VALUE"""),3920.0)</f>
        <v>3920</v>
      </c>
      <c r="D2264" s="1">
        <f>IFERROR(__xludf.DUMMYFUNCTION("""COMPUTED_VALUE"""),3830.0)</f>
        <v>3830</v>
      </c>
      <c r="E2264" s="1">
        <f>IFERROR(__xludf.DUMMYFUNCTION("""COMPUTED_VALUE"""),3895.0)</f>
        <v>3895</v>
      </c>
      <c r="F2264" s="1">
        <f>IFERROR(__xludf.DUMMYFUNCTION("""COMPUTED_VALUE"""),50031.0)</f>
        <v>50031</v>
      </c>
    </row>
    <row r="2265">
      <c r="A2265" s="2">
        <f>IFERROR(__xludf.DUMMYFUNCTION("""COMPUTED_VALUE"""),44559.64583333333)</f>
        <v>44559.64583</v>
      </c>
      <c r="B2265" s="1">
        <f>IFERROR(__xludf.DUMMYFUNCTION("""COMPUTED_VALUE"""),3895.0)</f>
        <v>3895</v>
      </c>
      <c r="C2265" s="1">
        <f>IFERROR(__xludf.DUMMYFUNCTION("""COMPUTED_VALUE"""),3950.0)</f>
        <v>3950</v>
      </c>
      <c r="D2265" s="1">
        <f>IFERROR(__xludf.DUMMYFUNCTION("""COMPUTED_VALUE"""),3775.0)</f>
        <v>3775</v>
      </c>
      <c r="E2265" s="1">
        <f>IFERROR(__xludf.DUMMYFUNCTION("""COMPUTED_VALUE"""),3870.0)</f>
        <v>3870</v>
      </c>
      <c r="F2265" s="1">
        <f>IFERROR(__xludf.DUMMYFUNCTION("""COMPUTED_VALUE"""),73666.0)</f>
        <v>73666</v>
      </c>
    </row>
    <row r="2266">
      <c r="A2266" s="2">
        <f>IFERROR(__xludf.DUMMYFUNCTION("""COMPUTED_VALUE"""),44560.64583333333)</f>
        <v>44560.64583</v>
      </c>
      <c r="B2266" s="1">
        <f>IFERROR(__xludf.DUMMYFUNCTION("""COMPUTED_VALUE"""),3910.0)</f>
        <v>3910</v>
      </c>
      <c r="C2266" s="1">
        <f>IFERROR(__xludf.DUMMYFUNCTION("""COMPUTED_VALUE"""),3935.0)</f>
        <v>3935</v>
      </c>
      <c r="D2266" s="1">
        <f>IFERROR(__xludf.DUMMYFUNCTION("""COMPUTED_VALUE"""),3740.0)</f>
        <v>3740</v>
      </c>
      <c r="E2266" s="1">
        <f>IFERROR(__xludf.DUMMYFUNCTION("""COMPUTED_VALUE"""),3795.0)</f>
        <v>3795</v>
      </c>
      <c r="F2266" s="1">
        <f>IFERROR(__xludf.DUMMYFUNCTION("""COMPUTED_VALUE"""),96146.0)</f>
        <v>96146</v>
      </c>
    </row>
    <row r="2267">
      <c r="A2267" s="2">
        <f>IFERROR(__xludf.DUMMYFUNCTION("""COMPUTED_VALUE"""),44564.64583333333)</f>
        <v>44564.64583</v>
      </c>
      <c r="B2267" s="1">
        <f>IFERROR(__xludf.DUMMYFUNCTION("""COMPUTED_VALUE"""),3795.0)</f>
        <v>3795</v>
      </c>
      <c r="C2267" s="1">
        <f>IFERROR(__xludf.DUMMYFUNCTION("""COMPUTED_VALUE"""),3860.0)</f>
        <v>3860</v>
      </c>
      <c r="D2267" s="1">
        <f>IFERROR(__xludf.DUMMYFUNCTION("""COMPUTED_VALUE"""),3685.0)</f>
        <v>3685</v>
      </c>
      <c r="E2267" s="1">
        <f>IFERROR(__xludf.DUMMYFUNCTION("""COMPUTED_VALUE"""),3685.0)</f>
        <v>3685</v>
      </c>
      <c r="F2267" s="1">
        <f>IFERROR(__xludf.DUMMYFUNCTION("""COMPUTED_VALUE"""),95257.0)</f>
        <v>95257</v>
      </c>
    </row>
    <row r="2268">
      <c r="A2268" s="2">
        <f>IFERROR(__xludf.DUMMYFUNCTION("""COMPUTED_VALUE"""),44565.64583333333)</f>
        <v>44565.64583</v>
      </c>
      <c r="B2268" s="1">
        <f>IFERROR(__xludf.DUMMYFUNCTION("""COMPUTED_VALUE"""),3700.0)</f>
        <v>3700</v>
      </c>
      <c r="C2268" s="1">
        <f>IFERROR(__xludf.DUMMYFUNCTION("""COMPUTED_VALUE"""),3800.0)</f>
        <v>3800</v>
      </c>
      <c r="D2268" s="1">
        <f>IFERROR(__xludf.DUMMYFUNCTION("""COMPUTED_VALUE"""),3600.0)</f>
        <v>3600</v>
      </c>
      <c r="E2268" s="1">
        <f>IFERROR(__xludf.DUMMYFUNCTION("""COMPUTED_VALUE"""),3765.0)</f>
        <v>3765</v>
      </c>
      <c r="F2268" s="1">
        <f>IFERROR(__xludf.DUMMYFUNCTION("""COMPUTED_VALUE"""),105534.0)</f>
        <v>105534</v>
      </c>
    </row>
    <row r="2269">
      <c r="A2269" s="2">
        <f>IFERROR(__xludf.DUMMYFUNCTION("""COMPUTED_VALUE"""),44566.64583333333)</f>
        <v>44566.64583</v>
      </c>
      <c r="B2269" s="1">
        <f>IFERROR(__xludf.DUMMYFUNCTION("""COMPUTED_VALUE"""),3740.0)</f>
        <v>3740</v>
      </c>
      <c r="C2269" s="1">
        <f>IFERROR(__xludf.DUMMYFUNCTION("""COMPUTED_VALUE"""),3820.0)</f>
        <v>3820</v>
      </c>
      <c r="D2269" s="1">
        <f>IFERROR(__xludf.DUMMYFUNCTION("""COMPUTED_VALUE"""),3605.0)</f>
        <v>3605</v>
      </c>
      <c r="E2269" s="1">
        <f>IFERROR(__xludf.DUMMYFUNCTION("""COMPUTED_VALUE"""),3730.0)</f>
        <v>3730</v>
      </c>
      <c r="F2269" s="1">
        <f>IFERROR(__xludf.DUMMYFUNCTION("""COMPUTED_VALUE"""),169945.0)</f>
        <v>169945</v>
      </c>
    </row>
    <row r="2270">
      <c r="A2270" s="2">
        <f>IFERROR(__xludf.DUMMYFUNCTION("""COMPUTED_VALUE"""),44567.64583333333)</f>
        <v>44567.64583</v>
      </c>
      <c r="B2270" s="1">
        <f>IFERROR(__xludf.DUMMYFUNCTION("""COMPUTED_VALUE"""),3690.0)</f>
        <v>3690</v>
      </c>
      <c r="C2270" s="1">
        <f>IFERROR(__xludf.DUMMYFUNCTION("""COMPUTED_VALUE"""),3705.0)</f>
        <v>3705</v>
      </c>
      <c r="D2270" s="1">
        <f>IFERROR(__xludf.DUMMYFUNCTION("""COMPUTED_VALUE"""),3645.0)</f>
        <v>3645</v>
      </c>
      <c r="E2270" s="1">
        <f>IFERROR(__xludf.DUMMYFUNCTION("""COMPUTED_VALUE"""),3660.0)</f>
        <v>3660</v>
      </c>
      <c r="F2270" s="1">
        <f>IFERROR(__xludf.DUMMYFUNCTION("""COMPUTED_VALUE"""),58309.0)</f>
        <v>58309</v>
      </c>
    </row>
    <row r="2271">
      <c r="A2271" s="2">
        <f>IFERROR(__xludf.DUMMYFUNCTION("""COMPUTED_VALUE"""),44568.64583333333)</f>
        <v>44568.64583</v>
      </c>
      <c r="B2271" s="1">
        <f>IFERROR(__xludf.DUMMYFUNCTION("""COMPUTED_VALUE"""),3660.0)</f>
        <v>3660</v>
      </c>
      <c r="C2271" s="1">
        <f>IFERROR(__xludf.DUMMYFUNCTION("""COMPUTED_VALUE"""),3835.0)</f>
        <v>3835</v>
      </c>
      <c r="D2271" s="1">
        <f>IFERROR(__xludf.DUMMYFUNCTION("""COMPUTED_VALUE"""),3615.0)</f>
        <v>3615</v>
      </c>
      <c r="E2271" s="1">
        <f>IFERROR(__xludf.DUMMYFUNCTION("""COMPUTED_VALUE"""),3825.0)</f>
        <v>3825</v>
      </c>
      <c r="F2271" s="1">
        <f>IFERROR(__xludf.DUMMYFUNCTION("""COMPUTED_VALUE"""),77206.0)</f>
        <v>77206</v>
      </c>
    </row>
    <row r="2272">
      <c r="A2272" s="2">
        <f>IFERROR(__xludf.DUMMYFUNCTION("""COMPUTED_VALUE"""),44571.64583333333)</f>
        <v>44571.64583</v>
      </c>
      <c r="B2272" s="1">
        <f>IFERROR(__xludf.DUMMYFUNCTION("""COMPUTED_VALUE"""),3880.0)</f>
        <v>3880</v>
      </c>
      <c r="C2272" s="1">
        <f>IFERROR(__xludf.DUMMYFUNCTION("""COMPUTED_VALUE"""),3880.0)</f>
        <v>3880</v>
      </c>
      <c r="D2272" s="1">
        <f>IFERROR(__xludf.DUMMYFUNCTION("""COMPUTED_VALUE"""),3780.0)</f>
        <v>3780</v>
      </c>
      <c r="E2272" s="1">
        <f>IFERROR(__xludf.DUMMYFUNCTION("""COMPUTED_VALUE"""),3830.0)</f>
        <v>3830</v>
      </c>
      <c r="F2272" s="1">
        <f>IFERROR(__xludf.DUMMYFUNCTION("""COMPUTED_VALUE"""),37057.0)</f>
        <v>37057</v>
      </c>
    </row>
    <row r="2273">
      <c r="A2273" s="2">
        <f>IFERROR(__xludf.DUMMYFUNCTION("""COMPUTED_VALUE"""),44572.64583333333)</f>
        <v>44572.64583</v>
      </c>
      <c r="B2273" s="1">
        <f>IFERROR(__xludf.DUMMYFUNCTION("""COMPUTED_VALUE"""),3880.0)</f>
        <v>3880</v>
      </c>
      <c r="C2273" s="1">
        <f>IFERROR(__xludf.DUMMYFUNCTION("""COMPUTED_VALUE"""),4105.0)</f>
        <v>4105</v>
      </c>
      <c r="D2273" s="1">
        <f>IFERROR(__xludf.DUMMYFUNCTION("""COMPUTED_VALUE"""),3790.0)</f>
        <v>3790</v>
      </c>
      <c r="E2273" s="1">
        <f>IFERROR(__xludf.DUMMYFUNCTION("""COMPUTED_VALUE"""),3995.0)</f>
        <v>3995</v>
      </c>
      <c r="F2273" s="1">
        <f>IFERROR(__xludf.DUMMYFUNCTION("""COMPUTED_VALUE"""),199710.0)</f>
        <v>199710</v>
      </c>
    </row>
    <row r="2274">
      <c r="A2274" s="2">
        <f>IFERROR(__xludf.DUMMYFUNCTION("""COMPUTED_VALUE"""),44573.64583333333)</f>
        <v>44573.64583</v>
      </c>
      <c r="B2274" s="1">
        <f>IFERROR(__xludf.DUMMYFUNCTION("""COMPUTED_VALUE"""),4005.0)</f>
        <v>4005</v>
      </c>
      <c r="C2274" s="1">
        <f>IFERROR(__xludf.DUMMYFUNCTION("""COMPUTED_VALUE"""),4610.0)</f>
        <v>4610</v>
      </c>
      <c r="D2274" s="1">
        <f>IFERROR(__xludf.DUMMYFUNCTION("""COMPUTED_VALUE"""),4000.0)</f>
        <v>4000</v>
      </c>
      <c r="E2274" s="1">
        <f>IFERROR(__xludf.DUMMYFUNCTION("""COMPUTED_VALUE"""),4350.0)</f>
        <v>4350</v>
      </c>
      <c r="F2274" s="1">
        <f>IFERROR(__xludf.DUMMYFUNCTION("""COMPUTED_VALUE"""),630281.0)</f>
        <v>630281</v>
      </c>
    </row>
    <row r="2275">
      <c r="A2275" s="2">
        <f>IFERROR(__xludf.DUMMYFUNCTION("""COMPUTED_VALUE"""),44574.64583333333)</f>
        <v>44574.64583</v>
      </c>
      <c r="B2275" s="1">
        <f>IFERROR(__xludf.DUMMYFUNCTION("""COMPUTED_VALUE"""),4350.0)</f>
        <v>4350</v>
      </c>
      <c r="C2275" s="1">
        <f>IFERROR(__xludf.DUMMYFUNCTION("""COMPUTED_VALUE"""),4510.0)</f>
        <v>4510</v>
      </c>
      <c r="D2275" s="1">
        <f>IFERROR(__xludf.DUMMYFUNCTION("""COMPUTED_VALUE"""),4300.0)</f>
        <v>4300</v>
      </c>
      <c r="E2275" s="1">
        <f>IFERROR(__xludf.DUMMYFUNCTION("""COMPUTED_VALUE"""),4390.0)</f>
        <v>4390</v>
      </c>
      <c r="F2275" s="1">
        <f>IFERROR(__xludf.DUMMYFUNCTION("""COMPUTED_VALUE"""),165004.0)</f>
        <v>165004</v>
      </c>
    </row>
    <row r="2276">
      <c r="A2276" s="2">
        <f>IFERROR(__xludf.DUMMYFUNCTION("""COMPUTED_VALUE"""),44575.64583333333)</f>
        <v>44575.64583</v>
      </c>
      <c r="B2276" s="1">
        <f>IFERROR(__xludf.DUMMYFUNCTION("""COMPUTED_VALUE"""),4325.0)</f>
        <v>4325</v>
      </c>
      <c r="C2276" s="1">
        <f>IFERROR(__xludf.DUMMYFUNCTION("""COMPUTED_VALUE"""),4390.0)</f>
        <v>4390</v>
      </c>
      <c r="D2276" s="1">
        <f>IFERROR(__xludf.DUMMYFUNCTION("""COMPUTED_VALUE"""),4200.0)</f>
        <v>4200</v>
      </c>
      <c r="E2276" s="1">
        <f>IFERROR(__xludf.DUMMYFUNCTION("""COMPUTED_VALUE"""),4250.0)</f>
        <v>4250</v>
      </c>
      <c r="F2276" s="1">
        <f>IFERROR(__xludf.DUMMYFUNCTION("""COMPUTED_VALUE"""),83181.0)</f>
        <v>83181</v>
      </c>
    </row>
    <row r="2277">
      <c r="A2277" s="2">
        <f>IFERROR(__xludf.DUMMYFUNCTION("""COMPUTED_VALUE"""),44578.64583333333)</f>
        <v>44578.64583</v>
      </c>
      <c r="B2277" s="1">
        <f>IFERROR(__xludf.DUMMYFUNCTION("""COMPUTED_VALUE"""),4205.0)</f>
        <v>4205</v>
      </c>
      <c r="C2277" s="1">
        <f>IFERROR(__xludf.DUMMYFUNCTION("""COMPUTED_VALUE"""),4205.0)</f>
        <v>4205</v>
      </c>
      <c r="D2277" s="1">
        <f>IFERROR(__xludf.DUMMYFUNCTION("""COMPUTED_VALUE"""),4060.0)</f>
        <v>4060</v>
      </c>
      <c r="E2277" s="1">
        <f>IFERROR(__xludf.DUMMYFUNCTION("""COMPUTED_VALUE"""),4090.0)</f>
        <v>4090</v>
      </c>
      <c r="F2277" s="1">
        <f>IFERROR(__xludf.DUMMYFUNCTION("""COMPUTED_VALUE"""),77293.0)</f>
        <v>77293</v>
      </c>
    </row>
    <row r="2278">
      <c r="A2278" s="2">
        <f>IFERROR(__xludf.DUMMYFUNCTION("""COMPUTED_VALUE"""),44579.64583333333)</f>
        <v>44579.64583</v>
      </c>
      <c r="B2278" s="1">
        <f>IFERROR(__xludf.DUMMYFUNCTION("""COMPUTED_VALUE"""),4060.0)</f>
        <v>4060</v>
      </c>
      <c r="C2278" s="1">
        <f>IFERROR(__xludf.DUMMYFUNCTION("""COMPUTED_VALUE"""),4990.0)</f>
        <v>4990</v>
      </c>
      <c r="D2278" s="1">
        <f>IFERROR(__xludf.DUMMYFUNCTION("""COMPUTED_VALUE"""),4055.0)</f>
        <v>4055</v>
      </c>
      <c r="E2278" s="1">
        <f>IFERROR(__xludf.DUMMYFUNCTION("""COMPUTED_VALUE"""),4285.0)</f>
        <v>4285</v>
      </c>
      <c r="F2278" s="1">
        <f>IFERROR(__xludf.DUMMYFUNCTION("""COMPUTED_VALUE"""),3382543.0)</f>
        <v>3382543</v>
      </c>
    </row>
    <row r="2279">
      <c r="A2279" s="2">
        <f>IFERROR(__xludf.DUMMYFUNCTION("""COMPUTED_VALUE"""),44580.64583333333)</f>
        <v>44580.64583</v>
      </c>
      <c r="B2279" s="1">
        <f>IFERROR(__xludf.DUMMYFUNCTION("""COMPUTED_VALUE"""),4295.0)</f>
        <v>4295</v>
      </c>
      <c r="C2279" s="1">
        <f>IFERROR(__xludf.DUMMYFUNCTION("""COMPUTED_VALUE"""),4930.0)</f>
        <v>4930</v>
      </c>
      <c r="D2279" s="1">
        <f>IFERROR(__xludf.DUMMYFUNCTION("""COMPUTED_VALUE"""),4095.0)</f>
        <v>4095</v>
      </c>
      <c r="E2279" s="1">
        <f>IFERROR(__xludf.DUMMYFUNCTION("""COMPUTED_VALUE"""),4645.0)</f>
        <v>4645</v>
      </c>
      <c r="F2279" s="1">
        <f>IFERROR(__xludf.DUMMYFUNCTION("""COMPUTED_VALUE"""),2632147.0)</f>
        <v>2632147</v>
      </c>
    </row>
    <row r="2280">
      <c r="A2280" s="2">
        <f>IFERROR(__xludf.DUMMYFUNCTION("""COMPUTED_VALUE"""),44581.64583333333)</f>
        <v>44581.64583</v>
      </c>
      <c r="B2280" s="1">
        <f>IFERROR(__xludf.DUMMYFUNCTION("""COMPUTED_VALUE"""),4565.0)</f>
        <v>4565</v>
      </c>
      <c r="C2280" s="1">
        <f>IFERROR(__xludf.DUMMYFUNCTION("""COMPUTED_VALUE"""),4685.0)</f>
        <v>4685</v>
      </c>
      <c r="D2280" s="1">
        <f>IFERROR(__xludf.DUMMYFUNCTION("""COMPUTED_VALUE"""),4250.0)</f>
        <v>4250</v>
      </c>
      <c r="E2280" s="1">
        <f>IFERROR(__xludf.DUMMYFUNCTION("""COMPUTED_VALUE"""),4425.0)</f>
        <v>4425</v>
      </c>
      <c r="F2280" s="1">
        <f>IFERROR(__xludf.DUMMYFUNCTION("""COMPUTED_VALUE"""),564737.0)</f>
        <v>564737</v>
      </c>
    </row>
    <row r="2281">
      <c r="A2281" s="2">
        <f>IFERROR(__xludf.DUMMYFUNCTION("""COMPUTED_VALUE"""),44582.64583333333)</f>
        <v>44582.64583</v>
      </c>
      <c r="B2281" s="1">
        <f>IFERROR(__xludf.DUMMYFUNCTION("""COMPUTED_VALUE"""),4515.0)</f>
        <v>4515</v>
      </c>
      <c r="C2281" s="1">
        <f>IFERROR(__xludf.DUMMYFUNCTION("""COMPUTED_VALUE"""),4640.0)</f>
        <v>4640</v>
      </c>
      <c r="D2281" s="1">
        <f>IFERROR(__xludf.DUMMYFUNCTION("""COMPUTED_VALUE"""),4425.0)</f>
        <v>4425</v>
      </c>
      <c r="E2281" s="1">
        <f>IFERROR(__xludf.DUMMYFUNCTION("""COMPUTED_VALUE"""),4530.0)</f>
        <v>4530</v>
      </c>
      <c r="F2281" s="1">
        <f>IFERROR(__xludf.DUMMYFUNCTION("""COMPUTED_VALUE"""),153692.0)</f>
        <v>153692</v>
      </c>
    </row>
    <row r="2282">
      <c r="A2282" s="2">
        <f>IFERROR(__xludf.DUMMYFUNCTION("""COMPUTED_VALUE"""),44585.64583333333)</f>
        <v>44585.64583</v>
      </c>
      <c r="B2282" s="1">
        <f>IFERROR(__xludf.DUMMYFUNCTION("""COMPUTED_VALUE"""),4470.0)</f>
        <v>4470</v>
      </c>
      <c r="C2282" s="1">
        <f>IFERROR(__xludf.DUMMYFUNCTION("""COMPUTED_VALUE"""),4685.0)</f>
        <v>4685</v>
      </c>
      <c r="D2282" s="1">
        <f>IFERROR(__xludf.DUMMYFUNCTION("""COMPUTED_VALUE"""),4300.0)</f>
        <v>4300</v>
      </c>
      <c r="E2282" s="1">
        <f>IFERROR(__xludf.DUMMYFUNCTION("""COMPUTED_VALUE"""),4395.0)</f>
        <v>4395</v>
      </c>
      <c r="F2282" s="1">
        <f>IFERROR(__xludf.DUMMYFUNCTION("""COMPUTED_VALUE"""),131779.0)</f>
        <v>131779</v>
      </c>
    </row>
    <row r="2283">
      <c r="A2283" s="2">
        <f>IFERROR(__xludf.DUMMYFUNCTION("""COMPUTED_VALUE"""),44586.64583333333)</f>
        <v>44586.64583</v>
      </c>
      <c r="B2283" s="1">
        <f>IFERROR(__xludf.DUMMYFUNCTION("""COMPUTED_VALUE"""),4405.0)</f>
        <v>4405</v>
      </c>
      <c r="C2283" s="1">
        <f>IFERROR(__xludf.DUMMYFUNCTION("""COMPUTED_VALUE"""),4450.0)</f>
        <v>4450</v>
      </c>
      <c r="D2283" s="1">
        <f>IFERROR(__xludf.DUMMYFUNCTION("""COMPUTED_VALUE"""),4120.0)</f>
        <v>4120</v>
      </c>
      <c r="E2283" s="1">
        <f>IFERROR(__xludf.DUMMYFUNCTION("""COMPUTED_VALUE"""),4330.0)</f>
        <v>4330</v>
      </c>
      <c r="F2283" s="1">
        <f>IFERROR(__xludf.DUMMYFUNCTION("""COMPUTED_VALUE"""),118842.0)</f>
        <v>118842</v>
      </c>
    </row>
    <row r="2284">
      <c r="A2284" s="2">
        <f>IFERROR(__xludf.DUMMYFUNCTION("""COMPUTED_VALUE"""),44587.64583333333)</f>
        <v>44587.64583</v>
      </c>
      <c r="B2284" s="1">
        <f>IFERROR(__xludf.DUMMYFUNCTION("""COMPUTED_VALUE"""),4270.0)</f>
        <v>4270</v>
      </c>
      <c r="C2284" s="1">
        <f>IFERROR(__xludf.DUMMYFUNCTION("""COMPUTED_VALUE"""),4465.0)</f>
        <v>4465</v>
      </c>
      <c r="D2284" s="1">
        <f>IFERROR(__xludf.DUMMYFUNCTION("""COMPUTED_VALUE"""),4200.0)</f>
        <v>4200</v>
      </c>
      <c r="E2284" s="1">
        <f>IFERROR(__xludf.DUMMYFUNCTION("""COMPUTED_VALUE"""),4345.0)</f>
        <v>4345</v>
      </c>
      <c r="F2284" s="1">
        <f>IFERROR(__xludf.DUMMYFUNCTION("""COMPUTED_VALUE"""),49008.0)</f>
        <v>49008</v>
      </c>
    </row>
    <row r="2285">
      <c r="A2285" s="2">
        <f>IFERROR(__xludf.DUMMYFUNCTION("""COMPUTED_VALUE"""),44588.64583333333)</f>
        <v>44588.64583</v>
      </c>
      <c r="B2285" s="1">
        <f>IFERROR(__xludf.DUMMYFUNCTION("""COMPUTED_VALUE"""),4285.0)</f>
        <v>4285</v>
      </c>
      <c r="C2285" s="1">
        <f>IFERROR(__xludf.DUMMYFUNCTION("""COMPUTED_VALUE"""),4490.0)</f>
        <v>4490</v>
      </c>
      <c r="D2285" s="1">
        <f>IFERROR(__xludf.DUMMYFUNCTION("""COMPUTED_VALUE"""),4130.0)</f>
        <v>4130</v>
      </c>
      <c r="E2285" s="1">
        <f>IFERROR(__xludf.DUMMYFUNCTION("""COMPUTED_VALUE"""),4205.0)</f>
        <v>4205</v>
      </c>
      <c r="F2285" s="1">
        <f>IFERROR(__xludf.DUMMYFUNCTION("""COMPUTED_VALUE"""),82355.0)</f>
        <v>82355</v>
      </c>
    </row>
    <row r="2286">
      <c r="A2286" s="2">
        <f>IFERROR(__xludf.DUMMYFUNCTION("""COMPUTED_VALUE"""),44589.64583333333)</f>
        <v>44589.64583</v>
      </c>
      <c r="B2286" s="1">
        <f>IFERROR(__xludf.DUMMYFUNCTION("""COMPUTED_VALUE"""),4215.0)</f>
        <v>4215</v>
      </c>
      <c r="C2286" s="1">
        <f>IFERROR(__xludf.DUMMYFUNCTION("""COMPUTED_VALUE"""),4335.0)</f>
        <v>4335</v>
      </c>
      <c r="D2286" s="1">
        <f>IFERROR(__xludf.DUMMYFUNCTION("""COMPUTED_VALUE"""),4150.0)</f>
        <v>4150</v>
      </c>
      <c r="E2286" s="1">
        <f>IFERROR(__xludf.DUMMYFUNCTION("""COMPUTED_VALUE"""),4300.0)</f>
        <v>4300</v>
      </c>
      <c r="F2286" s="1">
        <f>IFERROR(__xludf.DUMMYFUNCTION("""COMPUTED_VALUE"""),88745.0)</f>
        <v>88745</v>
      </c>
    </row>
    <row r="2287">
      <c r="A2287" s="2">
        <f>IFERROR(__xludf.DUMMYFUNCTION("""COMPUTED_VALUE"""),44595.64583333333)</f>
        <v>44595.64583</v>
      </c>
      <c r="B2287" s="1">
        <f>IFERROR(__xludf.DUMMYFUNCTION("""COMPUTED_VALUE"""),4300.0)</f>
        <v>4300</v>
      </c>
      <c r="C2287" s="1">
        <f>IFERROR(__xludf.DUMMYFUNCTION("""COMPUTED_VALUE"""),4900.0)</f>
        <v>4900</v>
      </c>
      <c r="D2287" s="1">
        <f>IFERROR(__xludf.DUMMYFUNCTION("""COMPUTED_VALUE"""),4300.0)</f>
        <v>4300</v>
      </c>
      <c r="E2287" s="1">
        <f>IFERROR(__xludf.DUMMYFUNCTION("""COMPUTED_VALUE"""),4660.0)</f>
        <v>4660</v>
      </c>
      <c r="F2287" s="1">
        <f>IFERROR(__xludf.DUMMYFUNCTION("""COMPUTED_VALUE"""),1906624.0)</f>
        <v>1906624</v>
      </c>
    </row>
    <row r="2288">
      <c r="A2288" s="2">
        <f>IFERROR(__xludf.DUMMYFUNCTION("""COMPUTED_VALUE"""),44596.64583333333)</f>
        <v>44596.64583</v>
      </c>
      <c r="B2288" s="1">
        <f>IFERROR(__xludf.DUMMYFUNCTION("""COMPUTED_VALUE"""),4610.0)</f>
        <v>4610</v>
      </c>
      <c r="C2288" s="1">
        <f>IFERROR(__xludf.DUMMYFUNCTION("""COMPUTED_VALUE"""),4665.0)</f>
        <v>4665</v>
      </c>
      <c r="D2288" s="1">
        <f>IFERROR(__xludf.DUMMYFUNCTION("""COMPUTED_VALUE"""),4500.0)</f>
        <v>4500</v>
      </c>
      <c r="E2288" s="1">
        <f>IFERROR(__xludf.DUMMYFUNCTION("""COMPUTED_VALUE"""),4660.0)</f>
        <v>4660</v>
      </c>
      <c r="F2288" s="1">
        <f>IFERROR(__xludf.DUMMYFUNCTION("""COMPUTED_VALUE"""),271138.0)</f>
        <v>271138</v>
      </c>
    </row>
    <row r="2289">
      <c r="A2289" s="2">
        <f>IFERROR(__xludf.DUMMYFUNCTION("""COMPUTED_VALUE"""),44599.64583333333)</f>
        <v>44599.64583</v>
      </c>
      <c r="B2289" s="1">
        <f>IFERROR(__xludf.DUMMYFUNCTION("""COMPUTED_VALUE"""),4615.0)</f>
        <v>4615</v>
      </c>
      <c r="C2289" s="1">
        <f>IFERROR(__xludf.DUMMYFUNCTION("""COMPUTED_VALUE"""),4640.0)</f>
        <v>4640</v>
      </c>
      <c r="D2289" s="1">
        <f>IFERROR(__xludf.DUMMYFUNCTION("""COMPUTED_VALUE"""),4555.0)</f>
        <v>4555</v>
      </c>
      <c r="E2289" s="1">
        <f>IFERROR(__xludf.DUMMYFUNCTION("""COMPUTED_VALUE"""),4570.0)</f>
        <v>4570</v>
      </c>
      <c r="F2289" s="1">
        <f>IFERROR(__xludf.DUMMYFUNCTION("""COMPUTED_VALUE"""),115214.0)</f>
        <v>115214</v>
      </c>
    </row>
    <row r="2290">
      <c r="A2290" s="2">
        <f>IFERROR(__xludf.DUMMYFUNCTION("""COMPUTED_VALUE"""),44600.64583333333)</f>
        <v>44600.64583</v>
      </c>
      <c r="B2290" s="1">
        <f>IFERROR(__xludf.DUMMYFUNCTION("""COMPUTED_VALUE"""),4550.0)</f>
        <v>4550</v>
      </c>
      <c r="C2290" s="1">
        <f>IFERROR(__xludf.DUMMYFUNCTION("""COMPUTED_VALUE"""),4620.0)</f>
        <v>4620</v>
      </c>
      <c r="D2290" s="1">
        <f>IFERROR(__xludf.DUMMYFUNCTION("""COMPUTED_VALUE"""),4450.0)</f>
        <v>4450</v>
      </c>
      <c r="E2290" s="1">
        <f>IFERROR(__xludf.DUMMYFUNCTION("""COMPUTED_VALUE"""),4500.0)</f>
        <v>4500</v>
      </c>
      <c r="F2290" s="1">
        <f>IFERROR(__xludf.DUMMYFUNCTION("""COMPUTED_VALUE"""),109283.0)</f>
        <v>109283</v>
      </c>
    </row>
    <row r="2291">
      <c r="A2291" s="2">
        <f>IFERROR(__xludf.DUMMYFUNCTION("""COMPUTED_VALUE"""),44601.64583333333)</f>
        <v>44601.64583</v>
      </c>
      <c r="B2291" s="1">
        <f>IFERROR(__xludf.DUMMYFUNCTION("""COMPUTED_VALUE"""),4465.0)</f>
        <v>4465</v>
      </c>
      <c r="C2291" s="1">
        <f>IFERROR(__xludf.DUMMYFUNCTION("""COMPUTED_VALUE"""),4590.0)</f>
        <v>4590</v>
      </c>
      <c r="D2291" s="1">
        <f>IFERROR(__xludf.DUMMYFUNCTION("""COMPUTED_VALUE"""),4415.0)</f>
        <v>4415</v>
      </c>
      <c r="E2291" s="1">
        <f>IFERROR(__xludf.DUMMYFUNCTION("""COMPUTED_VALUE"""),4560.0)</f>
        <v>4560</v>
      </c>
      <c r="F2291" s="1">
        <f>IFERROR(__xludf.DUMMYFUNCTION("""COMPUTED_VALUE"""),81227.0)</f>
        <v>81227</v>
      </c>
    </row>
    <row r="2292">
      <c r="A2292" s="2">
        <f>IFERROR(__xludf.DUMMYFUNCTION("""COMPUTED_VALUE"""),44602.64583333333)</f>
        <v>44602.64583</v>
      </c>
      <c r="B2292" s="1">
        <f>IFERROR(__xludf.DUMMYFUNCTION("""COMPUTED_VALUE"""),4540.0)</f>
        <v>4540</v>
      </c>
      <c r="C2292" s="1">
        <f>IFERROR(__xludf.DUMMYFUNCTION("""COMPUTED_VALUE"""),4545.0)</f>
        <v>4545</v>
      </c>
      <c r="D2292" s="1">
        <f>IFERROR(__xludf.DUMMYFUNCTION("""COMPUTED_VALUE"""),4330.0)</f>
        <v>4330</v>
      </c>
      <c r="E2292" s="1">
        <f>IFERROR(__xludf.DUMMYFUNCTION("""COMPUTED_VALUE"""),4450.0)</f>
        <v>4450</v>
      </c>
      <c r="F2292" s="1">
        <f>IFERROR(__xludf.DUMMYFUNCTION("""COMPUTED_VALUE"""),188557.0)</f>
        <v>188557</v>
      </c>
    </row>
    <row r="2293">
      <c r="A2293" s="2">
        <f>IFERROR(__xludf.DUMMYFUNCTION("""COMPUTED_VALUE"""),44603.64583333333)</f>
        <v>44603.64583</v>
      </c>
      <c r="B2293" s="1">
        <f>IFERROR(__xludf.DUMMYFUNCTION("""COMPUTED_VALUE"""),4385.0)</f>
        <v>4385</v>
      </c>
      <c r="C2293" s="1">
        <f>IFERROR(__xludf.DUMMYFUNCTION("""COMPUTED_VALUE"""),4480.0)</f>
        <v>4480</v>
      </c>
      <c r="D2293" s="1">
        <f>IFERROR(__xludf.DUMMYFUNCTION("""COMPUTED_VALUE"""),4320.0)</f>
        <v>4320</v>
      </c>
      <c r="E2293" s="1">
        <f>IFERROR(__xludf.DUMMYFUNCTION("""COMPUTED_VALUE"""),4470.0)</f>
        <v>4470</v>
      </c>
      <c r="F2293" s="1">
        <f>IFERROR(__xludf.DUMMYFUNCTION("""COMPUTED_VALUE"""),79881.0)</f>
        <v>79881</v>
      </c>
    </row>
    <row r="2294">
      <c r="A2294" s="2">
        <f>IFERROR(__xludf.DUMMYFUNCTION("""COMPUTED_VALUE"""),44606.64583333333)</f>
        <v>44606.64583</v>
      </c>
      <c r="B2294" s="1">
        <f>IFERROR(__xludf.DUMMYFUNCTION("""COMPUTED_VALUE"""),4380.0)</f>
        <v>4380</v>
      </c>
      <c r="C2294" s="1">
        <f>IFERROR(__xludf.DUMMYFUNCTION("""COMPUTED_VALUE"""),4440.0)</f>
        <v>4440</v>
      </c>
      <c r="D2294" s="1">
        <f>IFERROR(__xludf.DUMMYFUNCTION("""COMPUTED_VALUE"""),4260.0)</f>
        <v>4260</v>
      </c>
      <c r="E2294" s="1">
        <f>IFERROR(__xludf.DUMMYFUNCTION("""COMPUTED_VALUE"""),4340.0)</f>
        <v>4340</v>
      </c>
      <c r="F2294" s="1">
        <f>IFERROR(__xludf.DUMMYFUNCTION("""COMPUTED_VALUE"""),67309.0)</f>
        <v>67309</v>
      </c>
    </row>
    <row r="2295">
      <c r="A2295" s="2">
        <f>IFERROR(__xludf.DUMMYFUNCTION("""COMPUTED_VALUE"""),44607.64583333333)</f>
        <v>44607.64583</v>
      </c>
      <c r="B2295" s="1">
        <f>IFERROR(__xludf.DUMMYFUNCTION("""COMPUTED_VALUE"""),4340.0)</f>
        <v>4340</v>
      </c>
      <c r="C2295" s="1">
        <f>IFERROR(__xludf.DUMMYFUNCTION("""COMPUTED_VALUE"""),4390.0)</f>
        <v>4390</v>
      </c>
      <c r="D2295" s="1">
        <f>IFERROR(__xludf.DUMMYFUNCTION("""COMPUTED_VALUE"""),4210.0)</f>
        <v>4210</v>
      </c>
      <c r="E2295" s="1">
        <f>IFERROR(__xludf.DUMMYFUNCTION("""COMPUTED_VALUE"""),4225.0)</f>
        <v>4225</v>
      </c>
      <c r="F2295" s="1">
        <f>IFERROR(__xludf.DUMMYFUNCTION("""COMPUTED_VALUE"""),35267.0)</f>
        <v>35267</v>
      </c>
    </row>
    <row r="2296">
      <c r="A2296" s="2">
        <f>IFERROR(__xludf.DUMMYFUNCTION("""COMPUTED_VALUE"""),44608.64583333333)</f>
        <v>44608.64583</v>
      </c>
      <c r="B2296" s="1">
        <f>IFERROR(__xludf.DUMMYFUNCTION("""COMPUTED_VALUE"""),4345.0)</f>
        <v>4345</v>
      </c>
      <c r="C2296" s="1">
        <f>IFERROR(__xludf.DUMMYFUNCTION("""COMPUTED_VALUE"""),4450.0)</f>
        <v>4450</v>
      </c>
      <c r="D2296" s="1">
        <f>IFERROR(__xludf.DUMMYFUNCTION("""COMPUTED_VALUE"""),4300.0)</f>
        <v>4300</v>
      </c>
      <c r="E2296" s="1">
        <f>IFERROR(__xludf.DUMMYFUNCTION("""COMPUTED_VALUE"""),4390.0)</f>
        <v>4390</v>
      </c>
      <c r="F2296" s="1">
        <f>IFERROR(__xludf.DUMMYFUNCTION("""COMPUTED_VALUE"""),28041.0)</f>
        <v>28041</v>
      </c>
    </row>
    <row r="2297">
      <c r="A2297" s="2">
        <f>IFERROR(__xludf.DUMMYFUNCTION("""COMPUTED_VALUE"""),44609.64583333333)</f>
        <v>44609.64583</v>
      </c>
      <c r="B2297" s="1">
        <f>IFERROR(__xludf.DUMMYFUNCTION("""COMPUTED_VALUE"""),4390.0)</f>
        <v>4390</v>
      </c>
      <c r="C2297" s="1">
        <f>IFERROR(__xludf.DUMMYFUNCTION("""COMPUTED_VALUE"""),4545.0)</f>
        <v>4545</v>
      </c>
      <c r="D2297" s="1">
        <f>IFERROR(__xludf.DUMMYFUNCTION("""COMPUTED_VALUE"""),4230.0)</f>
        <v>4230</v>
      </c>
      <c r="E2297" s="1">
        <f>IFERROR(__xludf.DUMMYFUNCTION("""COMPUTED_VALUE"""),4310.0)</f>
        <v>4310</v>
      </c>
      <c r="F2297" s="1">
        <f>IFERROR(__xludf.DUMMYFUNCTION("""COMPUTED_VALUE"""),140308.0)</f>
        <v>140308</v>
      </c>
    </row>
    <row r="2298">
      <c r="A2298" s="2">
        <f>IFERROR(__xludf.DUMMYFUNCTION("""COMPUTED_VALUE"""),44610.64583333333)</f>
        <v>44610.64583</v>
      </c>
      <c r="B2298" s="1">
        <f>IFERROR(__xludf.DUMMYFUNCTION("""COMPUTED_VALUE"""),4370.0)</f>
        <v>4370</v>
      </c>
      <c r="C2298" s="1">
        <f>IFERROR(__xludf.DUMMYFUNCTION("""COMPUTED_VALUE"""),4525.0)</f>
        <v>4525</v>
      </c>
      <c r="D2298" s="1">
        <f>IFERROR(__xludf.DUMMYFUNCTION("""COMPUTED_VALUE"""),4175.0)</f>
        <v>4175</v>
      </c>
      <c r="E2298" s="1">
        <f>IFERROR(__xludf.DUMMYFUNCTION("""COMPUTED_VALUE"""),4295.0)</f>
        <v>4295</v>
      </c>
      <c r="F2298" s="1">
        <f>IFERROR(__xludf.DUMMYFUNCTION("""COMPUTED_VALUE"""),109813.0)</f>
        <v>109813</v>
      </c>
    </row>
    <row r="2299">
      <c r="A2299" s="2">
        <f>IFERROR(__xludf.DUMMYFUNCTION("""COMPUTED_VALUE"""),44613.64583333333)</f>
        <v>44613.64583</v>
      </c>
      <c r="B2299" s="1">
        <f>IFERROR(__xludf.DUMMYFUNCTION("""COMPUTED_VALUE"""),4295.0)</f>
        <v>4295</v>
      </c>
      <c r="C2299" s="1">
        <f>IFERROR(__xludf.DUMMYFUNCTION("""COMPUTED_VALUE"""),4295.0)</f>
        <v>4295</v>
      </c>
      <c r="D2299" s="1">
        <f>IFERROR(__xludf.DUMMYFUNCTION("""COMPUTED_VALUE"""),4165.0)</f>
        <v>4165</v>
      </c>
      <c r="E2299" s="1">
        <f>IFERROR(__xludf.DUMMYFUNCTION("""COMPUTED_VALUE"""),4185.0)</f>
        <v>4185</v>
      </c>
      <c r="F2299" s="1">
        <f>IFERROR(__xludf.DUMMYFUNCTION("""COMPUTED_VALUE"""),96270.0)</f>
        <v>96270</v>
      </c>
    </row>
    <row r="2300">
      <c r="A2300" s="2">
        <f>IFERROR(__xludf.DUMMYFUNCTION("""COMPUTED_VALUE"""),44614.64583333333)</f>
        <v>44614.64583</v>
      </c>
      <c r="B2300" s="1">
        <f>IFERROR(__xludf.DUMMYFUNCTION("""COMPUTED_VALUE"""),4185.0)</f>
        <v>4185</v>
      </c>
      <c r="C2300" s="1">
        <f>IFERROR(__xludf.DUMMYFUNCTION("""COMPUTED_VALUE"""),4210.0)</f>
        <v>4210</v>
      </c>
      <c r="D2300" s="1">
        <f>IFERROR(__xludf.DUMMYFUNCTION("""COMPUTED_VALUE"""),4000.0)</f>
        <v>4000</v>
      </c>
      <c r="E2300" s="1">
        <f>IFERROR(__xludf.DUMMYFUNCTION("""COMPUTED_VALUE"""),4010.0)</f>
        <v>4010</v>
      </c>
      <c r="F2300" s="1">
        <f>IFERROR(__xludf.DUMMYFUNCTION("""COMPUTED_VALUE"""),76013.0)</f>
        <v>76013</v>
      </c>
    </row>
    <row r="2301">
      <c r="A2301" s="2">
        <f>IFERROR(__xludf.DUMMYFUNCTION("""COMPUTED_VALUE"""),44615.64583333333)</f>
        <v>44615.64583</v>
      </c>
      <c r="B2301" s="1">
        <f>IFERROR(__xludf.DUMMYFUNCTION("""COMPUTED_VALUE"""),4050.0)</f>
        <v>4050</v>
      </c>
      <c r="C2301" s="1">
        <f>IFERROR(__xludf.DUMMYFUNCTION("""COMPUTED_VALUE"""),4060.0)</f>
        <v>4060</v>
      </c>
      <c r="D2301" s="1">
        <f>IFERROR(__xludf.DUMMYFUNCTION("""COMPUTED_VALUE"""),3875.0)</f>
        <v>3875</v>
      </c>
      <c r="E2301" s="1">
        <f>IFERROR(__xludf.DUMMYFUNCTION("""COMPUTED_VALUE"""),3940.0)</f>
        <v>3940</v>
      </c>
      <c r="F2301" s="1">
        <f>IFERROR(__xludf.DUMMYFUNCTION("""COMPUTED_VALUE"""),116822.0)</f>
        <v>116822</v>
      </c>
    </row>
    <row r="2302">
      <c r="A2302" s="2">
        <f>IFERROR(__xludf.DUMMYFUNCTION("""COMPUTED_VALUE"""),44616.64583333333)</f>
        <v>44616.64583</v>
      </c>
      <c r="B2302" s="1">
        <f>IFERROR(__xludf.DUMMYFUNCTION("""COMPUTED_VALUE"""),3885.0)</f>
        <v>3885</v>
      </c>
      <c r="C2302" s="1">
        <f>IFERROR(__xludf.DUMMYFUNCTION("""COMPUTED_VALUE"""),3930.0)</f>
        <v>3930</v>
      </c>
      <c r="D2302" s="1">
        <f>IFERROR(__xludf.DUMMYFUNCTION("""COMPUTED_VALUE"""),3755.0)</f>
        <v>3755</v>
      </c>
      <c r="E2302" s="1">
        <f>IFERROR(__xludf.DUMMYFUNCTION("""COMPUTED_VALUE"""),3780.0)</f>
        <v>3780</v>
      </c>
      <c r="F2302" s="1">
        <f>IFERROR(__xludf.DUMMYFUNCTION("""COMPUTED_VALUE"""),66800.0)</f>
        <v>66800</v>
      </c>
    </row>
    <row r="2303">
      <c r="A2303" s="2">
        <f>IFERROR(__xludf.DUMMYFUNCTION("""COMPUTED_VALUE"""),44617.64583333333)</f>
        <v>44617.64583</v>
      </c>
      <c r="B2303" s="1">
        <f>IFERROR(__xludf.DUMMYFUNCTION("""COMPUTED_VALUE"""),3810.0)</f>
        <v>3810</v>
      </c>
      <c r="C2303" s="1">
        <f>IFERROR(__xludf.DUMMYFUNCTION("""COMPUTED_VALUE"""),3880.0)</f>
        <v>3880</v>
      </c>
      <c r="D2303" s="1">
        <f>IFERROR(__xludf.DUMMYFUNCTION("""COMPUTED_VALUE"""),3760.0)</f>
        <v>3760</v>
      </c>
      <c r="E2303" s="1">
        <f>IFERROR(__xludf.DUMMYFUNCTION("""COMPUTED_VALUE"""),3875.0)</f>
        <v>3875</v>
      </c>
      <c r="F2303" s="1">
        <f>IFERROR(__xludf.DUMMYFUNCTION("""COMPUTED_VALUE"""),76170.0)</f>
        <v>76170</v>
      </c>
    </row>
    <row r="2304">
      <c r="A2304" s="2">
        <f>IFERROR(__xludf.DUMMYFUNCTION("""COMPUTED_VALUE"""),44620.64583333333)</f>
        <v>44620.64583</v>
      </c>
      <c r="B2304" s="1">
        <f>IFERROR(__xludf.DUMMYFUNCTION("""COMPUTED_VALUE"""),3875.0)</f>
        <v>3875</v>
      </c>
      <c r="C2304" s="1">
        <f>IFERROR(__xludf.DUMMYFUNCTION("""COMPUTED_VALUE"""),3910.0)</f>
        <v>3910</v>
      </c>
      <c r="D2304" s="1">
        <f>IFERROR(__xludf.DUMMYFUNCTION("""COMPUTED_VALUE"""),3775.0)</f>
        <v>3775</v>
      </c>
      <c r="E2304" s="1">
        <f>IFERROR(__xludf.DUMMYFUNCTION("""COMPUTED_VALUE"""),3880.0)</f>
        <v>3880</v>
      </c>
      <c r="F2304" s="1">
        <f>IFERROR(__xludf.DUMMYFUNCTION("""COMPUTED_VALUE"""),45514.0)</f>
        <v>45514</v>
      </c>
    </row>
    <row r="2305">
      <c r="A2305" s="2">
        <f>IFERROR(__xludf.DUMMYFUNCTION("""COMPUTED_VALUE"""),44622.64583333333)</f>
        <v>44622.64583</v>
      </c>
      <c r="B2305" s="1">
        <f>IFERROR(__xludf.DUMMYFUNCTION("""COMPUTED_VALUE"""),3900.0)</f>
        <v>3900</v>
      </c>
      <c r="C2305" s="1">
        <f>IFERROR(__xludf.DUMMYFUNCTION("""COMPUTED_VALUE"""),3910.0)</f>
        <v>3910</v>
      </c>
      <c r="D2305" s="1">
        <f>IFERROR(__xludf.DUMMYFUNCTION("""COMPUTED_VALUE"""),3750.0)</f>
        <v>3750</v>
      </c>
      <c r="E2305" s="1">
        <f>IFERROR(__xludf.DUMMYFUNCTION("""COMPUTED_VALUE"""),3810.0)</f>
        <v>3810</v>
      </c>
      <c r="F2305" s="1">
        <f>IFERROR(__xludf.DUMMYFUNCTION("""COMPUTED_VALUE"""),115103.0)</f>
        <v>115103</v>
      </c>
    </row>
    <row r="2306">
      <c r="A2306" s="2">
        <f>IFERROR(__xludf.DUMMYFUNCTION("""COMPUTED_VALUE"""),44623.64583333333)</f>
        <v>44623.64583</v>
      </c>
      <c r="B2306" s="1">
        <f>IFERROR(__xludf.DUMMYFUNCTION("""COMPUTED_VALUE"""),3850.0)</f>
        <v>3850</v>
      </c>
      <c r="C2306" s="1">
        <f>IFERROR(__xludf.DUMMYFUNCTION("""COMPUTED_VALUE"""),4100.0)</f>
        <v>4100</v>
      </c>
      <c r="D2306" s="1">
        <f>IFERROR(__xludf.DUMMYFUNCTION("""COMPUTED_VALUE"""),3790.0)</f>
        <v>3790</v>
      </c>
      <c r="E2306" s="1">
        <f>IFERROR(__xludf.DUMMYFUNCTION("""COMPUTED_VALUE"""),4060.0)</f>
        <v>4060</v>
      </c>
      <c r="F2306" s="1">
        <f>IFERROR(__xludf.DUMMYFUNCTION("""COMPUTED_VALUE"""),59660.0)</f>
        <v>59660</v>
      </c>
    </row>
    <row r="2307">
      <c r="A2307" s="2">
        <f>IFERROR(__xludf.DUMMYFUNCTION("""COMPUTED_VALUE"""),44624.64583333333)</f>
        <v>44624.64583</v>
      </c>
      <c r="B2307" s="1">
        <f>IFERROR(__xludf.DUMMYFUNCTION("""COMPUTED_VALUE"""),3990.0)</f>
        <v>3990</v>
      </c>
      <c r="C2307" s="1">
        <f>IFERROR(__xludf.DUMMYFUNCTION("""COMPUTED_VALUE"""),4055.0)</f>
        <v>4055</v>
      </c>
      <c r="D2307" s="1">
        <f>IFERROR(__xludf.DUMMYFUNCTION("""COMPUTED_VALUE"""),3895.0)</f>
        <v>3895</v>
      </c>
      <c r="E2307" s="1">
        <f>IFERROR(__xludf.DUMMYFUNCTION("""COMPUTED_VALUE"""),3920.0)</f>
        <v>3920</v>
      </c>
      <c r="F2307" s="1">
        <f>IFERROR(__xludf.DUMMYFUNCTION("""COMPUTED_VALUE"""),26140.0)</f>
        <v>26140</v>
      </c>
    </row>
    <row r="2308">
      <c r="A2308" s="2">
        <f>IFERROR(__xludf.DUMMYFUNCTION("""COMPUTED_VALUE"""),44627.64583333333)</f>
        <v>44627.64583</v>
      </c>
      <c r="B2308" s="1">
        <f>IFERROR(__xludf.DUMMYFUNCTION("""COMPUTED_VALUE"""),3920.0)</f>
        <v>3920</v>
      </c>
      <c r="C2308" s="1">
        <f>IFERROR(__xludf.DUMMYFUNCTION("""COMPUTED_VALUE"""),4070.0)</f>
        <v>4070</v>
      </c>
      <c r="D2308" s="1">
        <f>IFERROR(__xludf.DUMMYFUNCTION("""COMPUTED_VALUE"""),3785.0)</f>
        <v>3785</v>
      </c>
      <c r="E2308" s="1">
        <f>IFERROR(__xludf.DUMMYFUNCTION("""COMPUTED_VALUE"""),3805.0)</f>
        <v>3805</v>
      </c>
      <c r="F2308" s="1">
        <f>IFERROR(__xludf.DUMMYFUNCTION("""COMPUTED_VALUE"""),79026.0)</f>
        <v>79026</v>
      </c>
    </row>
    <row r="2309">
      <c r="A2309" s="2">
        <f>IFERROR(__xludf.DUMMYFUNCTION("""COMPUTED_VALUE"""),44628.64583333333)</f>
        <v>44628.64583</v>
      </c>
      <c r="B2309" s="1">
        <f>IFERROR(__xludf.DUMMYFUNCTION("""COMPUTED_VALUE"""),3750.0)</f>
        <v>3750</v>
      </c>
      <c r="C2309" s="1">
        <f>IFERROR(__xludf.DUMMYFUNCTION("""COMPUTED_VALUE"""),3805.0)</f>
        <v>3805</v>
      </c>
      <c r="D2309" s="1">
        <f>IFERROR(__xludf.DUMMYFUNCTION("""COMPUTED_VALUE"""),3650.0)</f>
        <v>3650</v>
      </c>
      <c r="E2309" s="1">
        <f>IFERROR(__xludf.DUMMYFUNCTION("""COMPUTED_VALUE"""),3685.0)</f>
        <v>3685</v>
      </c>
      <c r="F2309" s="1">
        <f>IFERROR(__xludf.DUMMYFUNCTION("""COMPUTED_VALUE"""),163720.0)</f>
        <v>163720</v>
      </c>
    </row>
    <row r="2310">
      <c r="A2310" s="2">
        <f>IFERROR(__xludf.DUMMYFUNCTION("""COMPUTED_VALUE"""),44630.64583333333)</f>
        <v>44630.64583</v>
      </c>
      <c r="B2310" s="1">
        <f>IFERROR(__xludf.DUMMYFUNCTION("""COMPUTED_VALUE"""),3855.0)</f>
        <v>3855</v>
      </c>
      <c r="C2310" s="1">
        <f>IFERROR(__xludf.DUMMYFUNCTION("""COMPUTED_VALUE"""),3855.0)</f>
        <v>3855</v>
      </c>
      <c r="D2310" s="1">
        <f>IFERROR(__xludf.DUMMYFUNCTION("""COMPUTED_VALUE"""),3755.0)</f>
        <v>3755</v>
      </c>
      <c r="E2310" s="1">
        <f>IFERROR(__xludf.DUMMYFUNCTION("""COMPUTED_VALUE"""),3795.0)</f>
        <v>3795</v>
      </c>
      <c r="F2310" s="1">
        <f>IFERROR(__xludf.DUMMYFUNCTION("""COMPUTED_VALUE"""),27260.0)</f>
        <v>27260</v>
      </c>
    </row>
    <row r="2311">
      <c r="A2311" s="2">
        <f>IFERROR(__xludf.DUMMYFUNCTION("""COMPUTED_VALUE"""),44631.64583333333)</f>
        <v>44631.64583</v>
      </c>
      <c r="B2311" s="1">
        <f>IFERROR(__xludf.DUMMYFUNCTION("""COMPUTED_VALUE"""),3865.0)</f>
        <v>3865</v>
      </c>
      <c r="C2311" s="1">
        <f>IFERROR(__xludf.DUMMYFUNCTION("""COMPUTED_VALUE"""),3865.0)</f>
        <v>3865</v>
      </c>
      <c r="D2311" s="1">
        <f>IFERROR(__xludf.DUMMYFUNCTION("""COMPUTED_VALUE"""),3745.0)</f>
        <v>3745</v>
      </c>
      <c r="E2311" s="1">
        <f>IFERROR(__xludf.DUMMYFUNCTION("""COMPUTED_VALUE"""),3800.0)</f>
        <v>3800</v>
      </c>
      <c r="F2311" s="1">
        <f>IFERROR(__xludf.DUMMYFUNCTION("""COMPUTED_VALUE"""),16829.0)</f>
        <v>16829</v>
      </c>
    </row>
    <row r="2312">
      <c r="A2312" s="2">
        <f>IFERROR(__xludf.DUMMYFUNCTION("""COMPUTED_VALUE"""),44634.64583333333)</f>
        <v>44634.64583</v>
      </c>
      <c r="B2312" s="1">
        <f>IFERROR(__xludf.DUMMYFUNCTION("""COMPUTED_VALUE"""),3880.0)</f>
        <v>3880</v>
      </c>
      <c r="C2312" s="1">
        <f>IFERROR(__xludf.DUMMYFUNCTION("""COMPUTED_VALUE"""),3885.0)</f>
        <v>3885</v>
      </c>
      <c r="D2312" s="1">
        <f>IFERROR(__xludf.DUMMYFUNCTION("""COMPUTED_VALUE"""),3605.0)</f>
        <v>3605</v>
      </c>
      <c r="E2312" s="1">
        <f>IFERROR(__xludf.DUMMYFUNCTION("""COMPUTED_VALUE"""),3775.0)</f>
        <v>3775</v>
      </c>
      <c r="F2312" s="1">
        <f>IFERROR(__xludf.DUMMYFUNCTION("""COMPUTED_VALUE"""),55719.0)</f>
        <v>55719</v>
      </c>
    </row>
    <row r="2313">
      <c r="A2313" s="2">
        <f>IFERROR(__xludf.DUMMYFUNCTION("""COMPUTED_VALUE"""),44635.64583333333)</f>
        <v>44635.64583</v>
      </c>
      <c r="B2313" s="1">
        <f>IFERROR(__xludf.DUMMYFUNCTION("""COMPUTED_VALUE"""),3745.0)</f>
        <v>3745</v>
      </c>
      <c r="C2313" s="1">
        <f>IFERROR(__xludf.DUMMYFUNCTION("""COMPUTED_VALUE"""),3820.0)</f>
        <v>3820</v>
      </c>
      <c r="D2313" s="1">
        <f>IFERROR(__xludf.DUMMYFUNCTION("""COMPUTED_VALUE"""),3675.0)</f>
        <v>3675</v>
      </c>
      <c r="E2313" s="1">
        <f>IFERROR(__xludf.DUMMYFUNCTION("""COMPUTED_VALUE"""),3685.0)</f>
        <v>3685</v>
      </c>
      <c r="F2313" s="1">
        <f>IFERROR(__xludf.DUMMYFUNCTION("""COMPUTED_VALUE"""),35242.0)</f>
        <v>35242</v>
      </c>
    </row>
    <row r="2314">
      <c r="A2314" s="2">
        <f>IFERROR(__xludf.DUMMYFUNCTION("""COMPUTED_VALUE"""),44636.64583333333)</f>
        <v>44636.64583</v>
      </c>
      <c r="B2314" s="1">
        <f>IFERROR(__xludf.DUMMYFUNCTION("""COMPUTED_VALUE"""),3710.0)</f>
        <v>3710</v>
      </c>
      <c r="C2314" s="1">
        <f>IFERROR(__xludf.DUMMYFUNCTION("""COMPUTED_VALUE"""),3800.0)</f>
        <v>3800</v>
      </c>
      <c r="D2314" s="1">
        <f>IFERROR(__xludf.DUMMYFUNCTION("""COMPUTED_VALUE"""),3685.0)</f>
        <v>3685</v>
      </c>
      <c r="E2314" s="1">
        <f>IFERROR(__xludf.DUMMYFUNCTION("""COMPUTED_VALUE"""),3745.0)</f>
        <v>3745</v>
      </c>
      <c r="F2314" s="1">
        <f>IFERROR(__xludf.DUMMYFUNCTION("""COMPUTED_VALUE"""),18123.0)</f>
        <v>18123</v>
      </c>
    </row>
    <row r="2315">
      <c r="A2315" s="2">
        <f>IFERROR(__xludf.DUMMYFUNCTION("""COMPUTED_VALUE"""),44637.64583333333)</f>
        <v>44637.64583</v>
      </c>
      <c r="B2315" s="1">
        <f>IFERROR(__xludf.DUMMYFUNCTION("""COMPUTED_VALUE"""),3780.0)</f>
        <v>3780</v>
      </c>
      <c r="C2315" s="1">
        <f>IFERROR(__xludf.DUMMYFUNCTION("""COMPUTED_VALUE"""),3805.0)</f>
        <v>3805</v>
      </c>
      <c r="D2315" s="1">
        <f>IFERROR(__xludf.DUMMYFUNCTION("""COMPUTED_VALUE"""),3735.0)</f>
        <v>3735</v>
      </c>
      <c r="E2315" s="1">
        <f>IFERROR(__xludf.DUMMYFUNCTION("""COMPUTED_VALUE"""),3755.0)</f>
        <v>3755</v>
      </c>
      <c r="F2315" s="1">
        <f>IFERROR(__xludf.DUMMYFUNCTION("""COMPUTED_VALUE"""),42887.0)</f>
        <v>42887</v>
      </c>
    </row>
    <row r="2316">
      <c r="A2316" s="2">
        <f>IFERROR(__xludf.DUMMYFUNCTION("""COMPUTED_VALUE"""),44638.64583333333)</f>
        <v>44638.64583</v>
      </c>
      <c r="B2316" s="1">
        <f>IFERROR(__xludf.DUMMYFUNCTION("""COMPUTED_VALUE"""),3765.0)</f>
        <v>3765</v>
      </c>
      <c r="C2316" s="1">
        <f>IFERROR(__xludf.DUMMYFUNCTION("""COMPUTED_VALUE"""),3890.0)</f>
        <v>3890</v>
      </c>
      <c r="D2316" s="1">
        <f>IFERROR(__xludf.DUMMYFUNCTION("""COMPUTED_VALUE"""),3750.0)</f>
        <v>3750</v>
      </c>
      <c r="E2316" s="1">
        <f>IFERROR(__xludf.DUMMYFUNCTION("""COMPUTED_VALUE"""),3825.0)</f>
        <v>3825</v>
      </c>
      <c r="F2316" s="1">
        <f>IFERROR(__xludf.DUMMYFUNCTION("""COMPUTED_VALUE"""),31799.0)</f>
        <v>31799</v>
      </c>
    </row>
    <row r="2317">
      <c r="A2317" s="2">
        <f>IFERROR(__xludf.DUMMYFUNCTION("""COMPUTED_VALUE"""),44641.64583333333)</f>
        <v>44641.64583</v>
      </c>
      <c r="B2317" s="1">
        <f>IFERROR(__xludf.DUMMYFUNCTION("""COMPUTED_VALUE"""),3930.0)</f>
        <v>3930</v>
      </c>
      <c r="C2317" s="1">
        <f>IFERROR(__xludf.DUMMYFUNCTION("""COMPUTED_VALUE"""),3930.0)</f>
        <v>3930</v>
      </c>
      <c r="D2317" s="1">
        <f>IFERROR(__xludf.DUMMYFUNCTION("""COMPUTED_VALUE"""),3780.0)</f>
        <v>3780</v>
      </c>
      <c r="E2317" s="1">
        <f>IFERROR(__xludf.DUMMYFUNCTION("""COMPUTED_VALUE"""),3825.0)</f>
        <v>3825</v>
      </c>
      <c r="F2317" s="1">
        <f>IFERROR(__xludf.DUMMYFUNCTION("""COMPUTED_VALUE"""),64004.0)</f>
        <v>64004</v>
      </c>
    </row>
    <row r="2318">
      <c r="A2318" s="2">
        <f>IFERROR(__xludf.DUMMYFUNCTION("""COMPUTED_VALUE"""),44642.64583333333)</f>
        <v>44642.64583</v>
      </c>
      <c r="B2318" s="1">
        <f>IFERROR(__xludf.DUMMYFUNCTION("""COMPUTED_VALUE"""),3920.0)</f>
        <v>3920</v>
      </c>
      <c r="C2318" s="1">
        <f>IFERROR(__xludf.DUMMYFUNCTION("""COMPUTED_VALUE"""),3920.0)</f>
        <v>3920</v>
      </c>
      <c r="D2318" s="1">
        <f>IFERROR(__xludf.DUMMYFUNCTION("""COMPUTED_VALUE"""),3775.0)</f>
        <v>3775</v>
      </c>
      <c r="E2318" s="1">
        <f>IFERROR(__xludf.DUMMYFUNCTION("""COMPUTED_VALUE"""),3800.0)</f>
        <v>3800</v>
      </c>
      <c r="F2318" s="1">
        <f>IFERROR(__xludf.DUMMYFUNCTION("""COMPUTED_VALUE"""),90310.0)</f>
        <v>90310</v>
      </c>
    </row>
    <row r="2319">
      <c r="A2319" s="2">
        <f>IFERROR(__xludf.DUMMYFUNCTION("""COMPUTED_VALUE"""),44643.64583333333)</f>
        <v>44643.64583</v>
      </c>
      <c r="B2319" s="1">
        <f>IFERROR(__xludf.DUMMYFUNCTION("""COMPUTED_VALUE"""),3850.0)</f>
        <v>3850</v>
      </c>
      <c r="C2319" s="1">
        <f>IFERROR(__xludf.DUMMYFUNCTION("""COMPUTED_VALUE"""),3850.0)</f>
        <v>3850</v>
      </c>
      <c r="D2319" s="1">
        <f>IFERROR(__xludf.DUMMYFUNCTION("""COMPUTED_VALUE"""),3735.0)</f>
        <v>3735</v>
      </c>
      <c r="E2319" s="1">
        <f>IFERROR(__xludf.DUMMYFUNCTION("""COMPUTED_VALUE"""),3800.0)</f>
        <v>3800</v>
      </c>
      <c r="F2319" s="1">
        <f>IFERROR(__xludf.DUMMYFUNCTION("""COMPUTED_VALUE"""),60361.0)</f>
        <v>60361</v>
      </c>
    </row>
    <row r="2320">
      <c r="A2320" s="2">
        <f>IFERROR(__xludf.DUMMYFUNCTION("""COMPUTED_VALUE"""),44644.64583333333)</f>
        <v>44644.64583</v>
      </c>
      <c r="B2320" s="1">
        <f>IFERROR(__xludf.DUMMYFUNCTION("""COMPUTED_VALUE"""),3775.0)</f>
        <v>3775</v>
      </c>
      <c r="C2320" s="1">
        <f>IFERROR(__xludf.DUMMYFUNCTION("""COMPUTED_VALUE"""),3820.0)</f>
        <v>3820</v>
      </c>
      <c r="D2320" s="1">
        <f>IFERROR(__xludf.DUMMYFUNCTION("""COMPUTED_VALUE"""),3680.0)</f>
        <v>3680</v>
      </c>
      <c r="E2320" s="1">
        <f>IFERROR(__xludf.DUMMYFUNCTION("""COMPUTED_VALUE"""),3750.0)</f>
        <v>3750</v>
      </c>
      <c r="F2320" s="1">
        <f>IFERROR(__xludf.DUMMYFUNCTION("""COMPUTED_VALUE"""),85890.0)</f>
        <v>85890</v>
      </c>
    </row>
    <row r="2321">
      <c r="A2321" s="2">
        <f>IFERROR(__xludf.DUMMYFUNCTION("""COMPUTED_VALUE"""),44645.64583333333)</f>
        <v>44645.64583</v>
      </c>
      <c r="B2321" s="1">
        <f>IFERROR(__xludf.DUMMYFUNCTION("""COMPUTED_VALUE"""),3715.0)</f>
        <v>3715</v>
      </c>
      <c r="C2321" s="1">
        <f>IFERROR(__xludf.DUMMYFUNCTION("""COMPUTED_VALUE"""),3760.0)</f>
        <v>3760</v>
      </c>
      <c r="D2321" s="1">
        <f>IFERROR(__xludf.DUMMYFUNCTION("""COMPUTED_VALUE"""),3680.0)</f>
        <v>3680</v>
      </c>
      <c r="E2321" s="1">
        <f>IFERROR(__xludf.DUMMYFUNCTION("""COMPUTED_VALUE"""),3695.0)</f>
        <v>3695</v>
      </c>
      <c r="F2321" s="1">
        <f>IFERROR(__xludf.DUMMYFUNCTION("""COMPUTED_VALUE"""),64337.0)</f>
        <v>64337</v>
      </c>
    </row>
    <row r="2322">
      <c r="A2322" s="2">
        <f>IFERROR(__xludf.DUMMYFUNCTION("""COMPUTED_VALUE"""),44648.64583333333)</f>
        <v>44648.64583</v>
      </c>
      <c r="B2322" s="1">
        <f>IFERROR(__xludf.DUMMYFUNCTION("""COMPUTED_VALUE"""),3700.0)</f>
        <v>3700</v>
      </c>
      <c r="C2322" s="1">
        <f>IFERROR(__xludf.DUMMYFUNCTION("""COMPUTED_VALUE"""),3725.0)</f>
        <v>3725</v>
      </c>
      <c r="D2322" s="1">
        <f>IFERROR(__xludf.DUMMYFUNCTION("""COMPUTED_VALUE"""),3635.0)</f>
        <v>3635</v>
      </c>
      <c r="E2322" s="1">
        <f>IFERROR(__xludf.DUMMYFUNCTION("""COMPUTED_VALUE"""),3705.0)</f>
        <v>3705</v>
      </c>
      <c r="F2322" s="1">
        <f>IFERROR(__xludf.DUMMYFUNCTION("""COMPUTED_VALUE"""),29244.0)</f>
        <v>29244</v>
      </c>
    </row>
    <row r="2323">
      <c r="A2323" s="2">
        <f>IFERROR(__xludf.DUMMYFUNCTION("""COMPUTED_VALUE"""),44649.64583333333)</f>
        <v>44649.64583</v>
      </c>
      <c r="B2323" s="1">
        <f>IFERROR(__xludf.DUMMYFUNCTION("""COMPUTED_VALUE"""),3710.0)</f>
        <v>3710</v>
      </c>
      <c r="C2323" s="1">
        <f>IFERROR(__xludf.DUMMYFUNCTION("""COMPUTED_VALUE"""),3750.0)</f>
        <v>3750</v>
      </c>
      <c r="D2323" s="1">
        <f>IFERROR(__xludf.DUMMYFUNCTION("""COMPUTED_VALUE"""),3650.0)</f>
        <v>3650</v>
      </c>
      <c r="E2323" s="1">
        <f>IFERROR(__xludf.DUMMYFUNCTION("""COMPUTED_VALUE"""),3735.0)</f>
        <v>3735</v>
      </c>
      <c r="F2323" s="1">
        <f>IFERROR(__xludf.DUMMYFUNCTION("""COMPUTED_VALUE"""),57057.0)</f>
        <v>57057</v>
      </c>
    </row>
    <row r="2324">
      <c r="A2324" s="2">
        <f>IFERROR(__xludf.DUMMYFUNCTION("""COMPUTED_VALUE"""),44650.64583333333)</f>
        <v>44650.64583</v>
      </c>
      <c r="B2324" s="1">
        <f>IFERROR(__xludf.DUMMYFUNCTION("""COMPUTED_VALUE"""),3735.0)</f>
        <v>3735</v>
      </c>
      <c r="C2324" s="1">
        <f>IFERROR(__xludf.DUMMYFUNCTION("""COMPUTED_VALUE"""),3790.0)</f>
        <v>3790</v>
      </c>
      <c r="D2324" s="1">
        <f>IFERROR(__xludf.DUMMYFUNCTION("""COMPUTED_VALUE"""),3650.0)</f>
        <v>3650</v>
      </c>
      <c r="E2324" s="1">
        <f>IFERROR(__xludf.DUMMYFUNCTION("""COMPUTED_VALUE"""),3770.0)</f>
        <v>3770</v>
      </c>
      <c r="F2324" s="1">
        <f>IFERROR(__xludf.DUMMYFUNCTION("""COMPUTED_VALUE"""),118609.0)</f>
        <v>118609</v>
      </c>
    </row>
    <row r="2325">
      <c r="A2325" s="2">
        <f>IFERROR(__xludf.DUMMYFUNCTION("""COMPUTED_VALUE"""),44651.64583333333)</f>
        <v>44651.64583</v>
      </c>
      <c r="B2325" s="1">
        <f>IFERROR(__xludf.DUMMYFUNCTION("""COMPUTED_VALUE"""),3780.0)</f>
        <v>3780</v>
      </c>
      <c r="C2325" s="1">
        <f>IFERROR(__xludf.DUMMYFUNCTION("""COMPUTED_VALUE"""),3860.0)</f>
        <v>3860</v>
      </c>
      <c r="D2325" s="1">
        <f>IFERROR(__xludf.DUMMYFUNCTION("""COMPUTED_VALUE"""),3700.0)</f>
        <v>3700</v>
      </c>
      <c r="E2325" s="1">
        <f>IFERROR(__xludf.DUMMYFUNCTION("""COMPUTED_VALUE"""),3835.0)</f>
        <v>3835</v>
      </c>
      <c r="F2325" s="1">
        <f>IFERROR(__xludf.DUMMYFUNCTION("""COMPUTED_VALUE"""),90648.0)</f>
        <v>90648</v>
      </c>
    </row>
    <row r="2326">
      <c r="A2326" s="2">
        <f>IFERROR(__xludf.DUMMYFUNCTION("""COMPUTED_VALUE"""),44652.64583333333)</f>
        <v>44652.64583</v>
      </c>
      <c r="B2326" s="1">
        <f>IFERROR(__xludf.DUMMYFUNCTION("""COMPUTED_VALUE"""),3800.0)</f>
        <v>3800</v>
      </c>
      <c r="C2326" s="1">
        <f>IFERROR(__xludf.DUMMYFUNCTION("""COMPUTED_VALUE"""),3825.0)</f>
        <v>3825</v>
      </c>
      <c r="D2326" s="1">
        <f>IFERROR(__xludf.DUMMYFUNCTION("""COMPUTED_VALUE"""),3755.0)</f>
        <v>3755</v>
      </c>
      <c r="E2326" s="1">
        <f>IFERROR(__xludf.DUMMYFUNCTION("""COMPUTED_VALUE"""),3795.0)</f>
        <v>3795</v>
      </c>
      <c r="F2326" s="1">
        <f>IFERROR(__xludf.DUMMYFUNCTION("""COMPUTED_VALUE"""),38109.0)</f>
        <v>38109</v>
      </c>
    </row>
    <row r="2327">
      <c r="A2327" s="2">
        <f>IFERROR(__xludf.DUMMYFUNCTION("""COMPUTED_VALUE"""),44655.64583333333)</f>
        <v>44655.64583</v>
      </c>
      <c r="B2327" s="1">
        <f>IFERROR(__xludf.DUMMYFUNCTION("""COMPUTED_VALUE"""),3795.0)</f>
        <v>3795</v>
      </c>
      <c r="C2327" s="1">
        <f>IFERROR(__xludf.DUMMYFUNCTION("""COMPUTED_VALUE"""),3885.0)</f>
        <v>3885</v>
      </c>
      <c r="D2327" s="1">
        <f>IFERROR(__xludf.DUMMYFUNCTION("""COMPUTED_VALUE"""),3720.0)</f>
        <v>3720</v>
      </c>
      <c r="E2327" s="1">
        <f>IFERROR(__xludf.DUMMYFUNCTION("""COMPUTED_VALUE"""),3860.0)</f>
        <v>3860</v>
      </c>
      <c r="F2327" s="1">
        <f>IFERROR(__xludf.DUMMYFUNCTION("""COMPUTED_VALUE"""),64184.0)</f>
        <v>64184</v>
      </c>
    </row>
    <row r="2328">
      <c r="A2328" s="2">
        <f>IFERROR(__xludf.DUMMYFUNCTION("""COMPUTED_VALUE"""),44656.64583333333)</f>
        <v>44656.64583</v>
      </c>
      <c r="B2328" s="1">
        <f>IFERROR(__xludf.DUMMYFUNCTION("""COMPUTED_VALUE"""),3865.0)</f>
        <v>3865</v>
      </c>
      <c r="C2328" s="1">
        <f>IFERROR(__xludf.DUMMYFUNCTION("""COMPUTED_VALUE"""),3990.0)</f>
        <v>3990</v>
      </c>
      <c r="D2328" s="1">
        <f>IFERROR(__xludf.DUMMYFUNCTION("""COMPUTED_VALUE"""),3835.0)</f>
        <v>3835</v>
      </c>
      <c r="E2328" s="1">
        <f>IFERROR(__xludf.DUMMYFUNCTION("""COMPUTED_VALUE"""),3980.0)</f>
        <v>3980</v>
      </c>
      <c r="F2328" s="1">
        <f>IFERROR(__xludf.DUMMYFUNCTION("""COMPUTED_VALUE"""),79990.0)</f>
        <v>79990</v>
      </c>
    </row>
    <row r="2329">
      <c r="A2329" s="2">
        <f>IFERROR(__xludf.DUMMYFUNCTION("""COMPUTED_VALUE"""),44657.64583333333)</f>
        <v>44657.64583</v>
      </c>
      <c r="B2329" s="1">
        <f>IFERROR(__xludf.DUMMYFUNCTION("""COMPUTED_VALUE"""),3960.0)</f>
        <v>3960</v>
      </c>
      <c r="C2329" s="1">
        <f>IFERROR(__xludf.DUMMYFUNCTION("""COMPUTED_VALUE"""),4045.0)</f>
        <v>4045</v>
      </c>
      <c r="D2329" s="1">
        <f>IFERROR(__xludf.DUMMYFUNCTION("""COMPUTED_VALUE"""),3935.0)</f>
        <v>3935</v>
      </c>
      <c r="E2329" s="1">
        <f>IFERROR(__xludf.DUMMYFUNCTION("""COMPUTED_VALUE"""),4005.0)</f>
        <v>4005</v>
      </c>
      <c r="F2329" s="1">
        <f>IFERROR(__xludf.DUMMYFUNCTION("""COMPUTED_VALUE"""),88035.0)</f>
        <v>88035</v>
      </c>
    </row>
    <row r="2330">
      <c r="A2330" s="2">
        <f>IFERROR(__xludf.DUMMYFUNCTION("""COMPUTED_VALUE"""),44658.64583333333)</f>
        <v>44658.64583</v>
      </c>
      <c r="B2330" s="1">
        <f>IFERROR(__xludf.DUMMYFUNCTION("""COMPUTED_VALUE"""),3950.0)</f>
        <v>3950</v>
      </c>
      <c r="C2330" s="1">
        <f>IFERROR(__xludf.DUMMYFUNCTION("""COMPUTED_VALUE"""),4000.0)</f>
        <v>4000</v>
      </c>
      <c r="D2330" s="1">
        <f>IFERROR(__xludf.DUMMYFUNCTION("""COMPUTED_VALUE"""),3790.0)</f>
        <v>3790</v>
      </c>
      <c r="E2330" s="1">
        <f>IFERROR(__xludf.DUMMYFUNCTION("""COMPUTED_VALUE"""),3850.0)</f>
        <v>3850</v>
      </c>
      <c r="F2330" s="1">
        <f>IFERROR(__xludf.DUMMYFUNCTION("""COMPUTED_VALUE"""),74669.0)</f>
        <v>74669</v>
      </c>
    </row>
    <row r="2331">
      <c r="A2331" s="2">
        <f>IFERROR(__xludf.DUMMYFUNCTION("""COMPUTED_VALUE"""),44659.64583333333)</f>
        <v>44659.64583</v>
      </c>
      <c r="B2331" s="1">
        <f>IFERROR(__xludf.DUMMYFUNCTION("""COMPUTED_VALUE"""),3850.0)</f>
        <v>3850</v>
      </c>
      <c r="C2331" s="1">
        <f>IFERROR(__xludf.DUMMYFUNCTION("""COMPUTED_VALUE"""),3985.0)</f>
        <v>3985</v>
      </c>
      <c r="D2331" s="1">
        <f>IFERROR(__xludf.DUMMYFUNCTION("""COMPUTED_VALUE"""),3850.0)</f>
        <v>3850</v>
      </c>
      <c r="E2331" s="1">
        <f>IFERROR(__xludf.DUMMYFUNCTION("""COMPUTED_VALUE"""),3855.0)</f>
        <v>3855</v>
      </c>
      <c r="F2331" s="1">
        <f>IFERROR(__xludf.DUMMYFUNCTION("""COMPUTED_VALUE"""),51528.0)</f>
        <v>51528</v>
      </c>
    </row>
    <row r="2332">
      <c r="A2332" s="2">
        <f>IFERROR(__xludf.DUMMYFUNCTION("""COMPUTED_VALUE"""),44662.64583333333)</f>
        <v>44662.64583</v>
      </c>
      <c r="B2332" s="1">
        <f>IFERROR(__xludf.DUMMYFUNCTION("""COMPUTED_VALUE"""),3865.0)</f>
        <v>3865</v>
      </c>
      <c r="C2332" s="1">
        <f>IFERROR(__xludf.DUMMYFUNCTION("""COMPUTED_VALUE"""),3970.0)</f>
        <v>3970</v>
      </c>
      <c r="D2332" s="1">
        <f>IFERROR(__xludf.DUMMYFUNCTION("""COMPUTED_VALUE"""),3845.0)</f>
        <v>3845</v>
      </c>
      <c r="E2332" s="1">
        <f>IFERROR(__xludf.DUMMYFUNCTION("""COMPUTED_VALUE"""),3920.0)</f>
        <v>3920</v>
      </c>
      <c r="F2332" s="1">
        <f>IFERROR(__xludf.DUMMYFUNCTION("""COMPUTED_VALUE"""),31926.0)</f>
        <v>31926</v>
      </c>
    </row>
    <row r="2333">
      <c r="A2333" s="2">
        <f>IFERROR(__xludf.DUMMYFUNCTION("""COMPUTED_VALUE"""),44663.64583333333)</f>
        <v>44663.64583</v>
      </c>
      <c r="B2333" s="1">
        <f>IFERROR(__xludf.DUMMYFUNCTION("""COMPUTED_VALUE"""),3900.0)</f>
        <v>3900</v>
      </c>
      <c r="C2333" s="1">
        <f>IFERROR(__xludf.DUMMYFUNCTION("""COMPUTED_VALUE"""),3925.0)</f>
        <v>3925</v>
      </c>
      <c r="D2333" s="1">
        <f>IFERROR(__xludf.DUMMYFUNCTION("""COMPUTED_VALUE"""),3840.0)</f>
        <v>3840</v>
      </c>
      <c r="E2333" s="1">
        <f>IFERROR(__xludf.DUMMYFUNCTION("""COMPUTED_VALUE"""),3920.0)</f>
        <v>3920</v>
      </c>
      <c r="F2333" s="1">
        <f>IFERROR(__xludf.DUMMYFUNCTION("""COMPUTED_VALUE"""),27750.0)</f>
        <v>27750</v>
      </c>
    </row>
    <row r="2334">
      <c r="A2334" s="2">
        <f>IFERROR(__xludf.DUMMYFUNCTION("""COMPUTED_VALUE"""),44664.64583333333)</f>
        <v>44664.64583</v>
      </c>
      <c r="B2334" s="1">
        <f>IFERROR(__xludf.DUMMYFUNCTION("""COMPUTED_VALUE"""),3885.0)</f>
        <v>3885</v>
      </c>
      <c r="C2334" s="1">
        <f>IFERROR(__xludf.DUMMYFUNCTION("""COMPUTED_VALUE"""),3965.0)</f>
        <v>3965</v>
      </c>
      <c r="D2334" s="1">
        <f>IFERROR(__xludf.DUMMYFUNCTION("""COMPUTED_VALUE"""),3865.0)</f>
        <v>3865</v>
      </c>
      <c r="E2334" s="1">
        <f>IFERROR(__xludf.DUMMYFUNCTION("""COMPUTED_VALUE"""),3940.0)</f>
        <v>3940</v>
      </c>
      <c r="F2334" s="1">
        <f>IFERROR(__xludf.DUMMYFUNCTION("""COMPUTED_VALUE"""),84262.0)</f>
        <v>84262</v>
      </c>
    </row>
    <row r="2335">
      <c r="A2335" s="2">
        <f>IFERROR(__xludf.DUMMYFUNCTION("""COMPUTED_VALUE"""),44665.64583333333)</f>
        <v>44665.64583</v>
      </c>
      <c r="B2335" s="1">
        <f>IFERROR(__xludf.DUMMYFUNCTION("""COMPUTED_VALUE"""),3940.0)</f>
        <v>3940</v>
      </c>
      <c r="C2335" s="1">
        <f>IFERROR(__xludf.DUMMYFUNCTION("""COMPUTED_VALUE"""),4045.0)</f>
        <v>4045</v>
      </c>
      <c r="D2335" s="1">
        <f>IFERROR(__xludf.DUMMYFUNCTION("""COMPUTED_VALUE"""),3915.0)</f>
        <v>3915</v>
      </c>
      <c r="E2335" s="1">
        <f>IFERROR(__xludf.DUMMYFUNCTION("""COMPUTED_VALUE"""),4035.0)</f>
        <v>4035</v>
      </c>
      <c r="F2335" s="1">
        <f>IFERROR(__xludf.DUMMYFUNCTION("""COMPUTED_VALUE"""),63094.0)</f>
        <v>63094</v>
      </c>
    </row>
    <row r="2336">
      <c r="A2336" s="2">
        <f>IFERROR(__xludf.DUMMYFUNCTION("""COMPUTED_VALUE"""),44666.64583333333)</f>
        <v>44666.64583</v>
      </c>
      <c r="B2336" s="1">
        <f>IFERROR(__xludf.DUMMYFUNCTION("""COMPUTED_VALUE"""),4035.0)</f>
        <v>4035</v>
      </c>
      <c r="C2336" s="1">
        <f>IFERROR(__xludf.DUMMYFUNCTION("""COMPUTED_VALUE"""),4090.0)</f>
        <v>4090</v>
      </c>
      <c r="D2336" s="1">
        <f>IFERROR(__xludf.DUMMYFUNCTION("""COMPUTED_VALUE"""),4000.0)</f>
        <v>4000</v>
      </c>
      <c r="E2336" s="1">
        <f>IFERROR(__xludf.DUMMYFUNCTION("""COMPUTED_VALUE"""),4060.0)</f>
        <v>4060</v>
      </c>
      <c r="F2336" s="1">
        <f>IFERROR(__xludf.DUMMYFUNCTION("""COMPUTED_VALUE"""),73115.0)</f>
        <v>73115</v>
      </c>
    </row>
    <row r="2337">
      <c r="A2337" s="2">
        <f>IFERROR(__xludf.DUMMYFUNCTION("""COMPUTED_VALUE"""),44669.64583333333)</f>
        <v>44669.64583</v>
      </c>
      <c r="B2337" s="1">
        <f>IFERROR(__xludf.DUMMYFUNCTION("""COMPUTED_VALUE"""),4020.0)</f>
        <v>4020</v>
      </c>
      <c r="C2337" s="1">
        <f>IFERROR(__xludf.DUMMYFUNCTION("""COMPUTED_VALUE"""),4055.0)</f>
        <v>4055</v>
      </c>
      <c r="D2337" s="1">
        <f>IFERROR(__xludf.DUMMYFUNCTION("""COMPUTED_VALUE"""),3955.0)</f>
        <v>3955</v>
      </c>
      <c r="E2337" s="1">
        <f>IFERROR(__xludf.DUMMYFUNCTION("""COMPUTED_VALUE"""),4020.0)</f>
        <v>4020</v>
      </c>
      <c r="F2337" s="1">
        <f>IFERROR(__xludf.DUMMYFUNCTION("""COMPUTED_VALUE"""),25598.0)</f>
        <v>25598</v>
      </c>
    </row>
    <row r="2338">
      <c r="A2338" s="2">
        <f>IFERROR(__xludf.DUMMYFUNCTION("""COMPUTED_VALUE"""),44670.64583333333)</f>
        <v>44670.64583</v>
      </c>
      <c r="B2338" s="1">
        <f>IFERROR(__xludf.DUMMYFUNCTION("""COMPUTED_VALUE"""),4000.0)</f>
        <v>4000</v>
      </c>
      <c r="C2338" s="1">
        <f>IFERROR(__xludf.DUMMYFUNCTION("""COMPUTED_VALUE"""),4030.0)</f>
        <v>4030</v>
      </c>
      <c r="D2338" s="1">
        <f>IFERROR(__xludf.DUMMYFUNCTION("""COMPUTED_VALUE"""),3970.0)</f>
        <v>3970</v>
      </c>
      <c r="E2338" s="1">
        <f>IFERROR(__xludf.DUMMYFUNCTION("""COMPUTED_VALUE"""),4025.0)</f>
        <v>4025</v>
      </c>
      <c r="F2338" s="1">
        <f>IFERROR(__xludf.DUMMYFUNCTION("""COMPUTED_VALUE"""),14284.0)</f>
        <v>14284</v>
      </c>
    </row>
    <row r="2339">
      <c r="A2339" s="2">
        <f>IFERROR(__xludf.DUMMYFUNCTION("""COMPUTED_VALUE"""),44671.64583333333)</f>
        <v>44671.64583</v>
      </c>
      <c r="B2339" s="1">
        <f>IFERROR(__xludf.DUMMYFUNCTION("""COMPUTED_VALUE"""),4030.0)</f>
        <v>4030</v>
      </c>
      <c r="C2339" s="1">
        <f>IFERROR(__xludf.DUMMYFUNCTION("""COMPUTED_VALUE"""),4160.0)</f>
        <v>4160</v>
      </c>
      <c r="D2339" s="1">
        <f>IFERROR(__xludf.DUMMYFUNCTION("""COMPUTED_VALUE"""),4015.0)</f>
        <v>4015</v>
      </c>
      <c r="E2339" s="1">
        <f>IFERROR(__xludf.DUMMYFUNCTION("""COMPUTED_VALUE"""),4060.0)</f>
        <v>4060</v>
      </c>
      <c r="F2339" s="1">
        <f>IFERROR(__xludf.DUMMYFUNCTION("""COMPUTED_VALUE"""),58480.0)</f>
        <v>58480</v>
      </c>
    </row>
    <row r="2340">
      <c r="A2340" s="2">
        <f>IFERROR(__xludf.DUMMYFUNCTION("""COMPUTED_VALUE"""),44672.64583333333)</f>
        <v>44672.64583</v>
      </c>
      <c r="B2340" s="1">
        <f>IFERROR(__xludf.DUMMYFUNCTION("""COMPUTED_VALUE"""),4060.0)</f>
        <v>4060</v>
      </c>
      <c r="C2340" s="1">
        <f>IFERROR(__xludf.DUMMYFUNCTION("""COMPUTED_VALUE"""),4180.0)</f>
        <v>4180</v>
      </c>
      <c r="D2340" s="1">
        <f>IFERROR(__xludf.DUMMYFUNCTION("""COMPUTED_VALUE"""),4055.0)</f>
        <v>4055</v>
      </c>
      <c r="E2340" s="1">
        <f>IFERROR(__xludf.DUMMYFUNCTION("""COMPUTED_VALUE"""),4100.0)</f>
        <v>4100</v>
      </c>
      <c r="F2340" s="1">
        <f>IFERROR(__xludf.DUMMYFUNCTION("""COMPUTED_VALUE"""),46331.0)</f>
        <v>46331</v>
      </c>
    </row>
    <row r="2341">
      <c r="A2341" s="2">
        <f>IFERROR(__xludf.DUMMYFUNCTION("""COMPUTED_VALUE"""),44673.64583333333)</f>
        <v>44673.64583</v>
      </c>
      <c r="B2341" s="1">
        <f>IFERROR(__xludf.DUMMYFUNCTION("""COMPUTED_VALUE"""),4050.0)</f>
        <v>4050</v>
      </c>
      <c r="C2341" s="1">
        <f>IFERROR(__xludf.DUMMYFUNCTION("""COMPUTED_VALUE"""),4125.0)</f>
        <v>4125</v>
      </c>
      <c r="D2341" s="1">
        <f>IFERROR(__xludf.DUMMYFUNCTION("""COMPUTED_VALUE"""),4025.0)</f>
        <v>4025</v>
      </c>
      <c r="E2341" s="1">
        <f>IFERROR(__xludf.DUMMYFUNCTION("""COMPUTED_VALUE"""),4065.0)</f>
        <v>4065</v>
      </c>
      <c r="F2341" s="1">
        <f>IFERROR(__xludf.DUMMYFUNCTION("""COMPUTED_VALUE"""),33505.0)</f>
        <v>33505</v>
      </c>
    </row>
    <row r="2342">
      <c r="A2342" s="2">
        <f>IFERROR(__xludf.DUMMYFUNCTION("""COMPUTED_VALUE"""),44676.64583333333)</f>
        <v>44676.64583</v>
      </c>
      <c r="B2342" s="1">
        <f>IFERROR(__xludf.DUMMYFUNCTION("""COMPUTED_VALUE"""),4065.0)</f>
        <v>4065</v>
      </c>
      <c r="C2342" s="1">
        <f>IFERROR(__xludf.DUMMYFUNCTION("""COMPUTED_VALUE"""),4065.0)</f>
        <v>4065</v>
      </c>
      <c r="D2342" s="1">
        <f>IFERROR(__xludf.DUMMYFUNCTION("""COMPUTED_VALUE"""),3975.0)</f>
        <v>3975</v>
      </c>
      <c r="E2342" s="1">
        <f>IFERROR(__xludf.DUMMYFUNCTION("""COMPUTED_VALUE"""),4020.0)</f>
        <v>4020</v>
      </c>
      <c r="F2342" s="1">
        <f>IFERROR(__xludf.DUMMYFUNCTION("""COMPUTED_VALUE"""),40049.0)</f>
        <v>40049</v>
      </c>
    </row>
    <row r="2343">
      <c r="A2343" s="2">
        <f>IFERROR(__xludf.DUMMYFUNCTION("""COMPUTED_VALUE"""),44677.64583333333)</f>
        <v>44677.64583</v>
      </c>
      <c r="B2343" s="1">
        <f>IFERROR(__xludf.DUMMYFUNCTION("""COMPUTED_VALUE"""),4045.0)</f>
        <v>4045</v>
      </c>
      <c r="C2343" s="1">
        <f>IFERROR(__xludf.DUMMYFUNCTION("""COMPUTED_VALUE"""),4130.0)</f>
        <v>4130</v>
      </c>
      <c r="D2343" s="1">
        <f>IFERROR(__xludf.DUMMYFUNCTION("""COMPUTED_VALUE"""),4010.0)</f>
        <v>4010</v>
      </c>
      <c r="E2343" s="1">
        <f>IFERROR(__xludf.DUMMYFUNCTION("""COMPUTED_VALUE"""),4045.0)</f>
        <v>4045</v>
      </c>
      <c r="F2343" s="1">
        <f>IFERROR(__xludf.DUMMYFUNCTION("""COMPUTED_VALUE"""),38476.0)</f>
        <v>38476</v>
      </c>
    </row>
    <row r="2344">
      <c r="A2344" s="2">
        <f>IFERROR(__xludf.DUMMYFUNCTION("""COMPUTED_VALUE"""),44678.64583333333)</f>
        <v>44678.64583</v>
      </c>
      <c r="B2344" s="1">
        <f>IFERROR(__xludf.DUMMYFUNCTION("""COMPUTED_VALUE"""),4000.0)</f>
        <v>4000</v>
      </c>
      <c r="C2344" s="1">
        <f>IFERROR(__xludf.DUMMYFUNCTION("""COMPUTED_VALUE"""),4100.0)</f>
        <v>4100</v>
      </c>
      <c r="D2344" s="1">
        <f>IFERROR(__xludf.DUMMYFUNCTION("""COMPUTED_VALUE"""),3940.0)</f>
        <v>3940</v>
      </c>
      <c r="E2344" s="1">
        <f>IFERROR(__xludf.DUMMYFUNCTION("""COMPUTED_VALUE"""),4060.0)</f>
        <v>4060</v>
      </c>
      <c r="F2344" s="1">
        <f>IFERROR(__xludf.DUMMYFUNCTION("""COMPUTED_VALUE"""),48809.0)</f>
        <v>48809</v>
      </c>
    </row>
    <row r="2345">
      <c r="A2345" s="2">
        <f>IFERROR(__xludf.DUMMYFUNCTION("""COMPUTED_VALUE"""),44679.64583333333)</f>
        <v>44679.64583</v>
      </c>
      <c r="B2345" s="1">
        <f>IFERROR(__xludf.DUMMYFUNCTION("""COMPUTED_VALUE"""),4080.0)</f>
        <v>4080</v>
      </c>
      <c r="C2345" s="1">
        <f>IFERROR(__xludf.DUMMYFUNCTION("""COMPUTED_VALUE"""),4115.0)</f>
        <v>4115</v>
      </c>
      <c r="D2345" s="1">
        <f>IFERROR(__xludf.DUMMYFUNCTION("""COMPUTED_VALUE"""),3990.0)</f>
        <v>3990</v>
      </c>
      <c r="E2345" s="1">
        <f>IFERROR(__xludf.DUMMYFUNCTION("""COMPUTED_VALUE"""),4075.0)</f>
        <v>4075</v>
      </c>
      <c r="F2345" s="1">
        <f>IFERROR(__xludf.DUMMYFUNCTION("""COMPUTED_VALUE"""),32154.0)</f>
        <v>32154</v>
      </c>
    </row>
    <row r="2346">
      <c r="A2346" s="2">
        <f>IFERROR(__xludf.DUMMYFUNCTION("""COMPUTED_VALUE"""),44680.64583333333)</f>
        <v>44680.64583</v>
      </c>
      <c r="B2346" s="1">
        <f>IFERROR(__xludf.DUMMYFUNCTION("""COMPUTED_VALUE"""),4030.0)</f>
        <v>4030</v>
      </c>
      <c r="C2346" s="1">
        <f>IFERROR(__xludf.DUMMYFUNCTION("""COMPUTED_VALUE"""),4145.0)</f>
        <v>4145</v>
      </c>
      <c r="D2346" s="1">
        <f>IFERROR(__xludf.DUMMYFUNCTION("""COMPUTED_VALUE"""),4030.0)</f>
        <v>4030</v>
      </c>
      <c r="E2346" s="1">
        <f>IFERROR(__xludf.DUMMYFUNCTION("""COMPUTED_VALUE"""),4095.0)</f>
        <v>4095</v>
      </c>
      <c r="F2346" s="1">
        <f>IFERROR(__xludf.DUMMYFUNCTION("""COMPUTED_VALUE"""),23276.0)</f>
        <v>23276</v>
      </c>
    </row>
    <row r="2347">
      <c r="A2347" s="2">
        <f>IFERROR(__xludf.DUMMYFUNCTION("""COMPUTED_VALUE"""),44683.64583333333)</f>
        <v>44683.64583</v>
      </c>
      <c r="B2347" s="1">
        <f>IFERROR(__xludf.DUMMYFUNCTION("""COMPUTED_VALUE"""),4095.0)</f>
        <v>4095</v>
      </c>
      <c r="C2347" s="1">
        <f>IFERROR(__xludf.DUMMYFUNCTION("""COMPUTED_VALUE"""),4135.0)</f>
        <v>4135</v>
      </c>
      <c r="D2347" s="1">
        <f>IFERROR(__xludf.DUMMYFUNCTION("""COMPUTED_VALUE"""),4065.0)</f>
        <v>4065</v>
      </c>
      <c r="E2347" s="1">
        <f>IFERROR(__xludf.DUMMYFUNCTION("""COMPUTED_VALUE"""),4080.0)</f>
        <v>4080</v>
      </c>
      <c r="F2347" s="1">
        <f>IFERROR(__xludf.DUMMYFUNCTION("""COMPUTED_VALUE"""),20045.0)</f>
        <v>20045</v>
      </c>
    </row>
    <row r="2348">
      <c r="A2348" s="2">
        <f>IFERROR(__xludf.DUMMYFUNCTION("""COMPUTED_VALUE"""),44684.64583333333)</f>
        <v>44684.64583</v>
      </c>
      <c r="B2348" s="1">
        <f>IFERROR(__xludf.DUMMYFUNCTION("""COMPUTED_VALUE"""),4125.0)</f>
        <v>4125</v>
      </c>
      <c r="C2348" s="1">
        <f>IFERROR(__xludf.DUMMYFUNCTION("""COMPUTED_VALUE"""),4130.0)</f>
        <v>4130</v>
      </c>
      <c r="D2348" s="1">
        <f>IFERROR(__xludf.DUMMYFUNCTION("""COMPUTED_VALUE"""),4020.0)</f>
        <v>4020</v>
      </c>
      <c r="E2348" s="1">
        <f>IFERROR(__xludf.DUMMYFUNCTION("""COMPUTED_VALUE"""),4085.0)</f>
        <v>4085</v>
      </c>
      <c r="F2348" s="1">
        <f>IFERROR(__xludf.DUMMYFUNCTION("""COMPUTED_VALUE"""),32542.0)</f>
        <v>32542</v>
      </c>
    </row>
    <row r="2349">
      <c r="A2349" s="2">
        <f>IFERROR(__xludf.DUMMYFUNCTION("""COMPUTED_VALUE"""),44685.64583333333)</f>
        <v>44685.64583</v>
      </c>
      <c r="B2349" s="1">
        <f>IFERROR(__xludf.DUMMYFUNCTION("""COMPUTED_VALUE"""),4110.0)</f>
        <v>4110</v>
      </c>
      <c r="C2349" s="1">
        <f>IFERROR(__xludf.DUMMYFUNCTION("""COMPUTED_VALUE"""),4110.0)</f>
        <v>4110</v>
      </c>
      <c r="D2349" s="1">
        <f>IFERROR(__xludf.DUMMYFUNCTION("""COMPUTED_VALUE"""),4000.0)</f>
        <v>4000</v>
      </c>
      <c r="E2349" s="1">
        <f>IFERROR(__xludf.DUMMYFUNCTION("""COMPUTED_VALUE"""),4020.0)</f>
        <v>4020</v>
      </c>
      <c r="F2349" s="1">
        <f>IFERROR(__xludf.DUMMYFUNCTION("""COMPUTED_VALUE"""),49449.0)</f>
        <v>49449</v>
      </c>
    </row>
    <row r="2350">
      <c r="A2350" s="2">
        <f>IFERROR(__xludf.DUMMYFUNCTION("""COMPUTED_VALUE"""),44687.64583333333)</f>
        <v>44687.64583</v>
      </c>
      <c r="B2350" s="1">
        <f>IFERROR(__xludf.DUMMYFUNCTION("""COMPUTED_VALUE"""),4095.0)</f>
        <v>4095</v>
      </c>
      <c r="C2350" s="1">
        <f>IFERROR(__xludf.DUMMYFUNCTION("""COMPUTED_VALUE"""),4095.0)</f>
        <v>4095</v>
      </c>
      <c r="D2350" s="1">
        <f>IFERROR(__xludf.DUMMYFUNCTION("""COMPUTED_VALUE"""),3965.0)</f>
        <v>3965</v>
      </c>
      <c r="E2350" s="1">
        <f>IFERROR(__xludf.DUMMYFUNCTION("""COMPUTED_VALUE"""),3985.0)</f>
        <v>3985</v>
      </c>
      <c r="F2350" s="1">
        <f>IFERROR(__xludf.DUMMYFUNCTION("""COMPUTED_VALUE"""),45950.0)</f>
        <v>45950</v>
      </c>
    </row>
    <row r="2351">
      <c r="A2351" s="2">
        <f>IFERROR(__xludf.DUMMYFUNCTION("""COMPUTED_VALUE"""),44690.64583333333)</f>
        <v>44690.64583</v>
      </c>
      <c r="B2351" s="1">
        <f>IFERROR(__xludf.DUMMYFUNCTION("""COMPUTED_VALUE"""),4000.0)</f>
        <v>4000</v>
      </c>
      <c r="C2351" s="1">
        <f>IFERROR(__xludf.DUMMYFUNCTION("""COMPUTED_VALUE"""),4010.0)</f>
        <v>4010</v>
      </c>
      <c r="D2351" s="1">
        <f>IFERROR(__xludf.DUMMYFUNCTION("""COMPUTED_VALUE"""),3820.0)</f>
        <v>3820</v>
      </c>
      <c r="E2351" s="1">
        <f>IFERROR(__xludf.DUMMYFUNCTION("""COMPUTED_VALUE"""),3870.0)</f>
        <v>3870</v>
      </c>
      <c r="F2351" s="1">
        <f>IFERROR(__xludf.DUMMYFUNCTION("""COMPUTED_VALUE"""),50480.0)</f>
        <v>50480</v>
      </c>
    </row>
    <row r="2352">
      <c r="A2352" s="2">
        <f>IFERROR(__xludf.DUMMYFUNCTION("""COMPUTED_VALUE"""),44691.64583333333)</f>
        <v>44691.64583</v>
      </c>
      <c r="B2352" s="1">
        <f>IFERROR(__xludf.DUMMYFUNCTION("""COMPUTED_VALUE"""),3755.0)</f>
        <v>3755</v>
      </c>
      <c r="C2352" s="1">
        <f>IFERROR(__xludf.DUMMYFUNCTION("""COMPUTED_VALUE"""),3865.0)</f>
        <v>3865</v>
      </c>
      <c r="D2352" s="1">
        <f>IFERROR(__xludf.DUMMYFUNCTION("""COMPUTED_VALUE"""),3670.0)</f>
        <v>3670</v>
      </c>
      <c r="E2352" s="1">
        <f>IFERROR(__xludf.DUMMYFUNCTION("""COMPUTED_VALUE"""),3740.0)</f>
        <v>3740</v>
      </c>
      <c r="F2352" s="1">
        <f>IFERROR(__xludf.DUMMYFUNCTION("""COMPUTED_VALUE"""),82907.0)</f>
        <v>82907</v>
      </c>
    </row>
    <row r="2353">
      <c r="A2353" s="2">
        <f>IFERROR(__xludf.DUMMYFUNCTION("""COMPUTED_VALUE"""),44692.64583333333)</f>
        <v>44692.64583</v>
      </c>
      <c r="B2353" s="1">
        <f>IFERROR(__xludf.DUMMYFUNCTION("""COMPUTED_VALUE"""),3740.0)</f>
        <v>3740</v>
      </c>
      <c r="C2353" s="1">
        <f>IFERROR(__xludf.DUMMYFUNCTION("""COMPUTED_VALUE"""),3870.0)</f>
        <v>3870</v>
      </c>
      <c r="D2353" s="1">
        <f>IFERROR(__xludf.DUMMYFUNCTION("""COMPUTED_VALUE"""),3740.0)</f>
        <v>3740</v>
      </c>
      <c r="E2353" s="1">
        <f>IFERROR(__xludf.DUMMYFUNCTION("""COMPUTED_VALUE"""),3805.0)</f>
        <v>3805</v>
      </c>
      <c r="F2353" s="1">
        <f>IFERROR(__xludf.DUMMYFUNCTION("""COMPUTED_VALUE"""),18077.0)</f>
        <v>18077</v>
      </c>
    </row>
    <row r="2354">
      <c r="A2354" s="2">
        <f>IFERROR(__xludf.DUMMYFUNCTION("""COMPUTED_VALUE"""),44693.64583333333)</f>
        <v>44693.64583</v>
      </c>
      <c r="B2354" s="1">
        <f>IFERROR(__xludf.DUMMYFUNCTION("""COMPUTED_VALUE"""),3805.0)</f>
        <v>3805</v>
      </c>
      <c r="C2354" s="1">
        <f>IFERROR(__xludf.DUMMYFUNCTION("""COMPUTED_VALUE"""),3850.0)</f>
        <v>3850</v>
      </c>
      <c r="D2354" s="1">
        <f>IFERROR(__xludf.DUMMYFUNCTION("""COMPUTED_VALUE"""),3620.0)</f>
        <v>3620</v>
      </c>
      <c r="E2354" s="1">
        <f>IFERROR(__xludf.DUMMYFUNCTION("""COMPUTED_VALUE"""),3700.0)</f>
        <v>3700</v>
      </c>
      <c r="F2354" s="1">
        <f>IFERROR(__xludf.DUMMYFUNCTION("""COMPUTED_VALUE"""),126658.0)</f>
        <v>126658</v>
      </c>
    </row>
    <row r="2355">
      <c r="A2355" s="2">
        <f>IFERROR(__xludf.DUMMYFUNCTION("""COMPUTED_VALUE"""),44694.64583333333)</f>
        <v>44694.64583</v>
      </c>
      <c r="B2355" s="1">
        <f>IFERROR(__xludf.DUMMYFUNCTION("""COMPUTED_VALUE"""),3915.0)</f>
        <v>3915</v>
      </c>
      <c r="C2355" s="1">
        <f>IFERROR(__xludf.DUMMYFUNCTION("""COMPUTED_VALUE"""),3945.0)</f>
        <v>3945</v>
      </c>
      <c r="D2355" s="1">
        <f>IFERROR(__xludf.DUMMYFUNCTION("""COMPUTED_VALUE"""),3665.0)</f>
        <v>3665</v>
      </c>
      <c r="E2355" s="1">
        <f>IFERROR(__xludf.DUMMYFUNCTION("""COMPUTED_VALUE"""),3775.0)</f>
        <v>3775</v>
      </c>
      <c r="F2355" s="1">
        <f>IFERROR(__xludf.DUMMYFUNCTION("""COMPUTED_VALUE"""),28391.0)</f>
        <v>28391</v>
      </c>
    </row>
    <row r="2356">
      <c r="A2356" s="2">
        <f>IFERROR(__xludf.DUMMYFUNCTION("""COMPUTED_VALUE"""),44697.64583333333)</f>
        <v>44697.64583</v>
      </c>
      <c r="B2356" s="1">
        <f>IFERROR(__xludf.DUMMYFUNCTION("""COMPUTED_VALUE"""),3790.0)</f>
        <v>3790</v>
      </c>
      <c r="C2356" s="1">
        <f>IFERROR(__xludf.DUMMYFUNCTION("""COMPUTED_VALUE"""),3875.0)</f>
        <v>3875</v>
      </c>
      <c r="D2356" s="1">
        <f>IFERROR(__xludf.DUMMYFUNCTION("""COMPUTED_VALUE"""),3700.0)</f>
        <v>3700</v>
      </c>
      <c r="E2356" s="1">
        <f>IFERROR(__xludf.DUMMYFUNCTION("""COMPUTED_VALUE"""),3700.0)</f>
        <v>3700</v>
      </c>
      <c r="F2356" s="1">
        <f>IFERROR(__xludf.DUMMYFUNCTION("""COMPUTED_VALUE"""),40887.0)</f>
        <v>40887</v>
      </c>
    </row>
    <row r="2357">
      <c r="A2357" s="2">
        <f>IFERROR(__xludf.DUMMYFUNCTION("""COMPUTED_VALUE"""),44698.64583333333)</f>
        <v>44698.64583</v>
      </c>
      <c r="B2357" s="1">
        <f>IFERROR(__xludf.DUMMYFUNCTION("""COMPUTED_VALUE"""),3580.0)</f>
        <v>3580</v>
      </c>
      <c r="C2357" s="1">
        <f>IFERROR(__xludf.DUMMYFUNCTION("""COMPUTED_VALUE"""),3675.0)</f>
        <v>3675</v>
      </c>
      <c r="D2357" s="1">
        <f>IFERROR(__xludf.DUMMYFUNCTION("""COMPUTED_VALUE"""),3465.0)</f>
        <v>3465</v>
      </c>
      <c r="E2357" s="1">
        <f>IFERROR(__xludf.DUMMYFUNCTION("""COMPUTED_VALUE"""),3510.0)</f>
        <v>3510</v>
      </c>
      <c r="F2357" s="1">
        <f>IFERROR(__xludf.DUMMYFUNCTION("""COMPUTED_VALUE"""),266647.0)</f>
        <v>266647</v>
      </c>
    </row>
    <row r="2358">
      <c r="A2358" s="2">
        <f>IFERROR(__xludf.DUMMYFUNCTION("""COMPUTED_VALUE"""),44699.64583333333)</f>
        <v>44699.64583</v>
      </c>
      <c r="B2358" s="1">
        <f>IFERROR(__xludf.DUMMYFUNCTION("""COMPUTED_VALUE"""),3540.0)</f>
        <v>3540</v>
      </c>
      <c r="C2358" s="1">
        <f>IFERROR(__xludf.DUMMYFUNCTION("""COMPUTED_VALUE"""),3595.0)</f>
        <v>3595</v>
      </c>
      <c r="D2358" s="1">
        <f>IFERROR(__xludf.DUMMYFUNCTION("""COMPUTED_VALUE"""),3455.0)</f>
        <v>3455</v>
      </c>
      <c r="E2358" s="1">
        <f>IFERROR(__xludf.DUMMYFUNCTION("""COMPUTED_VALUE"""),3500.0)</f>
        <v>3500</v>
      </c>
      <c r="F2358" s="1">
        <f>IFERROR(__xludf.DUMMYFUNCTION("""COMPUTED_VALUE"""),55349.0)</f>
        <v>55349</v>
      </c>
    </row>
    <row r="2359">
      <c r="A2359" s="2">
        <f>IFERROR(__xludf.DUMMYFUNCTION("""COMPUTED_VALUE"""),44700.64583333333)</f>
        <v>44700.64583</v>
      </c>
      <c r="B2359" s="1">
        <f>IFERROR(__xludf.DUMMYFUNCTION("""COMPUTED_VALUE"""),3455.0)</f>
        <v>3455</v>
      </c>
      <c r="C2359" s="1">
        <f>IFERROR(__xludf.DUMMYFUNCTION("""COMPUTED_VALUE"""),3500.0)</f>
        <v>3500</v>
      </c>
      <c r="D2359" s="1">
        <f>IFERROR(__xludf.DUMMYFUNCTION("""COMPUTED_VALUE"""),3340.0)</f>
        <v>3340</v>
      </c>
      <c r="E2359" s="1">
        <f>IFERROR(__xludf.DUMMYFUNCTION("""COMPUTED_VALUE"""),3445.0)</f>
        <v>3445</v>
      </c>
      <c r="F2359" s="1">
        <f>IFERROR(__xludf.DUMMYFUNCTION("""COMPUTED_VALUE"""),112118.0)</f>
        <v>112118</v>
      </c>
    </row>
    <row r="2360">
      <c r="A2360" s="2">
        <f>IFERROR(__xludf.DUMMYFUNCTION("""COMPUTED_VALUE"""),44701.64583333333)</f>
        <v>44701.64583</v>
      </c>
      <c r="B2360" s="1">
        <f>IFERROR(__xludf.DUMMYFUNCTION("""COMPUTED_VALUE"""),3445.0)</f>
        <v>3445</v>
      </c>
      <c r="C2360" s="1">
        <f>IFERROR(__xludf.DUMMYFUNCTION("""COMPUTED_VALUE"""),3545.0)</f>
        <v>3545</v>
      </c>
      <c r="D2360" s="1">
        <f>IFERROR(__xludf.DUMMYFUNCTION("""COMPUTED_VALUE"""),3420.0)</f>
        <v>3420</v>
      </c>
      <c r="E2360" s="1">
        <f>IFERROR(__xludf.DUMMYFUNCTION("""COMPUTED_VALUE"""),3510.0)</f>
        <v>3510</v>
      </c>
      <c r="F2360" s="1">
        <f>IFERROR(__xludf.DUMMYFUNCTION("""COMPUTED_VALUE"""),47213.0)</f>
        <v>47213</v>
      </c>
    </row>
    <row r="2361">
      <c r="A2361" s="2">
        <f>IFERROR(__xludf.DUMMYFUNCTION("""COMPUTED_VALUE"""),44704.64583333333)</f>
        <v>44704.64583</v>
      </c>
      <c r="B2361" s="1">
        <f>IFERROR(__xludf.DUMMYFUNCTION("""COMPUTED_VALUE"""),3515.0)</f>
        <v>3515</v>
      </c>
      <c r="C2361" s="1">
        <f>IFERROR(__xludf.DUMMYFUNCTION("""COMPUTED_VALUE"""),3535.0)</f>
        <v>3535</v>
      </c>
      <c r="D2361" s="1">
        <f>IFERROR(__xludf.DUMMYFUNCTION("""COMPUTED_VALUE"""),3475.0)</f>
        <v>3475</v>
      </c>
      <c r="E2361" s="1">
        <f>IFERROR(__xludf.DUMMYFUNCTION("""COMPUTED_VALUE"""),3475.0)</f>
        <v>3475</v>
      </c>
      <c r="F2361" s="1">
        <f>IFERROR(__xludf.DUMMYFUNCTION("""COMPUTED_VALUE"""),24257.0)</f>
        <v>24257</v>
      </c>
    </row>
    <row r="2362">
      <c r="A2362" s="2">
        <f>IFERROR(__xludf.DUMMYFUNCTION("""COMPUTED_VALUE"""),44705.64583333333)</f>
        <v>44705.64583</v>
      </c>
      <c r="B2362" s="1">
        <f>IFERROR(__xludf.DUMMYFUNCTION("""COMPUTED_VALUE"""),3480.0)</f>
        <v>3480</v>
      </c>
      <c r="C2362" s="1">
        <f>IFERROR(__xludf.DUMMYFUNCTION("""COMPUTED_VALUE"""),3510.0)</f>
        <v>3510</v>
      </c>
      <c r="D2362" s="1">
        <f>IFERROR(__xludf.DUMMYFUNCTION("""COMPUTED_VALUE"""),3350.0)</f>
        <v>3350</v>
      </c>
      <c r="E2362" s="1">
        <f>IFERROR(__xludf.DUMMYFUNCTION("""COMPUTED_VALUE"""),3365.0)</f>
        <v>3365</v>
      </c>
      <c r="F2362" s="1">
        <f>IFERROR(__xludf.DUMMYFUNCTION("""COMPUTED_VALUE"""),102994.0)</f>
        <v>102994</v>
      </c>
    </row>
    <row r="2363">
      <c r="A2363" s="2">
        <f>IFERROR(__xludf.DUMMYFUNCTION("""COMPUTED_VALUE"""),44706.64583333333)</f>
        <v>44706.64583</v>
      </c>
      <c r="B2363" s="1">
        <f>IFERROR(__xludf.DUMMYFUNCTION("""COMPUTED_VALUE"""),3365.0)</f>
        <v>3365</v>
      </c>
      <c r="C2363" s="1">
        <f>IFERROR(__xludf.DUMMYFUNCTION("""COMPUTED_VALUE"""),3480.0)</f>
        <v>3480</v>
      </c>
      <c r="D2363" s="1">
        <f>IFERROR(__xludf.DUMMYFUNCTION("""COMPUTED_VALUE"""),3350.0)</f>
        <v>3350</v>
      </c>
      <c r="E2363" s="1">
        <f>IFERROR(__xludf.DUMMYFUNCTION("""COMPUTED_VALUE"""),3365.0)</f>
        <v>3365</v>
      </c>
      <c r="F2363" s="1">
        <f>IFERROR(__xludf.DUMMYFUNCTION("""COMPUTED_VALUE"""),44301.0)</f>
        <v>44301</v>
      </c>
    </row>
    <row r="2364">
      <c r="A2364" s="2">
        <f>IFERROR(__xludf.DUMMYFUNCTION("""COMPUTED_VALUE"""),44707.64583333333)</f>
        <v>44707.64583</v>
      </c>
      <c r="B2364" s="1">
        <f>IFERROR(__xludf.DUMMYFUNCTION("""COMPUTED_VALUE"""),3335.0)</f>
        <v>3335</v>
      </c>
      <c r="C2364" s="1">
        <f>IFERROR(__xludf.DUMMYFUNCTION("""COMPUTED_VALUE"""),3445.0)</f>
        <v>3445</v>
      </c>
      <c r="D2364" s="1">
        <f>IFERROR(__xludf.DUMMYFUNCTION("""COMPUTED_VALUE"""),3335.0)</f>
        <v>3335</v>
      </c>
      <c r="E2364" s="1">
        <f>IFERROR(__xludf.DUMMYFUNCTION("""COMPUTED_VALUE"""),3365.0)</f>
        <v>3365</v>
      </c>
      <c r="F2364" s="1">
        <f>IFERROR(__xludf.DUMMYFUNCTION("""COMPUTED_VALUE"""),28780.0)</f>
        <v>28780</v>
      </c>
    </row>
    <row r="2365">
      <c r="A2365" s="2">
        <f>IFERROR(__xludf.DUMMYFUNCTION("""COMPUTED_VALUE"""),44708.64583333333)</f>
        <v>44708.64583</v>
      </c>
      <c r="B2365" s="1">
        <f>IFERROR(__xludf.DUMMYFUNCTION("""COMPUTED_VALUE"""),3365.0)</f>
        <v>3365</v>
      </c>
      <c r="C2365" s="1">
        <f>IFERROR(__xludf.DUMMYFUNCTION("""COMPUTED_VALUE"""),3470.0)</f>
        <v>3470</v>
      </c>
      <c r="D2365" s="1">
        <f>IFERROR(__xludf.DUMMYFUNCTION("""COMPUTED_VALUE"""),3300.0)</f>
        <v>3300</v>
      </c>
      <c r="E2365" s="1">
        <f>IFERROR(__xludf.DUMMYFUNCTION("""COMPUTED_VALUE"""),3350.0)</f>
        <v>3350</v>
      </c>
      <c r="F2365" s="1">
        <f>IFERROR(__xludf.DUMMYFUNCTION("""COMPUTED_VALUE"""),103600.0)</f>
        <v>103600</v>
      </c>
    </row>
    <row r="2366">
      <c r="A2366" s="2">
        <f>IFERROR(__xludf.DUMMYFUNCTION("""COMPUTED_VALUE"""),44711.64583333333)</f>
        <v>44711.64583</v>
      </c>
      <c r="B2366" s="1">
        <f>IFERROR(__xludf.DUMMYFUNCTION("""COMPUTED_VALUE"""),3385.0)</f>
        <v>3385</v>
      </c>
      <c r="C2366" s="1">
        <f>IFERROR(__xludf.DUMMYFUNCTION("""COMPUTED_VALUE"""),3460.0)</f>
        <v>3460</v>
      </c>
      <c r="D2366" s="1">
        <f>IFERROR(__xludf.DUMMYFUNCTION("""COMPUTED_VALUE"""),3340.0)</f>
        <v>3340</v>
      </c>
      <c r="E2366" s="1">
        <f>IFERROR(__xludf.DUMMYFUNCTION("""COMPUTED_VALUE"""),3460.0)</f>
        <v>3460</v>
      </c>
      <c r="F2366" s="1">
        <f>IFERROR(__xludf.DUMMYFUNCTION("""COMPUTED_VALUE"""),52462.0)</f>
        <v>52462</v>
      </c>
    </row>
    <row r="2367">
      <c r="A2367" s="2">
        <f>IFERROR(__xludf.DUMMYFUNCTION("""COMPUTED_VALUE"""),44712.64583333333)</f>
        <v>44712.64583</v>
      </c>
      <c r="B2367" s="1">
        <f>IFERROR(__xludf.DUMMYFUNCTION("""COMPUTED_VALUE"""),3480.0)</f>
        <v>3480</v>
      </c>
      <c r="C2367" s="1">
        <f>IFERROR(__xludf.DUMMYFUNCTION("""COMPUTED_VALUE"""),3665.0)</f>
        <v>3665</v>
      </c>
      <c r="D2367" s="1">
        <f>IFERROR(__xludf.DUMMYFUNCTION("""COMPUTED_VALUE"""),3460.0)</f>
        <v>3460</v>
      </c>
      <c r="E2367" s="1">
        <f>IFERROR(__xludf.DUMMYFUNCTION("""COMPUTED_VALUE"""),3480.0)</f>
        <v>3480</v>
      </c>
      <c r="F2367" s="1">
        <f>IFERROR(__xludf.DUMMYFUNCTION("""COMPUTED_VALUE"""),175471.0)</f>
        <v>175471</v>
      </c>
    </row>
    <row r="2368">
      <c r="A2368" s="2">
        <f>IFERROR(__xludf.DUMMYFUNCTION("""COMPUTED_VALUE"""),44714.64583333333)</f>
        <v>44714.64583</v>
      </c>
      <c r="B2368" s="1">
        <f>IFERROR(__xludf.DUMMYFUNCTION("""COMPUTED_VALUE"""),3510.0)</f>
        <v>3510</v>
      </c>
      <c r="C2368" s="1">
        <f>IFERROR(__xludf.DUMMYFUNCTION("""COMPUTED_VALUE"""),3510.0)</f>
        <v>3510</v>
      </c>
      <c r="D2368" s="1">
        <f>IFERROR(__xludf.DUMMYFUNCTION("""COMPUTED_VALUE"""),3445.0)</f>
        <v>3445</v>
      </c>
      <c r="E2368" s="1">
        <f>IFERROR(__xludf.DUMMYFUNCTION("""COMPUTED_VALUE"""),3460.0)</f>
        <v>3460</v>
      </c>
      <c r="F2368" s="1">
        <f>IFERROR(__xludf.DUMMYFUNCTION("""COMPUTED_VALUE"""),29893.0)</f>
        <v>29893</v>
      </c>
    </row>
    <row r="2369">
      <c r="A2369" s="2">
        <f>IFERROR(__xludf.DUMMYFUNCTION("""COMPUTED_VALUE"""),44715.64583333333)</f>
        <v>44715.64583</v>
      </c>
      <c r="B2369" s="1">
        <f>IFERROR(__xludf.DUMMYFUNCTION("""COMPUTED_VALUE"""),3515.0)</f>
        <v>3515</v>
      </c>
      <c r="C2369" s="1">
        <f>IFERROR(__xludf.DUMMYFUNCTION("""COMPUTED_VALUE"""),3515.0)</f>
        <v>3515</v>
      </c>
      <c r="D2369" s="1">
        <f>IFERROR(__xludf.DUMMYFUNCTION("""COMPUTED_VALUE"""),3450.0)</f>
        <v>3450</v>
      </c>
      <c r="E2369" s="1">
        <f>IFERROR(__xludf.DUMMYFUNCTION("""COMPUTED_VALUE"""),3450.0)</f>
        <v>3450</v>
      </c>
      <c r="F2369" s="1">
        <f>IFERROR(__xludf.DUMMYFUNCTION("""COMPUTED_VALUE"""),24294.0)</f>
        <v>24294</v>
      </c>
    </row>
    <row r="2370">
      <c r="A2370" s="2">
        <f>IFERROR(__xludf.DUMMYFUNCTION("""COMPUTED_VALUE"""),44719.64583333333)</f>
        <v>44719.64583</v>
      </c>
      <c r="B2370" s="1">
        <f>IFERROR(__xludf.DUMMYFUNCTION("""COMPUTED_VALUE"""),3495.0)</f>
        <v>3495</v>
      </c>
      <c r="C2370" s="1">
        <f>IFERROR(__xludf.DUMMYFUNCTION("""COMPUTED_VALUE"""),3495.0)</f>
        <v>3495</v>
      </c>
      <c r="D2370" s="1">
        <f>IFERROR(__xludf.DUMMYFUNCTION("""COMPUTED_VALUE"""),3380.0)</f>
        <v>3380</v>
      </c>
      <c r="E2370" s="1">
        <f>IFERROR(__xludf.DUMMYFUNCTION("""COMPUTED_VALUE"""),3380.0)</f>
        <v>3380</v>
      </c>
      <c r="F2370" s="1">
        <f>IFERROR(__xludf.DUMMYFUNCTION("""COMPUTED_VALUE"""),54758.0)</f>
        <v>54758</v>
      </c>
    </row>
    <row r="2371">
      <c r="A2371" s="2">
        <f>IFERROR(__xludf.DUMMYFUNCTION("""COMPUTED_VALUE"""),44720.64583333333)</f>
        <v>44720.64583</v>
      </c>
      <c r="B2371" s="1">
        <f>IFERROR(__xludf.DUMMYFUNCTION("""COMPUTED_VALUE"""),3380.0)</f>
        <v>3380</v>
      </c>
      <c r="C2371" s="1">
        <f>IFERROR(__xludf.DUMMYFUNCTION("""COMPUTED_VALUE"""),3410.0)</f>
        <v>3410</v>
      </c>
      <c r="D2371" s="1">
        <f>IFERROR(__xludf.DUMMYFUNCTION("""COMPUTED_VALUE"""),3295.0)</f>
        <v>3295</v>
      </c>
      <c r="E2371" s="1">
        <f>IFERROR(__xludf.DUMMYFUNCTION("""COMPUTED_VALUE"""),3310.0)</f>
        <v>3310</v>
      </c>
      <c r="F2371" s="1">
        <f>IFERROR(__xludf.DUMMYFUNCTION("""COMPUTED_VALUE"""),51451.0)</f>
        <v>51451</v>
      </c>
    </row>
    <row r="2372">
      <c r="A2372" s="2">
        <f>IFERROR(__xludf.DUMMYFUNCTION("""COMPUTED_VALUE"""),44721.64583333333)</f>
        <v>44721.64583</v>
      </c>
      <c r="B2372" s="1">
        <f>IFERROR(__xludf.DUMMYFUNCTION("""COMPUTED_VALUE"""),3340.0)</f>
        <v>3340</v>
      </c>
      <c r="C2372" s="1">
        <f>IFERROR(__xludf.DUMMYFUNCTION("""COMPUTED_VALUE"""),3340.0)</f>
        <v>3340</v>
      </c>
      <c r="D2372" s="1">
        <f>IFERROR(__xludf.DUMMYFUNCTION("""COMPUTED_VALUE"""),3260.0)</f>
        <v>3260</v>
      </c>
      <c r="E2372" s="1">
        <f>IFERROR(__xludf.DUMMYFUNCTION("""COMPUTED_VALUE"""),3320.0)</f>
        <v>3320</v>
      </c>
      <c r="F2372" s="1">
        <f>IFERROR(__xludf.DUMMYFUNCTION("""COMPUTED_VALUE"""),10658.0)</f>
        <v>10658</v>
      </c>
    </row>
    <row r="2373">
      <c r="A2373" s="2">
        <f>IFERROR(__xludf.DUMMYFUNCTION("""COMPUTED_VALUE"""),44722.64583333333)</f>
        <v>44722.64583</v>
      </c>
      <c r="B2373" s="1">
        <f>IFERROR(__xludf.DUMMYFUNCTION("""COMPUTED_VALUE"""),3300.0)</f>
        <v>3300</v>
      </c>
      <c r="C2373" s="1">
        <f>IFERROR(__xludf.DUMMYFUNCTION("""COMPUTED_VALUE"""),3300.0)</f>
        <v>3300</v>
      </c>
      <c r="D2373" s="1">
        <f>IFERROR(__xludf.DUMMYFUNCTION("""COMPUTED_VALUE"""),3150.0)</f>
        <v>3150</v>
      </c>
      <c r="E2373" s="1">
        <f>IFERROR(__xludf.DUMMYFUNCTION("""COMPUTED_VALUE"""),3185.0)</f>
        <v>3185</v>
      </c>
      <c r="F2373" s="1">
        <f>IFERROR(__xludf.DUMMYFUNCTION("""COMPUTED_VALUE"""),129930.0)</f>
        <v>129930</v>
      </c>
    </row>
    <row r="2374">
      <c r="A2374" s="2">
        <f>IFERROR(__xludf.DUMMYFUNCTION("""COMPUTED_VALUE"""),44725.64583333333)</f>
        <v>44725.64583</v>
      </c>
      <c r="B2374" s="1">
        <f>IFERROR(__xludf.DUMMYFUNCTION("""COMPUTED_VALUE"""),3120.0)</f>
        <v>3120</v>
      </c>
      <c r="C2374" s="1">
        <f>IFERROR(__xludf.DUMMYFUNCTION("""COMPUTED_VALUE"""),3120.0)</f>
        <v>3120</v>
      </c>
      <c r="D2374" s="1">
        <f>IFERROR(__xludf.DUMMYFUNCTION("""COMPUTED_VALUE"""),2985.0)</f>
        <v>2985</v>
      </c>
      <c r="E2374" s="1">
        <f>IFERROR(__xludf.DUMMYFUNCTION("""COMPUTED_VALUE"""),3025.0)</f>
        <v>3025</v>
      </c>
      <c r="F2374" s="1">
        <f>IFERROR(__xludf.DUMMYFUNCTION("""COMPUTED_VALUE"""),151308.0)</f>
        <v>151308</v>
      </c>
    </row>
    <row r="2375">
      <c r="A2375" s="2">
        <f>IFERROR(__xludf.DUMMYFUNCTION("""COMPUTED_VALUE"""),44726.64583333333)</f>
        <v>44726.64583</v>
      </c>
      <c r="B2375" s="1">
        <f>IFERROR(__xludf.DUMMYFUNCTION("""COMPUTED_VALUE"""),3025.0)</f>
        <v>3025</v>
      </c>
      <c r="C2375" s="1">
        <f>IFERROR(__xludf.DUMMYFUNCTION("""COMPUTED_VALUE"""),3045.0)</f>
        <v>3045</v>
      </c>
      <c r="D2375" s="1">
        <f>IFERROR(__xludf.DUMMYFUNCTION("""COMPUTED_VALUE"""),2810.0)</f>
        <v>2810</v>
      </c>
      <c r="E2375" s="1">
        <f>IFERROR(__xludf.DUMMYFUNCTION("""COMPUTED_VALUE"""),3025.0)</f>
        <v>3025</v>
      </c>
      <c r="F2375" s="1">
        <f>IFERROR(__xludf.DUMMYFUNCTION("""COMPUTED_VALUE"""),89240.0)</f>
        <v>89240</v>
      </c>
    </row>
    <row r="2376">
      <c r="A2376" s="2">
        <f>IFERROR(__xludf.DUMMYFUNCTION("""COMPUTED_VALUE"""),44727.64583333333)</f>
        <v>44727.64583</v>
      </c>
      <c r="B2376" s="1">
        <f>IFERROR(__xludf.DUMMYFUNCTION("""COMPUTED_VALUE"""),2965.0)</f>
        <v>2965</v>
      </c>
      <c r="C2376" s="1">
        <f>IFERROR(__xludf.DUMMYFUNCTION("""COMPUTED_VALUE"""),3015.0)</f>
        <v>3015</v>
      </c>
      <c r="D2376" s="1">
        <f>IFERROR(__xludf.DUMMYFUNCTION("""COMPUTED_VALUE"""),2850.0)</f>
        <v>2850</v>
      </c>
      <c r="E2376" s="1">
        <f>IFERROR(__xludf.DUMMYFUNCTION("""COMPUTED_VALUE"""),2895.0)</f>
        <v>2895</v>
      </c>
      <c r="F2376" s="1">
        <f>IFERROR(__xludf.DUMMYFUNCTION("""COMPUTED_VALUE"""),100998.0)</f>
        <v>100998</v>
      </c>
    </row>
    <row r="2377">
      <c r="A2377" s="2">
        <f>IFERROR(__xludf.DUMMYFUNCTION("""COMPUTED_VALUE"""),44729.64583333333)</f>
        <v>44729.64583</v>
      </c>
      <c r="B2377" s="1">
        <f>IFERROR(__xludf.DUMMYFUNCTION("""COMPUTED_VALUE"""),2815.0)</f>
        <v>2815</v>
      </c>
      <c r="C2377" s="1">
        <f>IFERROR(__xludf.DUMMYFUNCTION("""COMPUTED_VALUE"""),2955.0)</f>
        <v>2955</v>
      </c>
      <c r="D2377" s="1">
        <f>IFERROR(__xludf.DUMMYFUNCTION("""COMPUTED_VALUE"""),2730.0)</f>
        <v>2730</v>
      </c>
      <c r="E2377" s="1">
        <f>IFERROR(__xludf.DUMMYFUNCTION("""COMPUTED_VALUE"""),2955.0)</f>
        <v>2955</v>
      </c>
      <c r="F2377" s="1">
        <f>IFERROR(__xludf.DUMMYFUNCTION("""COMPUTED_VALUE"""),52385.0)</f>
        <v>52385</v>
      </c>
    </row>
    <row r="2378">
      <c r="A2378" s="2">
        <f>IFERROR(__xludf.DUMMYFUNCTION("""COMPUTED_VALUE"""),44732.64583333333)</f>
        <v>44732.64583</v>
      </c>
      <c r="B2378" s="1">
        <f>IFERROR(__xludf.DUMMYFUNCTION("""COMPUTED_VALUE"""),2935.0)</f>
        <v>2935</v>
      </c>
      <c r="C2378" s="1">
        <f>IFERROR(__xludf.DUMMYFUNCTION("""COMPUTED_VALUE"""),2935.0)</f>
        <v>2935</v>
      </c>
      <c r="D2378" s="1">
        <f>IFERROR(__xludf.DUMMYFUNCTION("""COMPUTED_VALUE"""),2715.0)</f>
        <v>2715</v>
      </c>
      <c r="E2378" s="1">
        <f>IFERROR(__xludf.DUMMYFUNCTION("""COMPUTED_VALUE"""),2775.0)</f>
        <v>2775</v>
      </c>
      <c r="F2378" s="1">
        <f>IFERROR(__xludf.DUMMYFUNCTION("""COMPUTED_VALUE"""),25860.0)</f>
        <v>25860</v>
      </c>
    </row>
    <row r="2379">
      <c r="A2379" s="2">
        <f>IFERROR(__xludf.DUMMYFUNCTION("""COMPUTED_VALUE"""),44733.64583333333)</f>
        <v>44733.64583</v>
      </c>
      <c r="B2379" s="1">
        <f>IFERROR(__xludf.DUMMYFUNCTION("""COMPUTED_VALUE"""),2755.0)</f>
        <v>2755</v>
      </c>
      <c r="C2379" s="1">
        <f>IFERROR(__xludf.DUMMYFUNCTION("""COMPUTED_VALUE"""),2935.0)</f>
        <v>2935</v>
      </c>
      <c r="D2379" s="1">
        <f>IFERROR(__xludf.DUMMYFUNCTION("""COMPUTED_VALUE"""),2690.0)</f>
        <v>2690</v>
      </c>
      <c r="E2379" s="1">
        <f>IFERROR(__xludf.DUMMYFUNCTION("""COMPUTED_VALUE"""),2875.0)</f>
        <v>2875</v>
      </c>
      <c r="F2379" s="1">
        <f>IFERROR(__xludf.DUMMYFUNCTION("""COMPUTED_VALUE"""),25382.0)</f>
        <v>25382</v>
      </c>
    </row>
    <row r="2380">
      <c r="A2380" s="2">
        <f>IFERROR(__xludf.DUMMYFUNCTION("""COMPUTED_VALUE"""),44734.64583333333)</f>
        <v>44734.64583</v>
      </c>
      <c r="B2380" s="1">
        <f>IFERROR(__xludf.DUMMYFUNCTION("""COMPUTED_VALUE"""),2850.0)</f>
        <v>2850</v>
      </c>
      <c r="C2380" s="1">
        <f>IFERROR(__xludf.DUMMYFUNCTION("""COMPUTED_VALUE"""),3200.0)</f>
        <v>3200</v>
      </c>
      <c r="D2380" s="1">
        <f>IFERROR(__xludf.DUMMYFUNCTION("""COMPUTED_VALUE"""),2845.0)</f>
        <v>2845</v>
      </c>
      <c r="E2380" s="1">
        <f>IFERROR(__xludf.DUMMYFUNCTION("""COMPUTED_VALUE"""),3000.0)</f>
        <v>3000</v>
      </c>
      <c r="F2380" s="1">
        <f>IFERROR(__xludf.DUMMYFUNCTION("""COMPUTED_VALUE"""),345374.0)</f>
        <v>345374</v>
      </c>
    </row>
    <row r="2381">
      <c r="A2381" s="2">
        <f>IFERROR(__xludf.DUMMYFUNCTION("""COMPUTED_VALUE"""),44735.64583333333)</f>
        <v>44735.64583</v>
      </c>
      <c r="B2381" s="1">
        <f>IFERROR(__xludf.DUMMYFUNCTION("""COMPUTED_VALUE"""),3000.0)</f>
        <v>3000</v>
      </c>
      <c r="C2381" s="1">
        <f>IFERROR(__xludf.DUMMYFUNCTION("""COMPUTED_VALUE"""),3840.0)</f>
        <v>3840</v>
      </c>
      <c r="D2381" s="1">
        <f>IFERROR(__xludf.DUMMYFUNCTION("""COMPUTED_VALUE"""),2975.0)</f>
        <v>2975</v>
      </c>
      <c r="E2381" s="1">
        <f>IFERROR(__xludf.DUMMYFUNCTION("""COMPUTED_VALUE"""),3255.0)</f>
        <v>3255</v>
      </c>
      <c r="F2381" s="1">
        <f>IFERROR(__xludf.DUMMYFUNCTION("""COMPUTED_VALUE"""),4057357.0)</f>
        <v>4057357</v>
      </c>
    </row>
    <row r="2382">
      <c r="A2382" s="2">
        <f>IFERROR(__xludf.DUMMYFUNCTION("""COMPUTED_VALUE"""),44736.64583333333)</f>
        <v>44736.64583</v>
      </c>
      <c r="B2382" s="1">
        <f>IFERROR(__xludf.DUMMYFUNCTION("""COMPUTED_VALUE"""),3170.0)</f>
        <v>3170</v>
      </c>
      <c r="C2382" s="1">
        <f>IFERROR(__xludf.DUMMYFUNCTION("""COMPUTED_VALUE"""),3460.0)</f>
        <v>3460</v>
      </c>
      <c r="D2382" s="1">
        <f>IFERROR(__xludf.DUMMYFUNCTION("""COMPUTED_VALUE"""),3105.0)</f>
        <v>3105</v>
      </c>
      <c r="E2382" s="1">
        <f>IFERROR(__xludf.DUMMYFUNCTION("""COMPUTED_VALUE"""),3105.0)</f>
        <v>3105</v>
      </c>
      <c r="F2382" s="1">
        <f>IFERROR(__xludf.DUMMYFUNCTION("""COMPUTED_VALUE"""),567393.0)</f>
        <v>567393</v>
      </c>
    </row>
    <row r="2383">
      <c r="A2383" s="2">
        <f>IFERROR(__xludf.DUMMYFUNCTION("""COMPUTED_VALUE"""),44739.64583333333)</f>
        <v>44739.64583</v>
      </c>
      <c r="B2383" s="1">
        <f>IFERROR(__xludf.DUMMYFUNCTION("""COMPUTED_VALUE"""),3200.0)</f>
        <v>3200</v>
      </c>
      <c r="C2383" s="1">
        <f>IFERROR(__xludf.DUMMYFUNCTION("""COMPUTED_VALUE"""),3410.0)</f>
        <v>3410</v>
      </c>
      <c r="D2383" s="1">
        <f>IFERROR(__xludf.DUMMYFUNCTION("""COMPUTED_VALUE"""),3145.0)</f>
        <v>3145</v>
      </c>
      <c r="E2383" s="1">
        <f>IFERROR(__xludf.DUMMYFUNCTION("""COMPUTED_VALUE"""),3310.0)</f>
        <v>3310</v>
      </c>
      <c r="F2383" s="1">
        <f>IFERROR(__xludf.DUMMYFUNCTION("""COMPUTED_VALUE"""),418191.0)</f>
        <v>418191</v>
      </c>
    </row>
    <row r="2384">
      <c r="A2384" s="2">
        <f>IFERROR(__xludf.DUMMYFUNCTION("""COMPUTED_VALUE"""),44740.64583333333)</f>
        <v>44740.64583</v>
      </c>
      <c r="B2384" s="1">
        <f>IFERROR(__xludf.DUMMYFUNCTION("""COMPUTED_VALUE"""),3295.0)</f>
        <v>3295</v>
      </c>
      <c r="C2384" s="1">
        <f>IFERROR(__xludf.DUMMYFUNCTION("""COMPUTED_VALUE"""),3295.0)</f>
        <v>3295</v>
      </c>
      <c r="D2384" s="1">
        <f>IFERROR(__xludf.DUMMYFUNCTION("""COMPUTED_VALUE"""),3050.0)</f>
        <v>3050</v>
      </c>
      <c r="E2384" s="1">
        <f>IFERROR(__xludf.DUMMYFUNCTION("""COMPUTED_VALUE"""),3155.0)</f>
        <v>3155</v>
      </c>
      <c r="F2384" s="1">
        <f>IFERROR(__xludf.DUMMYFUNCTION("""COMPUTED_VALUE"""),178297.0)</f>
        <v>178297</v>
      </c>
    </row>
    <row r="2385">
      <c r="A2385" s="2">
        <f>IFERROR(__xludf.DUMMYFUNCTION("""COMPUTED_VALUE"""),44741.64583333333)</f>
        <v>44741.64583</v>
      </c>
      <c r="B2385" s="1">
        <f>IFERROR(__xludf.DUMMYFUNCTION("""COMPUTED_VALUE"""),3085.0)</f>
        <v>3085</v>
      </c>
      <c r="C2385" s="1">
        <f>IFERROR(__xludf.DUMMYFUNCTION("""COMPUTED_VALUE"""),3145.0)</f>
        <v>3145</v>
      </c>
      <c r="D2385" s="1">
        <f>IFERROR(__xludf.DUMMYFUNCTION("""COMPUTED_VALUE"""),2940.0)</f>
        <v>2940</v>
      </c>
      <c r="E2385" s="1">
        <f>IFERROR(__xludf.DUMMYFUNCTION("""COMPUTED_VALUE"""),3055.0)</f>
        <v>3055</v>
      </c>
      <c r="F2385" s="1">
        <f>IFERROR(__xludf.DUMMYFUNCTION("""COMPUTED_VALUE"""),229422.0)</f>
        <v>229422</v>
      </c>
    </row>
    <row r="2386">
      <c r="A2386" s="2">
        <f>IFERROR(__xludf.DUMMYFUNCTION("""COMPUTED_VALUE"""),44742.64583333333)</f>
        <v>44742.64583</v>
      </c>
      <c r="B2386" s="1">
        <f>IFERROR(__xludf.DUMMYFUNCTION("""COMPUTED_VALUE"""),3020.0)</f>
        <v>3020</v>
      </c>
      <c r="C2386" s="1">
        <f>IFERROR(__xludf.DUMMYFUNCTION("""COMPUTED_VALUE"""),3320.0)</f>
        <v>3320</v>
      </c>
      <c r="D2386" s="1">
        <f>IFERROR(__xludf.DUMMYFUNCTION("""COMPUTED_VALUE"""),2910.0)</f>
        <v>2910</v>
      </c>
      <c r="E2386" s="1">
        <f>IFERROR(__xludf.DUMMYFUNCTION("""COMPUTED_VALUE"""),3005.0)</f>
        <v>3005</v>
      </c>
      <c r="F2386" s="1">
        <f>IFERROR(__xludf.DUMMYFUNCTION("""COMPUTED_VALUE"""),740018.0)</f>
        <v>740018</v>
      </c>
    </row>
    <row r="2387">
      <c r="A2387" s="2">
        <f>IFERROR(__xludf.DUMMYFUNCTION("""COMPUTED_VALUE"""),44743.64583333333)</f>
        <v>44743.64583</v>
      </c>
      <c r="B2387" s="1">
        <f>IFERROR(__xludf.DUMMYFUNCTION("""COMPUTED_VALUE"""),3005.0)</f>
        <v>3005</v>
      </c>
      <c r="C2387" s="1">
        <f>IFERROR(__xludf.DUMMYFUNCTION("""COMPUTED_VALUE"""),3035.0)</f>
        <v>3035</v>
      </c>
      <c r="D2387" s="1">
        <f>IFERROR(__xludf.DUMMYFUNCTION("""COMPUTED_VALUE"""),2750.0)</f>
        <v>2750</v>
      </c>
      <c r="E2387" s="1">
        <f>IFERROR(__xludf.DUMMYFUNCTION("""COMPUTED_VALUE"""),2770.0)</f>
        <v>2770</v>
      </c>
      <c r="F2387" s="1">
        <f>IFERROR(__xludf.DUMMYFUNCTION("""COMPUTED_VALUE"""),191899.0)</f>
        <v>191899</v>
      </c>
    </row>
    <row r="2388">
      <c r="A2388" s="2">
        <f>IFERROR(__xludf.DUMMYFUNCTION("""COMPUTED_VALUE"""),44746.64583333333)</f>
        <v>44746.64583</v>
      </c>
      <c r="B2388" s="1">
        <f>IFERROR(__xludf.DUMMYFUNCTION("""COMPUTED_VALUE"""),2805.0)</f>
        <v>2805</v>
      </c>
      <c r="C2388" s="1">
        <f>IFERROR(__xludf.DUMMYFUNCTION("""COMPUTED_VALUE"""),3035.0)</f>
        <v>3035</v>
      </c>
      <c r="D2388" s="1">
        <f>IFERROR(__xludf.DUMMYFUNCTION("""COMPUTED_VALUE"""),2800.0)</f>
        <v>2800</v>
      </c>
      <c r="E2388" s="1">
        <f>IFERROR(__xludf.DUMMYFUNCTION("""COMPUTED_VALUE"""),2895.0)</f>
        <v>2895</v>
      </c>
      <c r="F2388" s="1">
        <f>IFERROR(__xludf.DUMMYFUNCTION("""COMPUTED_VALUE"""),150364.0)</f>
        <v>150364</v>
      </c>
    </row>
    <row r="2389">
      <c r="A2389" s="2">
        <f>IFERROR(__xludf.DUMMYFUNCTION("""COMPUTED_VALUE"""),44747.64583333333)</f>
        <v>44747.64583</v>
      </c>
      <c r="B2389" s="1">
        <f>IFERROR(__xludf.DUMMYFUNCTION("""COMPUTED_VALUE"""),2935.0)</f>
        <v>2935</v>
      </c>
      <c r="C2389" s="1">
        <f>IFERROR(__xludf.DUMMYFUNCTION("""COMPUTED_VALUE"""),3035.0)</f>
        <v>3035</v>
      </c>
      <c r="D2389" s="1">
        <f>IFERROR(__xludf.DUMMYFUNCTION("""COMPUTED_VALUE"""),2870.0)</f>
        <v>2870</v>
      </c>
      <c r="E2389" s="1">
        <f>IFERROR(__xludf.DUMMYFUNCTION("""COMPUTED_VALUE"""),3020.0)</f>
        <v>3020</v>
      </c>
      <c r="F2389" s="1">
        <f>IFERROR(__xludf.DUMMYFUNCTION("""COMPUTED_VALUE"""),90740.0)</f>
        <v>90740</v>
      </c>
    </row>
    <row r="2390">
      <c r="A2390" s="2">
        <f>IFERROR(__xludf.DUMMYFUNCTION("""COMPUTED_VALUE"""),44748.64583333333)</f>
        <v>44748.64583</v>
      </c>
      <c r="B2390" s="1">
        <f>IFERROR(__xludf.DUMMYFUNCTION("""COMPUTED_VALUE"""),3020.0)</f>
        <v>3020</v>
      </c>
      <c r="C2390" s="1">
        <f>IFERROR(__xludf.DUMMYFUNCTION("""COMPUTED_VALUE"""),3100.0)</f>
        <v>3100</v>
      </c>
      <c r="D2390" s="1">
        <f>IFERROR(__xludf.DUMMYFUNCTION("""COMPUTED_VALUE"""),2980.0)</f>
        <v>2980</v>
      </c>
      <c r="E2390" s="1">
        <f>IFERROR(__xludf.DUMMYFUNCTION("""COMPUTED_VALUE"""),3085.0)</f>
        <v>3085</v>
      </c>
      <c r="F2390" s="1">
        <f>IFERROR(__xludf.DUMMYFUNCTION("""COMPUTED_VALUE"""),74782.0)</f>
        <v>74782</v>
      </c>
    </row>
    <row r="2391">
      <c r="A2391" s="2">
        <f>IFERROR(__xludf.DUMMYFUNCTION("""COMPUTED_VALUE"""),44749.64583333333)</f>
        <v>44749.64583</v>
      </c>
      <c r="B2391" s="1">
        <f>IFERROR(__xludf.DUMMYFUNCTION("""COMPUTED_VALUE"""),3050.0)</f>
        <v>3050</v>
      </c>
      <c r="C2391" s="1">
        <f>IFERROR(__xludf.DUMMYFUNCTION("""COMPUTED_VALUE"""),3150.0)</f>
        <v>3150</v>
      </c>
      <c r="D2391" s="1">
        <f>IFERROR(__xludf.DUMMYFUNCTION("""COMPUTED_VALUE"""),3050.0)</f>
        <v>3050</v>
      </c>
      <c r="E2391" s="1">
        <f>IFERROR(__xludf.DUMMYFUNCTION("""COMPUTED_VALUE"""),3090.0)</f>
        <v>3090</v>
      </c>
      <c r="F2391" s="1">
        <f>IFERROR(__xludf.DUMMYFUNCTION("""COMPUTED_VALUE"""),73698.0)</f>
        <v>73698</v>
      </c>
    </row>
    <row r="2392">
      <c r="A2392" s="2">
        <f>IFERROR(__xludf.DUMMYFUNCTION("""COMPUTED_VALUE"""),44750.64583333333)</f>
        <v>44750.64583</v>
      </c>
      <c r="B2392" s="1">
        <f>IFERROR(__xludf.DUMMYFUNCTION("""COMPUTED_VALUE"""),3095.0)</f>
        <v>3095</v>
      </c>
      <c r="C2392" s="1">
        <f>IFERROR(__xludf.DUMMYFUNCTION("""COMPUTED_VALUE"""),3160.0)</f>
        <v>3160</v>
      </c>
      <c r="D2392" s="1">
        <f>IFERROR(__xludf.DUMMYFUNCTION("""COMPUTED_VALUE"""),3030.0)</f>
        <v>3030</v>
      </c>
      <c r="E2392" s="1">
        <f>IFERROR(__xludf.DUMMYFUNCTION("""COMPUTED_VALUE"""),3105.0)</f>
        <v>3105</v>
      </c>
      <c r="F2392" s="1">
        <f>IFERROR(__xludf.DUMMYFUNCTION("""COMPUTED_VALUE"""),37308.0)</f>
        <v>37308</v>
      </c>
    </row>
    <row r="2393">
      <c r="A2393" s="2">
        <f>IFERROR(__xludf.DUMMYFUNCTION("""COMPUTED_VALUE"""),44753.64583333333)</f>
        <v>44753.64583</v>
      </c>
      <c r="B2393" s="1">
        <f>IFERROR(__xludf.DUMMYFUNCTION("""COMPUTED_VALUE"""),3115.0)</f>
        <v>3115</v>
      </c>
      <c r="C2393" s="1">
        <f>IFERROR(__xludf.DUMMYFUNCTION("""COMPUTED_VALUE"""),3200.0)</f>
        <v>3200</v>
      </c>
      <c r="D2393" s="1">
        <f>IFERROR(__xludf.DUMMYFUNCTION("""COMPUTED_VALUE"""),3060.0)</f>
        <v>3060</v>
      </c>
      <c r="E2393" s="1">
        <f>IFERROR(__xludf.DUMMYFUNCTION("""COMPUTED_VALUE"""),3165.0)</f>
        <v>3165</v>
      </c>
      <c r="F2393" s="1">
        <f>IFERROR(__xludf.DUMMYFUNCTION("""COMPUTED_VALUE"""),71042.0)</f>
        <v>71042</v>
      </c>
    </row>
    <row r="2394">
      <c r="A2394" s="2">
        <f>IFERROR(__xludf.DUMMYFUNCTION("""COMPUTED_VALUE"""),44754.64583333333)</f>
        <v>44754.64583</v>
      </c>
      <c r="B2394" s="1">
        <f>IFERROR(__xludf.DUMMYFUNCTION("""COMPUTED_VALUE"""),3140.0)</f>
        <v>3140</v>
      </c>
      <c r="C2394" s="1">
        <f>IFERROR(__xludf.DUMMYFUNCTION("""COMPUTED_VALUE"""),3180.0)</f>
        <v>3180</v>
      </c>
      <c r="D2394" s="1">
        <f>IFERROR(__xludf.DUMMYFUNCTION("""COMPUTED_VALUE"""),3040.0)</f>
        <v>3040</v>
      </c>
      <c r="E2394" s="1">
        <f>IFERROR(__xludf.DUMMYFUNCTION("""COMPUTED_VALUE"""),3155.0)</f>
        <v>3155</v>
      </c>
      <c r="F2394" s="1">
        <f>IFERROR(__xludf.DUMMYFUNCTION("""COMPUTED_VALUE"""),44436.0)</f>
        <v>44436</v>
      </c>
    </row>
    <row r="2395">
      <c r="A2395" s="2">
        <f>IFERROR(__xludf.DUMMYFUNCTION("""COMPUTED_VALUE"""),44755.64583333333)</f>
        <v>44755.64583</v>
      </c>
      <c r="B2395" s="1">
        <f>IFERROR(__xludf.DUMMYFUNCTION("""COMPUTED_VALUE"""),3100.0)</f>
        <v>3100</v>
      </c>
      <c r="C2395" s="1">
        <f>IFERROR(__xludf.DUMMYFUNCTION("""COMPUTED_VALUE"""),3195.0)</f>
        <v>3195</v>
      </c>
      <c r="D2395" s="1">
        <f>IFERROR(__xludf.DUMMYFUNCTION("""COMPUTED_VALUE"""),3100.0)</f>
        <v>3100</v>
      </c>
      <c r="E2395" s="1">
        <f>IFERROR(__xludf.DUMMYFUNCTION("""COMPUTED_VALUE"""),3120.0)</f>
        <v>3120</v>
      </c>
      <c r="F2395" s="1">
        <f>IFERROR(__xludf.DUMMYFUNCTION("""COMPUTED_VALUE"""),54752.0)</f>
        <v>54752</v>
      </c>
    </row>
    <row r="2396">
      <c r="A2396" s="2">
        <f>IFERROR(__xludf.DUMMYFUNCTION("""COMPUTED_VALUE"""),44756.64583333333)</f>
        <v>44756.64583</v>
      </c>
      <c r="B2396" s="1">
        <f>IFERROR(__xludf.DUMMYFUNCTION("""COMPUTED_VALUE"""),3105.0)</f>
        <v>3105</v>
      </c>
      <c r="C2396" s="1">
        <f>IFERROR(__xludf.DUMMYFUNCTION("""COMPUTED_VALUE"""),3185.0)</f>
        <v>3185</v>
      </c>
      <c r="D2396" s="1">
        <f>IFERROR(__xludf.DUMMYFUNCTION("""COMPUTED_VALUE"""),3070.0)</f>
        <v>3070</v>
      </c>
      <c r="E2396" s="1">
        <f>IFERROR(__xludf.DUMMYFUNCTION("""COMPUTED_VALUE"""),3145.0)</f>
        <v>3145</v>
      </c>
      <c r="F2396" s="1">
        <f>IFERROR(__xludf.DUMMYFUNCTION("""COMPUTED_VALUE"""),31926.0)</f>
        <v>31926</v>
      </c>
    </row>
    <row r="2397">
      <c r="A2397" s="2">
        <f>IFERROR(__xludf.DUMMYFUNCTION("""COMPUTED_VALUE"""),44757.64583333333)</f>
        <v>44757.64583</v>
      </c>
      <c r="B2397" s="1">
        <f>IFERROR(__xludf.DUMMYFUNCTION("""COMPUTED_VALUE"""),3150.0)</f>
        <v>3150</v>
      </c>
      <c r="C2397" s="1">
        <f>IFERROR(__xludf.DUMMYFUNCTION("""COMPUTED_VALUE"""),3170.0)</f>
        <v>3170</v>
      </c>
      <c r="D2397" s="1">
        <f>IFERROR(__xludf.DUMMYFUNCTION("""COMPUTED_VALUE"""),3045.0)</f>
        <v>3045</v>
      </c>
      <c r="E2397" s="1">
        <f>IFERROR(__xludf.DUMMYFUNCTION("""COMPUTED_VALUE"""),3130.0)</f>
        <v>3130</v>
      </c>
      <c r="F2397" s="1">
        <f>IFERROR(__xludf.DUMMYFUNCTION("""COMPUTED_VALUE"""),36279.0)</f>
        <v>36279</v>
      </c>
    </row>
    <row r="2398">
      <c r="A2398" s="2">
        <f>IFERROR(__xludf.DUMMYFUNCTION("""COMPUTED_VALUE"""),44760.64583333333)</f>
        <v>44760.64583</v>
      </c>
      <c r="B2398" s="1">
        <f>IFERROR(__xludf.DUMMYFUNCTION("""COMPUTED_VALUE"""),3160.0)</f>
        <v>3160</v>
      </c>
      <c r="C2398" s="1">
        <f>IFERROR(__xludf.DUMMYFUNCTION("""COMPUTED_VALUE"""),3175.0)</f>
        <v>3175</v>
      </c>
      <c r="D2398" s="1">
        <f>IFERROR(__xludf.DUMMYFUNCTION("""COMPUTED_VALUE"""),3055.0)</f>
        <v>3055</v>
      </c>
      <c r="E2398" s="1">
        <f>IFERROR(__xludf.DUMMYFUNCTION("""COMPUTED_VALUE"""),3110.0)</f>
        <v>3110</v>
      </c>
      <c r="F2398" s="1">
        <f>IFERROR(__xludf.DUMMYFUNCTION("""COMPUTED_VALUE"""),41453.0)</f>
        <v>41453</v>
      </c>
    </row>
    <row r="2399">
      <c r="A2399" s="2">
        <f>IFERROR(__xludf.DUMMYFUNCTION("""COMPUTED_VALUE"""),44762.64583333333)</f>
        <v>44762.64583</v>
      </c>
      <c r="B2399" s="1">
        <f>IFERROR(__xludf.DUMMYFUNCTION("""COMPUTED_VALUE"""),3120.0)</f>
        <v>3120</v>
      </c>
      <c r="C2399" s="1">
        <f>IFERROR(__xludf.DUMMYFUNCTION("""COMPUTED_VALUE"""),3210.0)</f>
        <v>3210</v>
      </c>
      <c r="D2399" s="1">
        <f>IFERROR(__xludf.DUMMYFUNCTION("""COMPUTED_VALUE"""),3120.0)</f>
        <v>3120</v>
      </c>
      <c r="E2399" s="1">
        <f>IFERROR(__xludf.DUMMYFUNCTION("""COMPUTED_VALUE"""),3155.0)</f>
        <v>3155</v>
      </c>
      <c r="F2399" s="1">
        <f>IFERROR(__xludf.DUMMYFUNCTION("""COMPUTED_VALUE"""),47492.0)</f>
        <v>47492</v>
      </c>
    </row>
    <row r="2400">
      <c r="A2400" s="2">
        <f>IFERROR(__xludf.DUMMYFUNCTION("""COMPUTED_VALUE"""),44763.64583333333)</f>
        <v>44763.64583</v>
      </c>
      <c r="B2400" s="1">
        <f>IFERROR(__xludf.DUMMYFUNCTION("""COMPUTED_VALUE"""),3155.0)</f>
        <v>3155</v>
      </c>
      <c r="C2400" s="1">
        <f>IFERROR(__xludf.DUMMYFUNCTION("""COMPUTED_VALUE"""),3295.0)</f>
        <v>3295</v>
      </c>
      <c r="D2400" s="1">
        <f>IFERROR(__xludf.DUMMYFUNCTION("""COMPUTED_VALUE"""),3150.0)</f>
        <v>3150</v>
      </c>
      <c r="E2400" s="1">
        <f>IFERROR(__xludf.DUMMYFUNCTION("""COMPUTED_VALUE"""),3285.0)</f>
        <v>3285</v>
      </c>
      <c r="F2400" s="1">
        <f>IFERROR(__xludf.DUMMYFUNCTION("""COMPUTED_VALUE"""),159541.0)</f>
        <v>159541</v>
      </c>
    </row>
    <row r="2401">
      <c r="A2401" s="2">
        <f>IFERROR(__xludf.DUMMYFUNCTION("""COMPUTED_VALUE"""),44764.64583333333)</f>
        <v>44764.64583</v>
      </c>
      <c r="B2401" s="1">
        <f>IFERROR(__xludf.DUMMYFUNCTION("""COMPUTED_VALUE"""),3375.0)</f>
        <v>3375</v>
      </c>
      <c r="C2401" s="1">
        <f>IFERROR(__xludf.DUMMYFUNCTION("""COMPUTED_VALUE"""),3375.0)</f>
        <v>3375</v>
      </c>
      <c r="D2401" s="1">
        <f>IFERROR(__xludf.DUMMYFUNCTION("""COMPUTED_VALUE"""),3190.0)</f>
        <v>3190</v>
      </c>
      <c r="E2401" s="1">
        <f>IFERROR(__xludf.DUMMYFUNCTION("""COMPUTED_VALUE"""),3210.0)</f>
        <v>3210</v>
      </c>
      <c r="F2401" s="1">
        <f>IFERROR(__xludf.DUMMYFUNCTION("""COMPUTED_VALUE"""),30271.0)</f>
        <v>30271</v>
      </c>
    </row>
    <row r="2402">
      <c r="A2402" s="2">
        <f>IFERROR(__xludf.DUMMYFUNCTION("""COMPUTED_VALUE"""),44767.64583333333)</f>
        <v>44767.64583</v>
      </c>
      <c r="B2402" s="1">
        <f>IFERROR(__xludf.DUMMYFUNCTION("""COMPUTED_VALUE"""),3225.0)</f>
        <v>3225</v>
      </c>
      <c r="C2402" s="1">
        <f>IFERROR(__xludf.DUMMYFUNCTION("""COMPUTED_VALUE"""),3255.0)</f>
        <v>3255</v>
      </c>
      <c r="D2402" s="1">
        <f>IFERROR(__xludf.DUMMYFUNCTION("""COMPUTED_VALUE"""),3040.0)</f>
        <v>3040</v>
      </c>
      <c r="E2402" s="1">
        <f>IFERROR(__xludf.DUMMYFUNCTION("""COMPUTED_VALUE"""),3210.0)</f>
        <v>3210</v>
      </c>
      <c r="F2402" s="1">
        <f>IFERROR(__xludf.DUMMYFUNCTION("""COMPUTED_VALUE"""),27946.0)</f>
        <v>27946</v>
      </c>
    </row>
    <row r="2403">
      <c r="A2403" s="2">
        <f>IFERROR(__xludf.DUMMYFUNCTION("""COMPUTED_VALUE"""),44768.64583333333)</f>
        <v>44768.64583</v>
      </c>
      <c r="B2403" s="1">
        <f>IFERROR(__xludf.DUMMYFUNCTION("""COMPUTED_VALUE"""),3190.0)</f>
        <v>3190</v>
      </c>
      <c r="C2403" s="1">
        <f>IFERROR(__xludf.DUMMYFUNCTION("""COMPUTED_VALUE"""),3220.0)</f>
        <v>3220</v>
      </c>
      <c r="D2403" s="1">
        <f>IFERROR(__xludf.DUMMYFUNCTION("""COMPUTED_VALUE"""),3090.0)</f>
        <v>3090</v>
      </c>
      <c r="E2403" s="1">
        <f>IFERROR(__xludf.DUMMYFUNCTION("""COMPUTED_VALUE"""),3110.0)</f>
        <v>3110</v>
      </c>
      <c r="F2403" s="1">
        <f>IFERROR(__xludf.DUMMYFUNCTION("""COMPUTED_VALUE"""),34267.0)</f>
        <v>34267</v>
      </c>
    </row>
    <row r="2404">
      <c r="A2404" s="2">
        <f>IFERROR(__xludf.DUMMYFUNCTION("""COMPUTED_VALUE"""),44769.64583333333)</f>
        <v>44769.64583</v>
      </c>
      <c r="B2404" s="1">
        <f>IFERROR(__xludf.DUMMYFUNCTION("""COMPUTED_VALUE"""),3110.0)</f>
        <v>3110</v>
      </c>
      <c r="C2404" s="1">
        <f>IFERROR(__xludf.DUMMYFUNCTION("""COMPUTED_VALUE"""),3165.0)</f>
        <v>3165</v>
      </c>
      <c r="D2404" s="1">
        <f>IFERROR(__xludf.DUMMYFUNCTION("""COMPUTED_VALUE"""),3060.0)</f>
        <v>3060</v>
      </c>
      <c r="E2404" s="1">
        <f>IFERROR(__xludf.DUMMYFUNCTION("""COMPUTED_VALUE"""),3105.0)</f>
        <v>3105</v>
      </c>
      <c r="F2404" s="1">
        <f>IFERROR(__xludf.DUMMYFUNCTION("""COMPUTED_VALUE"""),29968.0)</f>
        <v>29968</v>
      </c>
    </row>
    <row r="2405">
      <c r="A2405" s="2">
        <f>IFERROR(__xludf.DUMMYFUNCTION("""COMPUTED_VALUE"""),44770.64583333333)</f>
        <v>44770.64583</v>
      </c>
      <c r="B2405" s="1">
        <f>IFERROR(__xludf.DUMMYFUNCTION("""COMPUTED_VALUE"""),3105.0)</f>
        <v>3105</v>
      </c>
      <c r="C2405" s="1">
        <f>IFERROR(__xludf.DUMMYFUNCTION("""COMPUTED_VALUE"""),3120.0)</f>
        <v>3120</v>
      </c>
      <c r="D2405" s="1">
        <f>IFERROR(__xludf.DUMMYFUNCTION("""COMPUTED_VALUE"""),3065.0)</f>
        <v>3065</v>
      </c>
      <c r="E2405" s="1">
        <f>IFERROR(__xludf.DUMMYFUNCTION("""COMPUTED_VALUE"""),3105.0)</f>
        <v>3105</v>
      </c>
      <c r="F2405" s="1">
        <f>IFERROR(__xludf.DUMMYFUNCTION("""COMPUTED_VALUE"""),21065.0)</f>
        <v>21065</v>
      </c>
    </row>
    <row r="2406">
      <c r="A2406" s="2">
        <f>IFERROR(__xludf.DUMMYFUNCTION("""COMPUTED_VALUE"""),44771.64583333333)</f>
        <v>44771.64583</v>
      </c>
      <c r="B2406" s="1">
        <f>IFERROR(__xludf.DUMMYFUNCTION("""COMPUTED_VALUE"""),3105.0)</f>
        <v>3105</v>
      </c>
      <c r="C2406" s="1">
        <f>IFERROR(__xludf.DUMMYFUNCTION("""COMPUTED_VALUE"""),3200.0)</f>
        <v>3200</v>
      </c>
      <c r="D2406" s="1">
        <f>IFERROR(__xludf.DUMMYFUNCTION("""COMPUTED_VALUE"""),3065.0)</f>
        <v>3065</v>
      </c>
      <c r="E2406" s="1">
        <f>IFERROR(__xludf.DUMMYFUNCTION("""COMPUTED_VALUE"""),3120.0)</f>
        <v>3120</v>
      </c>
      <c r="F2406" s="1">
        <f>IFERROR(__xludf.DUMMYFUNCTION("""COMPUTED_VALUE"""),25477.0)</f>
        <v>25477</v>
      </c>
    </row>
    <row r="2407">
      <c r="A2407" s="2">
        <f>IFERROR(__xludf.DUMMYFUNCTION("""COMPUTED_VALUE"""),44774.64583333333)</f>
        <v>44774.64583</v>
      </c>
      <c r="B2407" s="1">
        <f>IFERROR(__xludf.DUMMYFUNCTION("""COMPUTED_VALUE"""),3120.0)</f>
        <v>3120</v>
      </c>
      <c r="C2407" s="1">
        <f>IFERROR(__xludf.DUMMYFUNCTION("""COMPUTED_VALUE"""),3120.0)</f>
        <v>3120</v>
      </c>
      <c r="D2407" s="1">
        <f>IFERROR(__xludf.DUMMYFUNCTION("""COMPUTED_VALUE"""),3005.0)</f>
        <v>3005</v>
      </c>
      <c r="E2407" s="1">
        <f>IFERROR(__xludf.DUMMYFUNCTION("""COMPUTED_VALUE"""),3090.0)</f>
        <v>3090</v>
      </c>
      <c r="F2407" s="1">
        <f>IFERROR(__xludf.DUMMYFUNCTION("""COMPUTED_VALUE"""),30116.0)</f>
        <v>30116</v>
      </c>
    </row>
    <row r="2408">
      <c r="A2408" s="2">
        <f>IFERROR(__xludf.DUMMYFUNCTION("""COMPUTED_VALUE"""),44775.64583333333)</f>
        <v>44775.64583</v>
      </c>
      <c r="B2408" s="1">
        <f>IFERROR(__xludf.DUMMYFUNCTION("""COMPUTED_VALUE"""),3090.0)</f>
        <v>3090</v>
      </c>
      <c r="C2408" s="1">
        <f>IFERROR(__xludf.DUMMYFUNCTION("""COMPUTED_VALUE"""),3090.0)</f>
        <v>3090</v>
      </c>
      <c r="D2408" s="1">
        <f>IFERROR(__xludf.DUMMYFUNCTION("""COMPUTED_VALUE"""),2980.0)</f>
        <v>2980</v>
      </c>
      <c r="E2408" s="1">
        <f>IFERROR(__xludf.DUMMYFUNCTION("""COMPUTED_VALUE"""),3050.0)</f>
        <v>3050</v>
      </c>
      <c r="F2408" s="1">
        <f>IFERROR(__xludf.DUMMYFUNCTION("""COMPUTED_VALUE"""),45036.0)</f>
        <v>45036</v>
      </c>
    </row>
    <row r="2409">
      <c r="A2409" s="2">
        <f>IFERROR(__xludf.DUMMYFUNCTION("""COMPUTED_VALUE"""),44776.64583333333)</f>
        <v>44776.64583</v>
      </c>
      <c r="B2409" s="1">
        <f>IFERROR(__xludf.DUMMYFUNCTION("""COMPUTED_VALUE"""),3050.0)</f>
        <v>3050</v>
      </c>
      <c r="C2409" s="1">
        <f>IFERROR(__xludf.DUMMYFUNCTION("""COMPUTED_VALUE"""),3120.0)</f>
        <v>3120</v>
      </c>
      <c r="D2409" s="1">
        <f>IFERROR(__xludf.DUMMYFUNCTION("""COMPUTED_VALUE"""),3020.0)</f>
        <v>3020</v>
      </c>
      <c r="E2409" s="1">
        <f>IFERROR(__xludf.DUMMYFUNCTION("""COMPUTED_VALUE"""),3110.0)</f>
        <v>3110</v>
      </c>
      <c r="F2409" s="1">
        <f>IFERROR(__xludf.DUMMYFUNCTION("""COMPUTED_VALUE"""),18322.0)</f>
        <v>18322</v>
      </c>
    </row>
    <row r="2410">
      <c r="A2410" s="2">
        <f>IFERROR(__xludf.DUMMYFUNCTION("""COMPUTED_VALUE"""),44777.64583333333)</f>
        <v>44777.64583</v>
      </c>
      <c r="B2410" s="1">
        <f>IFERROR(__xludf.DUMMYFUNCTION("""COMPUTED_VALUE"""),3090.0)</f>
        <v>3090</v>
      </c>
      <c r="C2410" s="1">
        <f>IFERROR(__xludf.DUMMYFUNCTION("""COMPUTED_VALUE"""),3150.0)</f>
        <v>3150</v>
      </c>
      <c r="D2410" s="1">
        <f>IFERROR(__xludf.DUMMYFUNCTION("""COMPUTED_VALUE"""),3090.0)</f>
        <v>3090</v>
      </c>
      <c r="E2410" s="1">
        <f>IFERROR(__xludf.DUMMYFUNCTION("""COMPUTED_VALUE"""),3145.0)</f>
        <v>3145</v>
      </c>
      <c r="F2410" s="1">
        <f>IFERROR(__xludf.DUMMYFUNCTION("""COMPUTED_VALUE"""),15980.0)</f>
        <v>15980</v>
      </c>
    </row>
    <row r="2411">
      <c r="A2411" s="2">
        <f>IFERROR(__xludf.DUMMYFUNCTION("""COMPUTED_VALUE"""),44778.64583333333)</f>
        <v>44778.64583</v>
      </c>
      <c r="B2411" s="1">
        <f>IFERROR(__xludf.DUMMYFUNCTION("""COMPUTED_VALUE"""),3150.0)</f>
        <v>3150</v>
      </c>
      <c r="C2411" s="1">
        <f>IFERROR(__xludf.DUMMYFUNCTION("""COMPUTED_VALUE"""),3195.0)</f>
        <v>3195</v>
      </c>
      <c r="D2411" s="1">
        <f>IFERROR(__xludf.DUMMYFUNCTION("""COMPUTED_VALUE"""),3105.0)</f>
        <v>3105</v>
      </c>
      <c r="E2411" s="1">
        <f>IFERROR(__xludf.DUMMYFUNCTION("""COMPUTED_VALUE"""),3150.0)</f>
        <v>3150</v>
      </c>
      <c r="F2411" s="1">
        <f>IFERROR(__xludf.DUMMYFUNCTION("""COMPUTED_VALUE"""),20794.0)</f>
        <v>20794</v>
      </c>
    </row>
    <row r="2412">
      <c r="A2412" s="2">
        <f>IFERROR(__xludf.DUMMYFUNCTION("""COMPUTED_VALUE"""),44781.64583333333)</f>
        <v>44781.64583</v>
      </c>
      <c r="B2412" s="1">
        <f>IFERROR(__xludf.DUMMYFUNCTION("""COMPUTED_VALUE"""),3150.0)</f>
        <v>3150</v>
      </c>
      <c r="C2412" s="1">
        <f>IFERROR(__xludf.DUMMYFUNCTION("""COMPUTED_VALUE"""),3200.0)</f>
        <v>3200</v>
      </c>
      <c r="D2412" s="1">
        <f>IFERROR(__xludf.DUMMYFUNCTION("""COMPUTED_VALUE"""),3100.0)</f>
        <v>3100</v>
      </c>
      <c r="E2412" s="1">
        <f>IFERROR(__xludf.DUMMYFUNCTION("""COMPUTED_VALUE"""),3100.0)</f>
        <v>3100</v>
      </c>
      <c r="F2412" s="1">
        <f>IFERROR(__xludf.DUMMYFUNCTION("""COMPUTED_VALUE"""),21711.0)</f>
        <v>21711</v>
      </c>
    </row>
    <row r="2413">
      <c r="A2413" s="2">
        <f>IFERROR(__xludf.DUMMYFUNCTION("""COMPUTED_VALUE"""),44782.64583333333)</f>
        <v>44782.64583</v>
      </c>
      <c r="B2413" s="1">
        <f>IFERROR(__xludf.DUMMYFUNCTION("""COMPUTED_VALUE"""),3085.0)</f>
        <v>3085</v>
      </c>
      <c r="C2413" s="1">
        <f>IFERROR(__xludf.DUMMYFUNCTION("""COMPUTED_VALUE"""),3110.0)</f>
        <v>3110</v>
      </c>
      <c r="D2413" s="1">
        <f>IFERROR(__xludf.DUMMYFUNCTION("""COMPUTED_VALUE"""),2985.0)</f>
        <v>2985</v>
      </c>
      <c r="E2413" s="1">
        <f>IFERROR(__xludf.DUMMYFUNCTION("""COMPUTED_VALUE"""),3010.0)</f>
        <v>3010</v>
      </c>
      <c r="F2413" s="1">
        <f>IFERROR(__xludf.DUMMYFUNCTION("""COMPUTED_VALUE"""),121179.0)</f>
        <v>121179</v>
      </c>
    </row>
    <row r="2414">
      <c r="A2414" s="2">
        <f>IFERROR(__xludf.DUMMYFUNCTION("""COMPUTED_VALUE"""),44783.64583333333)</f>
        <v>44783.64583</v>
      </c>
      <c r="B2414" s="1">
        <f>IFERROR(__xludf.DUMMYFUNCTION("""COMPUTED_VALUE"""),3010.0)</f>
        <v>3010</v>
      </c>
      <c r="C2414" s="1">
        <f>IFERROR(__xludf.DUMMYFUNCTION("""COMPUTED_VALUE"""),3035.0)</f>
        <v>3035</v>
      </c>
      <c r="D2414" s="1">
        <f>IFERROR(__xludf.DUMMYFUNCTION("""COMPUTED_VALUE"""),2975.0)</f>
        <v>2975</v>
      </c>
      <c r="E2414" s="1">
        <f>IFERROR(__xludf.DUMMYFUNCTION("""COMPUTED_VALUE"""),2975.0)</f>
        <v>2975</v>
      </c>
      <c r="F2414" s="1">
        <f>IFERROR(__xludf.DUMMYFUNCTION("""COMPUTED_VALUE"""),23518.0)</f>
        <v>23518</v>
      </c>
    </row>
    <row r="2415">
      <c r="A2415" s="2">
        <f>IFERROR(__xludf.DUMMYFUNCTION("""COMPUTED_VALUE"""),44784.64583333333)</f>
        <v>44784.64583</v>
      </c>
      <c r="B2415" s="1">
        <f>IFERROR(__xludf.DUMMYFUNCTION("""COMPUTED_VALUE"""),3010.0)</f>
        <v>3010</v>
      </c>
      <c r="C2415" s="1">
        <f>IFERROR(__xludf.DUMMYFUNCTION("""COMPUTED_VALUE"""),3045.0)</f>
        <v>3045</v>
      </c>
      <c r="D2415" s="1">
        <f>IFERROR(__xludf.DUMMYFUNCTION("""COMPUTED_VALUE"""),2935.0)</f>
        <v>2935</v>
      </c>
      <c r="E2415" s="1">
        <f>IFERROR(__xludf.DUMMYFUNCTION("""COMPUTED_VALUE"""),2975.0)</f>
        <v>2975</v>
      </c>
      <c r="F2415" s="1">
        <f>IFERROR(__xludf.DUMMYFUNCTION("""COMPUTED_VALUE"""),50469.0)</f>
        <v>50469</v>
      </c>
    </row>
    <row r="2416">
      <c r="A2416" s="2">
        <f>IFERROR(__xludf.DUMMYFUNCTION("""COMPUTED_VALUE"""),44785.64583333333)</f>
        <v>44785.64583</v>
      </c>
      <c r="B2416" s="1">
        <f>IFERROR(__xludf.DUMMYFUNCTION("""COMPUTED_VALUE"""),3000.0)</f>
        <v>3000</v>
      </c>
      <c r="C2416" s="1">
        <f>IFERROR(__xludf.DUMMYFUNCTION("""COMPUTED_VALUE"""),3005.0)</f>
        <v>3005</v>
      </c>
      <c r="D2416" s="1">
        <f>IFERROR(__xludf.DUMMYFUNCTION("""COMPUTED_VALUE"""),2825.0)</f>
        <v>2825</v>
      </c>
      <c r="E2416" s="1">
        <f>IFERROR(__xludf.DUMMYFUNCTION("""COMPUTED_VALUE"""),2950.0)</f>
        <v>2950</v>
      </c>
      <c r="F2416" s="1">
        <f>IFERROR(__xludf.DUMMYFUNCTION("""COMPUTED_VALUE"""),128071.0)</f>
        <v>128071</v>
      </c>
    </row>
    <row r="2417">
      <c r="A2417" s="2">
        <f>IFERROR(__xludf.DUMMYFUNCTION("""COMPUTED_VALUE"""),44789.64583333333)</f>
        <v>44789.64583</v>
      </c>
      <c r="B2417" s="1">
        <f>IFERROR(__xludf.DUMMYFUNCTION("""COMPUTED_VALUE"""),2950.0)</f>
        <v>2950</v>
      </c>
      <c r="C2417" s="1">
        <f>IFERROR(__xludf.DUMMYFUNCTION("""COMPUTED_VALUE"""),2950.0)</f>
        <v>2950</v>
      </c>
      <c r="D2417" s="1">
        <f>IFERROR(__xludf.DUMMYFUNCTION("""COMPUTED_VALUE"""),2715.0)</f>
        <v>2715</v>
      </c>
      <c r="E2417" s="1">
        <f>IFERROR(__xludf.DUMMYFUNCTION("""COMPUTED_VALUE"""),2845.0)</f>
        <v>2845</v>
      </c>
      <c r="F2417" s="1">
        <f>IFERROR(__xludf.DUMMYFUNCTION("""COMPUTED_VALUE"""),156215.0)</f>
        <v>156215</v>
      </c>
    </row>
    <row r="2418">
      <c r="A2418" s="2">
        <f>IFERROR(__xludf.DUMMYFUNCTION("""COMPUTED_VALUE"""),44790.64583333333)</f>
        <v>44790.64583</v>
      </c>
      <c r="B2418" s="1">
        <f>IFERROR(__xludf.DUMMYFUNCTION("""COMPUTED_VALUE"""),2850.0)</f>
        <v>2850</v>
      </c>
      <c r="C2418" s="1">
        <f>IFERROR(__xludf.DUMMYFUNCTION("""COMPUTED_VALUE"""),2895.0)</f>
        <v>2895</v>
      </c>
      <c r="D2418" s="1">
        <f>IFERROR(__xludf.DUMMYFUNCTION("""COMPUTED_VALUE"""),2810.0)</f>
        <v>2810</v>
      </c>
      <c r="E2418" s="1">
        <f>IFERROR(__xludf.DUMMYFUNCTION("""COMPUTED_VALUE"""),2870.0)</f>
        <v>2870</v>
      </c>
      <c r="F2418" s="1">
        <f>IFERROR(__xludf.DUMMYFUNCTION("""COMPUTED_VALUE"""),52409.0)</f>
        <v>52409</v>
      </c>
    </row>
    <row r="2419">
      <c r="A2419" s="2">
        <f>IFERROR(__xludf.DUMMYFUNCTION("""COMPUTED_VALUE"""),44791.64583333333)</f>
        <v>44791.64583</v>
      </c>
      <c r="B2419" s="1">
        <f>IFERROR(__xludf.DUMMYFUNCTION("""COMPUTED_VALUE"""),2815.0)</f>
        <v>2815</v>
      </c>
      <c r="C2419" s="1">
        <f>IFERROR(__xludf.DUMMYFUNCTION("""COMPUTED_VALUE"""),2820.0)</f>
        <v>2820</v>
      </c>
      <c r="D2419" s="1">
        <f>IFERROR(__xludf.DUMMYFUNCTION("""COMPUTED_VALUE"""),2710.0)</f>
        <v>2710</v>
      </c>
      <c r="E2419" s="1">
        <f>IFERROR(__xludf.DUMMYFUNCTION("""COMPUTED_VALUE"""),2800.0)</f>
        <v>2800</v>
      </c>
      <c r="F2419" s="1">
        <f>IFERROR(__xludf.DUMMYFUNCTION("""COMPUTED_VALUE"""),105313.0)</f>
        <v>105313</v>
      </c>
    </row>
    <row r="2420">
      <c r="A2420" s="2">
        <f>IFERROR(__xludf.DUMMYFUNCTION("""COMPUTED_VALUE"""),44792.64583333333)</f>
        <v>44792.64583</v>
      </c>
      <c r="B2420" s="1">
        <f>IFERROR(__xludf.DUMMYFUNCTION("""COMPUTED_VALUE"""),2785.0)</f>
        <v>2785</v>
      </c>
      <c r="C2420" s="1">
        <f>IFERROR(__xludf.DUMMYFUNCTION("""COMPUTED_VALUE"""),2885.0)</f>
        <v>2885</v>
      </c>
      <c r="D2420" s="1">
        <f>IFERROR(__xludf.DUMMYFUNCTION("""COMPUTED_VALUE"""),2785.0)</f>
        <v>2785</v>
      </c>
      <c r="E2420" s="1">
        <f>IFERROR(__xludf.DUMMYFUNCTION("""COMPUTED_VALUE"""),2875.0)</f>
        <v>2875</v>
      </c>
      <c r="F2420" s="1">
        <f>IFERROR(__xludf.DUMMYFUNCTION("""COMPUTED_VALUE"""),26411.0)</f>
        <v>26411</v>
      </c>
    </row>
    <row r="2421">
      <c r="A2421" s="2">
        <f>IFERROR(__xludf.DUMMYFUNCTION("""COMPUTED_VALUE"""),44795.64583333333)</f>
        <v>44795.64583</v>
      </c>
      <c r="B2421" s="1">
        <f>IFERROR(__xludf.DUMMYFUNCTION("""COMPUTED_VALUE"""),2860.0)</f>
        <v>2860</v>
      </c>
      <c r="C2421" s="1">
        <f>IFERROR(__xludf.DUMMYFUNCTION("""COMPUTED_VALUE"""),2870.0)</f>
        <v>2870</v>
      </c>
      <c r="D2421" s="1">
        <f>IFERROR(__xludf.DUMMYFUNCTION("""COMPUTED_VALUE"""),2790.0)</f>
        <v>2790</v>
      </c>
      <c r="E2421" s="1">
        <f>IFERROR(__xludf.DUMMYFUNCTION("""COMPUTED_VALUE"""),2860.0)</f>
        <v>2860</v>
      </c>
      <c r="F2421" s="1">
        <f>IFERROR(__xludf.DUMMYFUNCTION("""COMPUTED_VALUE"""),27540.0)</f>
        <v>27540</v>
      </c>
    </row>
    <row r="2422">
      <c r="A2422" s="2">
        <f>IFERROR(__xludf.DUMMYFUNCTION("""COMPUTED_VALUE"""),44796.64583333333)</f>
        <v>44796.64583</v>
      </c>
      <c r="B2422" s="1">
        <f>IFERROR(__xludf.DUMMYFUNCTION("""COMPUTED_VALUE"""),2845.0)</f>
        <v>2845</v>
      </c>
      <c r="C2422" s="1">
        <f>IFERROR(__xludf.DUMMYFUNCTION("""COMPUTED_VALUE"""),2845.0)</f>
        <v>2845</v>
      </c>
      <c r="D2422" s="1">
        <f>IFERROR(__xludf.DUMMYFUNCTION("""COMPUTED_VALUE"""),2755.0)</f>
        <v>2755</v>
      </c>
      <c r="E2422" s="1">
        <f>IFERROR(__xludf.DUMMYFUNCTION("""COMPUTED_VALUE"""),2755.0)</f>
        <v>2755</v>
      </c>
      <c r="F2422" s="1">
        <f>IFERROR(__xludf.DUMMYFUNCTION("""COMPUTED_VALUE"""),30219.0)</f>
        <v>30219</v>
      </c>
    </row>
    <row r="2423">
      <c r="A2423" s="2">
        <f>IFERROR(__xludf.DUMMYFUNCTION("""COMPUTED_VALUE"""),44797.64583333333)</f>
        <v>44797.64583</v>
      </c>
      <c r="B2423" s="1">
        <f>IFERROR(__xludf.DUMMYFUNCTION("""COMPUTED_VALUE"""),2755.0)</f>
        <v>2755</v>
      </c>
      <c r="C2423" s="1">
        <f>IFERROR(__xludf.DUMMYFUNCTION("""COMPUTED_VALUE"""),2825.0)</f>
        <v>2825</v>
      </c>
      <c r="D2423" s="1">
        <f>IFERROR(__xludf.DUMMYFUNCTION("""COMPUTED_VALUE"""),2730.0)</f>
        <v>2730</v>
      </c>
      <c r="E2423" s="1">
        <f>IFERROR(__xludf.DUMMYFUNCTION("""COMPUTED_VALUE"""),2790.0)</f>
        <v>2790</v>
      </c>
      <c r="F2423" s="1">
        <f>IFERROR(__xludf.DUMMYFUNCTION("""COMPUTED_VALUE"""),30787.0)</f>
        <v>30787</v>
      </c>
    </row>
    <row r="2424">
      <c r="A2424" s="2">
        <f>IFERROR(__xludf.DUMMYFUNCTION("""COMPUTED_VALUE"""),44798.64583333333)</f>
        <v>44798.64583</v>
      </c>
      <c r="B2424" s="1">
        <f>IFERROR(__xludf.DUMMYFUNCTION("""COMPUTED_VALUE"""),2790.0)</f>
        <v>2790</v>
      </c>
      <c r="C2424" s="1">
        <f>IFERROR(__xludf.DUMMYFUNCTION("""COMPUTED_VALUE"""),2870.0)</f>
        <v>2870</v>
      </c>
      <c r="D2424" s="1">
        <f>IFERROR(__xludf.DUMMYFUNCTION("""COMPUTED_VALUE"""),2780.0)</f>
        <v>2780</v>
      </c>
      <c r="E2424" s="1">
        <f>IFERROR(__xludf.DUMMYFUNCTION("""COMPUTED_VALUE"""),2800.0)</f>
        <v>2800</v>
      </c>
      <c r="F2424" s="1">
        <f>IFERROR(__xludf.DUMMYFUNCTION("""COMPUTED_VALUE"""),39601.0)</f>
        <v>39601</v>
      </c>
    </row>
    <row r="2425">
      <c r="A2425" s="2">
        <f>IFERROR(__xludf.DUMMYFUNCTION("""COMPUTED_VALUE"""),44799.64583333333)</f>
        <v>44799.64583</v>
      </c>
      <c r="B2425" s="1">
        <f>IFERROR(__xludf.DUMMYFUNCTION("""COMPUTED_VALUE"""),2815.0)</f>
        <v>2815</v>
      </c>
      <c r="C2425" s="1">
        <f>IFERROR(__xludf.DUMMYFUNCTION("""COMPUTED_VALUE"""),2900.0)</f>
        <v>2900</v>
      </c>
      <c r="D2425" s="1">
        <f>IFERROR(__xludf.DUMMYFUNCTION("""COMPUTED_VALUE"""),2800.0)</f>
        <v>2800</v>
      </c>
      <c r="E2425" s="1">
        <f>IFERROR(__xludf.DUMMYFUNCTION("""COMPUTED_VALUE"""),2840.0)</f>
        <v>2840</v>
      </c>
      <c r="F2425" s="1">
        <f>IFERROR(__xludf.DUMMYFUNCTION("""COMPUTED_VALUE"""),22557.0)</f>
        <v>22557</v>
      </c>
    </row>
    <row r="2426">
      <c r="A2426" s="2">
        <f>IFERROR(__xludf.DUMMYFUNCTION("""COMPUTED_VALUE"""),44802.64583333333)</f>
        <v>44802.64583</v>
      </c>
      <c r="B2426" s="1">
        <f>IFERROR(__xludf.DUMMYFUNCTION("""COMPUTED_VALUE"""),2710.0)</f>
        <v>2710</v>
      </c>
      <c r="C2426" s="1">
        <f>IFERROR(__xludf.DUMMYFUNCTION("""COMPUTED_VALUE"""),2840.0)</f>
        <v>2840</v>
      </c>
      <c r="D2426" s="1">
        <f>IFERROR(__xludf.DUMMYFUNCTION("""COMPUTED_VALUE"""),2675.0)</f>
        <v>2675</v>
      </c>
      <c r="E2426" s="1">
        <f>IFERROR(__xludf.DUMMYFUNCTION("""COMPUTED_VALUE"""),2700.0)</f>
        <v>2700</v>
      </c>
      <c r="F2426" s="1">
        <f>IFERROR(__xludf.DUMMYFUNCTION("""COMPUTED_VALUE"""),41226.0)</f>
        <v>41226</v>
      </c>
    </row>
    <row r="2427">
      <c r="A2427" s="2">
        <f>IFERROR(__xludf.DUMMYFUNCTION("""COMPUTED_VALUE"""),44803.64583333333)</f>
        <v>44803.64583</v>
      </c>
      <c r="B2427" s="1">
        <f>IFERROR(__xludf.DUMMYFUNCTION("""COMPUTED_VALUE"""),2700.0)</f>
        <v>2700</v>
      </c>
      <c r="C2427" s="1">
        <f>IFERROR(__xludf.DUMMYFUNCTION("""COMPUTED_VALUE"""),2850.0)</f>
        <v>2850</v>
      </c>
      <c r="D2427" s="1">
        <f>IFERROR(__xludf.DUMMYFUNCTION("""COMPUTED_VALUE"""),2675.0)</f>
        <v>2675</v>
      </c>
      <c r="E2427" s="1">
        <f>IFERROR(__xludf.DUMMYFUNCTION("""COMPUTED_VALUE"""),2820.0)</f>
        <v>2820</v>
      </c>
      <c r="F2427" s="1">
        <f>IFERROR(__xludf.DUMMYFUNCTION("""COMPUTED_VALUE"""),46409.0)</f>
        <v>46409</v>
      </c>
    </row>
    <row r="2428">
      <c r="A2428" s="2">
        <f>IFERROR(__xludf.DUMMYFUNCTION("""COMPUTED_VALUE"""),44804.64583333333)</f>
        <v>44804.64583</v>
      </c>
      <c r="B2428" s="1">
        <f>IFERROR(__xludf.DUMMYFUNCTION("""COMPUTED_VALUE"""),2855.0)</f>
        <v>2855</v>
      </c>
      <c r="C2428" s="1">
        <f>IFERROR(__xludf.DUMMYFUNCTION("""COMPUTED_VALUE"""),3010.0)</f>
        <v>3010</v>
      </c>
      <c r="D2428" s="1">
        <f>IFERROR(__xludf.DUMMYFUNCTION("""COMPUTED_VALUE"""),2790.0)</f>
        <v>2790</v>
      </c>
      <c r="E2428" s="1">
        <f>IFERROR(__xludf.DUMMYFUNCTION("""COMPUTED_VALUE"""),3010.0)</f>
        <v>3010</v>
      </c>
      <c r="F2428" s="1">
        <f>IFERROR(__xludf.DUMMYFUNCTION("""COMPUTED_VALUE"""),213933.0)</f>
        <v>213933</v>
      </c>
    </row>
    <row r="2429">
      <c r="A2429" s="2">
        <f>IFERROR(__xludf.DUMMYFUNCTION("""COMPUTED_VALUE"""),44805.64583333333)</f>
        <v>44805.64583</v>
      </c>
      <c r="B2429" s="1">
        <f>IFERROR(__xludf.DUMMYFUNCTION("""COMPUTED_VALUE"""),3010.0)</f>
        <v>3010</v>
      </c>
      <c r="C2429" s="1">
        <f>IFERROR(__xludf.DUMMYFUNCTION("""COMPUTED_VALUE"""),3020.0)</f>
        <v>3020</v>
      </c>
      <c r="D2429" s="1">
        <f>IFERROR(__xludf.DUMMYFUNCTION("""COMPUTED_VALUE"""),2915.0)</f>
        <v>2915</v>
      </c>
      <c r="E2429" s="1">
        <f>IFERROR(__xludf.DUMMYFUNCTION("""COMPUTED_VALUE"""),3000.0)</f>
        <v>3000</v>
      </c>
      <c r="F2429" s="1">
        <f>IFERROR(__xludf.DUMMYFUNCTION("""COMPUTED_VALUE"""),59882.0)</f>
        <v>59882</v>
      </c>
    </row>
    <row r="2430">
      <c r="A2430" s="2">
        <f>IFERROR(__xludf.DUMMYFUNCTION("""COMPUTED_VALUE"""),44806.64583333333)</f>
        <v>44806.64583</v>
      </c>
      <c r="B2430" s="1">
        <f>IFERROR(__xludf.DUMMYFUNCTION("""COMPUTED_VALUE"""),3090.0)</f>
        <v>3090</v>
      </c>
      <c r="C2430" s="1">
        <f>IFERROR(__xludf.DUMMYFUNCTION("""COMPUTED_VALUE"""),3125.0)</f>
        <v>3125</v>
      </c>
      <c r="D2430" s="1">
        <f>IFERROR(__xludf.DUMMYFUNCTION("""COMPUTED_VALUE"""),3005.0)</f>
        <v>3005</v>
      </c>
      <c r="E2430" s="1">
        <f>IFERROR(__xludf.DUMMYFUNCTION("""COMPUTED_VALUE"""),3080.0)</f>
        <v>3080</v>
      </c>
      <c r="F2430" s="1">
        <f>IFERROR(__xludf.DUMMYFUNCTION("""COMPUTED_VALUE"""),153037.0)</f>
        <v>153037</v>
      </c>
    </row>
    <row r="2431">
      <c r="A2431" s="2">
        <f>IFERROR(__xludf.DUMMYFUNCTION("""COMPUTED_VALUE"""),44809.64583333333)</f>
        <v>44809.64583</v>
      </c>
      <c r="B2431" s="1">
        <f>IFERROR(__xludf.DUMMYFUNCTION("""COMPUTED_VALUE"""),3065.0)</f>
        <v>3065</v>
      </c>
      <c r="C2431" s="1">
        <f>IFERROR(__xludf.DUMMYFUNCTION("""COMPUTED_VALUE"""),3215.0)</f>
        <v>3215</v>
      </c>
      <c r="D2431" s="1">
        <f>IFERROR(__xludf.DUMMYFUNCTION("""COMPUTED_VALUE"""),3065.0)</f>
        <v>3065</v>
      </c>
      <c r="E2431" s="1">
        <f>IFERROR(__xludf.DUMMYFUNCTION("""COMPUTED_VALUE"""),3150.0)</f>
        <v>3150</v>
      </c>
      <c r="F2431" s="1">
        <f>IFERROR(__xludf.DUMMYFUNCTION("""COMPUTED_VALUE"""),109970.0)</f>
        <v>109970</v>
      </c>
    </row>
    <row r="2432">
      <c r="A2432" s="2">
        <f>IFERROR(__xludf.DUMMYFUNCTION("""COMPUTED_VALUE"""),44810.64583333333)</f>
        <v>44810.64583</v>
      </c>
      <c r="B2432" s="1">
        <f>IFERROR(__xludf.DUMMYFUNCTION("""COMPUTED_VALUE"""),3230.0)</f>
        <v>3230</v>
      </c>
      <c r="C2432" s="1">
        <f>IFERROR(__xludf.DUMMYFUNCTION("""COMPUTED_VALUE"""),3325.0)</f>
        <v>3325</v>
      </c>
      <c r="D2432" s="1">
        <f>IFERROR(__xludf.DUMMYFUNCTION("""COMPUTED_VALUE"""),3175.0)</f>
        <v>3175</v>
      </c>
      <c r="E2432" s="1">
        <f>IFERROR(__xludf.DUMMYFUNCTION("""COMPUTED_VALUE"""),3285.0)</f>
        <v>3285</v>
      </c>
      <c r="F2432" s="1">
        <f>IFERROR(__xludf.DUMMYFUNCTION("""COMPUTED_VALUE"""),85260.0)</f>
        <v>85260</v>
      </c>
    </row>
    <row r="2433">
      <c r="A2433" s="2">
        <f>IFERROR(__xludf.DUMMYFUNCTION("""COMPUTED_VALUE"""),44811.64583333333)</f>
        <v>44811.64583</v>
      </c>
      <c r="B2433" s="1">
        <f>IFERROR(__xludf.DUMMYFUNCTION("""COMPUTED_VALUE"""),3350.0)</f>
        <v>3350</v>
      </c>
      <c r="C2433" s="1">
        <f>IFERROR(__xludf.DUMMYFUNCTION("""COMPUTED_VALUE"""),3350.0)</f>
        <v>3350</v>
      </c>
      <c r="D2433" s="1">
        <f>IFERROR(__xludf.DUMMYFUNCTION("""COMPUTED_VALUE"""),3200.0)</f>
        <v>3200</v>
      </c>
      <c r="E2433" s="1">
        <f>IFERROR(__xludf.DUMMYFUNCTION("""COMPUTED_VALUE"""),3290.0)</f>
        <v>3290</v>
      </c>
      <c r="F2433" s="1">
        <f>IFERROR(__xludf.DUMMYFUNCTION("""COMPUTED_VALUE"""),55832.0)</f>
        <v>55832</v>
      </c>
    </row>
    <row r="2434">
      <c r="A2434" s="2">
        <f>IFERROR(__xludf.DUMMYFUNCTION("""COMPUTED_VALUE"""),44812.64583333333)</f>
        <v>44812.64583</v>
      </c>
      <c r="B2434" s="1">
        <f>IFERROR(__xludf.DUMMYFUNCTION("""COMPUTED_VALUE"""),3265.0)</f>
        <v>3265</v>
      </c>
      <c r="C2434" s="1">
        <f>IFERROR(__xludf.DUMMYFUNCTION("""COMPUTED_VALUE"""),3350.0)</f>
        <v>3350</v>
      </c>
      <c r="D2434" s="1">
        <f>IFERROR(__xludf.DUMMYFUNCTION("""COMPUTED_VALUE"""),3260.0)</f>
        <v>3260</v>
      </c>
      <c r="E2434" s="1">
        <f>IFERROR(__xludf.DUMMYFUNCTION("""COMPUTED_VALUE"""),3290.0)</f>
        <v>3290</v>
      </c>
      <c r="F2434" s="1">
        <f>IFERROR(__xludf.DUMMYFUNCTION("""COMPUTED_VALUE"""),75861.0)</f>
        <v>75861</v>
      </c>
    </row>
    <row r="2435">
      <c r="A2435" s="2">
        <f>IFERROR(__xludf.DUMMYFUNCTION("""COMPUTED_VALUE"""),44817.64583333333)</f>
        <v>44817.64583</v>
      </c>
      <c r="B2435" s="1">
        <f>IFERROR(__xludf.DUMMYFUNCTION("""COMPUTED_VALUE"""),3320.0)</f>
        <v>3320</v>
      </c>
      <c r="C2435" s="1">
        <f>IFERROR(__xludf.DUMMYFUNCTION("""COMPUTED_VALUE"""),3380.0)</f>
        <v>3380</v>
      </c>
      <c r="D2435" s="1">
        <f>IFERROR(__xludf.DUMMYFUNCTION("""COMPUTED_VALUE"""),3280.0)</f>
        <v>3280</v>
      </c>
      <c r="E2435" s="1">
        <f>IFERROR(__xludf.DUMMYFUNCTION("""COMPUTED_VALUE"""),3380.0)</f>
        <v>3380</v>
      </c>
      <c r="F2435" s="1">
        <f>IFERROR(__xludf.DUMMYFUNCTION("""COMPUTED_VALUE"""),59778.0)</f>
        <v>59778</v>
      </c>
    </row>
    <row r="2436">
      <c r="A2436" s="2">
        <f>IFERROR(__xludf.DUMMYFUNCTION("""COMPUTED_VALUE"""),44818.64583333333)</f>
        <v>44818.64583</v>
      </c>
      <c r="B2436" s="1">
        <f>IFERROR(__xludf.DUMMYFUNCTION("""COMPUTED_VALUE"""),3355.0)</f>
        <v>3355</v>
      </c>
      <c r="C2436" s="1">
        <f>IFERROR(__xludf.DUMMYFUNCTION("""COMPUTED_VALUE"""),3590.0)</f>
        <v>3590</v>
      </c>
      <c r="D2436" s="1">
        <f>IFERROR(__xludf.DUMMYFUNCTION("""COMPUTED_VALUE"""),3120.0)</f>
        <v>3120</v>
      </c>
      <c r="E2436" s="1">
        <f>IFERROR(__xludf.DUMMYFUNCTION("""COMPUTED_VALUE"""),3180.0)</f>
        <v>3180</v>
      </c>
      <c r="F2436" s="1">
        <f>IFERROR(__xludf.DUMMYFUNCTION("""COMPUTED_VALUE"""),389133.0)</f>
        <v>389133</v>
      </c>
    </row>
    <row r="2437">
      <c r="A2437" s="2">
        <f>IFERROR(__xludf.DUMMYFUNCTION("""COMPUTED_VALUE"""),44819.64583333333)</f>
        <v>44819.64583</v>
      </c>
      <c r="B2437" s="1">
        <f>IFERROR(__xludf.DUMMYFUNCTION("""COMPUTED_VALUE"""),3155.0)</f>
        <v>3155</v>
      </c>
      <c r="C2437" s="1">
        <f>IFERROR(__xludf.DUMMYFUNCTION("""COMPUTED_VALUE"""),3245.0)</f>
        <v>3245</v>
      </c>
      <c r="D2437" s="1">
        <f>IFERROR(__xludf.DUMMYFUNCTION("""COMPUTED_VALUE"""),3155.0)</f>
        <v>3155</v>
      </c>
      <c r="E2437" s="1">
        <f>IFERROR(__xludf.DUMMYFUNCTION("""COMPUTED_VALUE"""),3200.0)</f>
        <v>3200</v>
      </c>
      <c r="F2437" s="1">
        <f>IFERROR(__xludf.DUMMYFUNCTION("""COMPUTED_VALUE"""),23266.0)</f>
        <v>23266</v>
      </c>
    </row>
    <row r="2438">
      <c r="A2438" s="2">
        <f>IFERROR(__xludf.DUMMYFUNCTION("""COMPUTED_VALUE"""),44820.64583333333)</f>
        <v>44820.64583</v>
      </c>
      <c r="B2438" s="1">
        <f>IFERROR(__xludf.DUMMYFUNCTION("""COMPUTED_VALUE"""),3200.0)</f>
        <v>3200</v>
      </c>
      <c r="C2438" s="1">
        <f>IFERROR(__xludf.DUMMYFUNCTION("""COMPUTED_VALUE"""),3265.0)</f>
        <v>3265</v>
      </c>
      <c r="D2438" s="1">
        <f>IFERROR(__xludf.DUMMYFUNCTION("""COMPUTED_VALUE"""),3055.0)</f>
        <v>3055</v>
      </c>
      <c r="E2438" s="1">
        <f>IFERROR(__xludf.DUMMYFUNCTION("""COMPUTED_VALUE"""),3180.0)</f>
        <v>3180</v>
      </c>
      <c r="F2438" s="1">
        <f>IFERROR(__xludf.DUMMYFUNCTION("""COMPUTED_VALUE"""),41123.0)</f>
        <v>41123</v>
      </c>
    </row>
    <row r="2439">
      <c r="A2439" s="2">
        <f>IFERROR(__xludf.DUMMYFUNCTION("""COMPUTED_VALUE"""),44823.64583333333)</f>
        <v>44823.64583</v>
      </c>
      <c r="B2439" s="1">
        <f>IFERROR(__xludf.DUMMYFUNCTION("""COMPUTED_VALUE"""),3170.0)</f>
        <v>3170</v>
      </c>
      <c r="C2439" s="1">
        <f>IFERROR(__xludf.DUMMYFUNCTION("""COMPUTED_VALUE"""),3295.0)</f>
        <v>3295</v>
      </c>
      <c r="D2439" s="1">
        <f>IFERROR(__xludf.DUMMYFUNCTION("""COMPUTED_VALUE"""),3140.0)</f>
        <v>3140</v>
      </c>
      <c r="E2439" s="1">
        <f>IFERROR(__xludf.DUMMYFUNCTION("""COMPUTED_VALUE"""),3225.0)</f>
        <v>3225</v>
      </c>
      <c r="F2439" s="1">
        <f>IFERROR(__xludf.DUMMYFUNCTION("""COMPUTED_VALUE"""),35958.0)</f>
        <v>35958</v>
      </c>
    </row>
    <row r="2440">
      <c r="A2440" s="2">
        <f>IFERROR(__xludf.DUMMYFUNCTION("""COMPUTED_VALUE"""),44824.64583333333)</f>
        <v>44824.64583</v>
      </c>
      <c r="B2440" s="1">
        <f>IFERROR(__xludf.DUMMYFUNCTION("""COMPUTED_VALUE"""),3250.0)</f>
        <v>3250</v>
      </c>
      <c r="C2440" s="1">
        <f>IFERROR(__xludf.DUMMYFUNCTION("""COMPUTED_VALUE"""),3425.0)</f>
        <v>3425</v>
      </c>
      <c r="D2440" s="1">
        <f>IFERROR(__xludf.DUMMYFUNCTION("""COMPUTED_VALUE"""),3200.0)</f>
        <v>3200</v>
      </c>
      <c r="E2440" s="1">
        <f>IFERROR(__xludf.DUMMYFUNCTION("""COMPUTED_VALUE"""),3345.0)</f>
        <v>3345</v>
      </c>
      <c r="F2440" s="1">
        <f>IFERROR(__xludf.DUMMYFUNCTION("""COMPUTED_VALUE"""),138652.0)</f>
        <v>138652</v>
      </c>
    </row>
    <row r="2441">
      <c r="A2441" s="2">
        <f>IFERROR(__xludf.DUMMYFUNCTION("""COMPUTED_VALUE"""),44825.64583333333)</f>
        <v>44825.64583</v>
      </c>
      <c r="B2441" s="1">
        <f>IFERROR(__xludf.DUMMYFUNCTION("""COMPUTED_VALUE"""),3355.0)</f>
        <v>3355</v>
      </c>
      <c r="C2441" s="1">
        <f>IFERROR(__xludf.DUMMYFUNCTION("""COMPUTED_VALUE"""),3555.0)</f>
        <v>3555</v>
      </c>
      <c r="D2441" s="1">
        <f>IFERROR(__xludf.DUMMYFUNCTION("""COMPUTED_VALUE"""),3355.0)</f>
        <v>3355</v>
      </c>
      <c r="E2441" s="1">
        <f>IFERROR(__xludf.DUMMYFUNCTION("""COMPUTED_VALUE"""),3490.0)</f>
        <v>3490</v>
      </c>
      <c r="F2441" s="1">
        <f>IFERROR(__xludf.DUMMYFUNCTION("""COMPUTED_VALUE"""),127256.0)</f>
        <v>127256</v>
      </c>
    </row>
    <row r="2442">
      <c r="A2442" s="2">
        <f>IFERROR(__xludf.DUMMYFUNCTION("""COMPUTED_VALUE"""),44826.64583333333)</f>
        <v>44826.64583</v>
      </c>
      <c r="B2442" s="1">
        <f>IFERROR(__xludf.DUMMYFUNCTION("""COMPUTED_VALUE"""),3490.0)</f>
        <v>3490</v>
      </c>
      <c r="C2442" s="1">
        <f>IFERROR(__xludf.DUMMYFUNCTION("""COMPUTED_VALUE"""),3580.0)</f>
        <v>3580</v>
      </c>
      <c r="D2442" s="1">
        <f>IFERROR(__xludf.DUMMYFUNCTION("""COMPUTED_VALUE"""),3395.0)</f>
        <v>3395</v>
      </c>
      <c r="E2442" s="1">
        <f>IFERROR(__xludf.DUMMYFUNCTION("""COMPUTED_VALUE"""),3530.0)</f>
        <v>3530</v>
      </c>
      <c r="F2442" s="1">
        <f>IFERROR(__xludf.DUMMYFUNCTION("""COMPUTED_VALUE"""),64484.0)</f>
        <v>64484</v>
      </c>
    </row>
    <row r="2443">
      <c r="A2443" s="2">
        <f>IFERROR(__xludf.DUMMYFUNCTION("""COMPUTED_VALUE"""),44827.64583333333)</f>
        <v>44827.64583</v>
      </c>
      <c r="B2443" s="1">
        <f>IFERROR(__xludf.DUMMYFUNCTION("""COMPUTED_VALUE"""),3580.0)</f>
        <v>3580</v>
      </c>
      <c r="C2443" s="1">
        <f>IFERROR(__xludf.DUMMYFUNCTION("""COMPUTED_VALUE"""),3580.0)</f>
        <v>3580</v>
      </c>
      <c r="D2443" s="1">
        <f>IFERROR(__xludf.DUMMYFUNCTION("""COMPUTED_VALUE"""),3440.0)</f>
        <v>3440</v>
      </c>
      <c r="E2443" s="1">
        <f>IFERROR(__xludf.DUMMYFUNCTION("""COMPUTED_VALUE"""),3480.0)</f>
        <v>3480</v>
      </c>
      <c r="F2443" s="1">
        <f>IFERROR(__xludf.DUMMYFUNCTION("""COMPUTED_VALUE"""),35246.0)</f>
        <v>35246</v>
      </c>
    </row>
    <row r="2444">
      <c r="A2444" s="2">
        <f>IFERROR(__xludf.DUMMYFUNCTION("""COMPUTED_VALUE"""),44830.64583333333)</f>
        <v>44830.64583</v>
      </c>
      <c r="B2444" s="1">
        <f>IFERROR(__xludf.DUMMYFUNCTION("""COMPUTED_VALUE"""),3485.0)</f>
        <v>3485</v>
      </c>
      <c r="C2444" s="1">
        <f>IFERROR(__xludf.DUMMYFUNCTION("""COMPUTED_VALUE"""),3485.0)</f>
        <v>3485</v>
      </c>
      <c r="D2444" s="1">
        <f>IFERROR(__xludf.DUMMYFUNCTION("""COMPUTED_VALUE"""),3310.0)</f>
        <v>3310</v>
      </c>
      <c r="E2444" s="1">
        <f>IFERROR(__xludf.DUMMYFUNCTION("""COMPUTED_VALUE"""),3400.0)</f>
        <v>3400</v>
      </c>
      <c r="F2444" s="1">
        <f>IFERROR(__xludf.DUMMYFUNCTION("""COMPUTED_VALUE"""),67101.0)</f>
        <v>67101</v>
      </c>
    </row>
    <row r="2445">
      <c r="A2445" s="2">
        <f>IFERROR(__xludf.DUMMYFUNCTION("""COMPUTED_VALUE"""),44831.64583333333)</f>
        <v>44831.64583</v>
      </c>
      <c r="B2445" s="1">
        <f>IFERROR(__xludf.DUMMYFUNCTION("""COMPUTED_VALUE"""),3355.0)</f>
        <v>3355</v>
      </c>
      <c r="C2445" s="1">
        <f>IFERROR(__xludf.DUMMYFUNCTION("""COMPUTED_VALUE"""),3355.0)</f>
        <v>3355</v>
      </c>
      <c r="D2445" s="1">
        <f>IFERROR(__xludf.DUMMYFUNCTION("""COMPUTED_VALUE"""),3210.0)</f>
        <v>3210</v>
      </c>
      <c r="E2445" s="1">
        <f>IFERROR(__xludf.DUMMYFUNCTION("""COMPUTED_VALUE"""),3295.0)</f>
        <v>3295</v>
      </c>
      <c r="F2445" s="1">
        <f>IFERROR(__xludf.DUMMYFUNCTION("""COMPUTED_VALUE"""),58044.0)</f>
        <v>58044</v>
      </c>
    </row>
    <row r="2446">
      <c r="A2446" s="2">
        <f>IFERROR(__xludf.DUMMYFUNCTION("""COMPUTED_VALUE"""),44832.64583333333)</f>
        <v>44832.64583</v>
      </c>
      <c r="B2446" s="1">
        <f>IFERROR(__xludf.DUMMYFUNCTION("""COMPUTED_VALUE"""),3175.0)</f>
        <v>3175</v>
      </c>
      <c r="C2446" s="1">
        <f>IFERROR(__xludf.DUMMYFUNCTION("""COMPUTED_VALUE"""),3315.0)</f>
        <v>3315</v>
      </c>
      <c r="D2446" s="1">
        <f>IFERROR(__xludf.DUMMYFUNCTION("""COMPUTED_VALUE"""),2930.0)</f>
        <v>2930</v>
      </c>
      <c r="E2446" s="1">
        <f>IFERROR(__xludf.DUMMYFUNCTION("""COMPUTED_VALUE"""),3115.0)</f>
        <v>3115</v>
      </c>
      <c r="F2446" s="1">
        <f>IFERROR(__xludf.DUMMYFUNCTION("""COMPUTED_VALUE"""),59120.0)</f>
        <v>59120</v>
      </c>
    </row>
    <row r="2447">
      <c r="A2447" s="2">
        <f>IFERROR(__xludf.DUMMYFUNCTION("""COMPUTED_VALUE"""),44833.64583333333)</f>
        <v>44833.64583</v>
      </c>
      <c r="B2447" s="1">
        <f>IFERROR(__xludf.DUMMYFUNCTION("""COMPUTED_VALUE"""),3135.0)</f>
        <v>3135</v>
      </c>
      <c r="C2447" s="1">
        <f>IFERROR(__xludf.DUMMYFUNCTION("""COMPUTED_VALUE"""),3245.0)</f>
        <v>3245</v>
      </c>
      <c r="D2447" s="1">
        <f>IFERROR(__xludf.DUMMYFUNCTION("""COMPUTED_VALUE"""),3135.0)</f>
        <v>3135</v>
      </c>
      <c r="E2447" s="1">
        <f>IFERROR(__xludf.DUMMYFUNCTION("""COMPUTED_VALUE"""),3185.0)</f>
        <v>3185</v>
      </c>
      <c r="F2447" s="1">
        <f>IFERROR(__xludf.DUMMYFUNCTION("""COMPUTED_VALUE"""),41536.0)</f>
        <v>41536</v>
      </c>
    </row>
    <row r="2448">
      <c r="A2448" s="2">
        <f>IFERROR(__xludf.DUMMYFUNCTION("""COMPUTED_VALUE"""),44834.64583333333)</f>
        <v>44834.64583</v>
      </c>
      <c r="B2448" s="1">
        <f>IFERROR(__xludf.DUMMYFUNCTION("""COMPUTED_VALUE"""),3085.0)</f>
        <v>3085</v>
      </c>
      <c r="C2448" s="1">
        <f>IFERROR(__xludf.DUMMYFUNCTION("""COMPUTED_VALUE"""),3345.0)</f>
        <v>3345</v>
      </c>
      <c r="D2448" s="1">
        <f>IFERROR(__xludf.DUMMYFUNCTION("""COMPUTED_VALUE"""),3055.0)</f>
        <v>3055</v>
      </c>
      <c r="E2448" s="1">
        <f>IFERROR(__xludf.DUMMYFUNCTION("""COMPUTED_VALUE"""),3295.0)</f>
        <v>3295</v>
      </c>
      <c r="F2448" s="1">
        <f>IFERROR(__xludf.DUMMYFUNCTION("""COMPUTED_VALUE"""),70791.0)</f>
        <v>70791</v>
      </c>
    </row>
    <row r="2449">
      <c r="A2449" s="2">
        <f>IFERROR(__xludf.DUMMYFUNCTION("""COMPUTED_VALUE"""),44838.64583333333)</f>
        <v>44838.64583</v>
      </c>
      <c r="B2449" s="1">
        <f>IFERROR(__xludf.DUMMYFUNCTION("""COMPUTED_VALUE"""),3295.0)</f>
        <v>3295</v>
      </c>
      <c r="C2449" s="1">
        <f>IFERROR(__xludf.DUMMYFUNCTION("""COMPUTED_VALUE"""),3975.0)</f>
        <v>3975</v>
      </c>
      <c r="D2449" s="1">
        <f>IFERROR(__xludf.DUMMYFUNCTION("""COMPUTED_VALUE"""),3260.0)</f>
        <v>3260</v>
      </c>
      <c r="E2449" s="1">
        <f>IFERROR(__xludf.DUMMYFUNCTION("""COMPUTED_VALUE"""),3435.0)</f>
        <v>3435</v>
      </c>
      <c r="F2449" s="1">
        <f>IFERROR(__xludf.DUMMYFUNCTION("""COMPUTED_VALUE"""),2048056.0)</f>
        <v>2048056</v>
      </c>
    </row>
    <row r="2450">
      <c r="A2450" s="2">
        <f>IFERROR(__xludf.DUMMYFUNCTION("""COMPUTED_VALUE"""),44839.64583333333)</f>
        <v>44839.64583</v>
      </c>
      <c r="B2450" s="1">
        <f>IFERROR(__xludf.DUMMYFUNCTION("""COMPUTED_VALUE"""),3490.0)</f>
        <v>3490</v>
      </c>
      <c r="C2450" s="1">
        <f>IFERROR(__xludf.DUMMYFUNCTION("""COMPUTED_VALUE"""),3490.0)</f>
        <v>3490</v>
      </c>
      <c r="D2450" s="1">
        <f>IFERROR(__xludf.DUMMYFUNCTION("""COMPUTED_VALUE"""),3350.0)</f>
        <v>3350</v>
      </c>
      <c r="E2450" s="1">
        <f>IFERROR(__xludf.DUMMYFUNCTION("""COMPUTED_VALUE"""),3420.0)</f>
        <v>3420</v>
      </c>
      <c r="F2450" s="1">
        <f>IFERROR(__xludf.DUMMYFUNCTION("""COMPUTED_VALUE"""),211221.0)</f>
        <v>211221</v>
      </c>
    </row>
    <row r="2451">
      <c r="A2451" s="2">
        <f>IFERROR(__xludf.DUMMYFUNCTION("""COMPUTED_VALUE"""),44840.64583333333)</f>
        <v>44840.64583</v>
      </c>
      <c r="B2451" s="1">
        <f>IFERROR(__xludf.DUMMYFUNCTION("""COMPUTED_VALUE"""),3420.0)</f>
        <v>3420</v>
      </c>
      <c r="C2451" s="1">
        <f>IFERROR(__xludf.DUMMYFUNCTION("""COMPUTED_VALUE"""),3550.0)</f>
        <v>3550</v>
      </c>
      <c r="D2451" s="1">
        <f>IFERROR(__xludf.DUMMYFUNCTION("""COMPUTED_VALUE"""),3375.0)</f>
        <v>3375</v>
      </c>
      <c r="E2451" s="1">
        <f>IFERROR(__xludf.DUMMYFUNCTION("""COMPUTED_VALUE"""),3515.0)</f>
        <v>3515</v>
      </c>
      <c r="F2451" s="1">
        <f>IFERROR(__xludf.DUMMYFUNCTION("""COMPUTED_VALUE"""),195666.0)</f>
        <v>195666</v>
      </c>
    </row>
    <row r="2452">
      <c r="A2452" s="2">
        <f>IFERROR(__xludf.DUMMYFUNCTION("""COMPUTED_VALUE"""),44841.64583333333)</f>
        <v>44841.64583</v>
      </c>
      <c r="B2452" s="1">
        <f>IFERROR(__xludf.DUMMYFUNCTION("""COMPUTED_VALUE"""),3480.0)</f>
        <v>3480</v>
      </c>
      <c r="C2452" s="1">
        <f>IFERROR(__xludf.DUMMYFUNCTION("""COMPUTED_VALUE"""),3505.0)</f>
        <v>3505</v>
      </c>
      <c r="D2452" s="1">
        <f>IFERROR(__xludf.DUMMYFUNCTION("""COMPUTED_VALUE"""),3420.0)</f>
        <v>3420</v>
      </c>
      <c r="E2452" s="1">
        <f>IFERROR(__xludf.DUMMYFUNCTION("""COMPUTED_VALUE"""),3420.0)</f>
        <v>3420</v>
      </c>
      <c r="F2452" s="1">
        <f>IFERROR(__xludf.DUMMYFUNCTION("""COMPUTED_VALUE"""),55158.0)</f>
        <v>55158</v>
      </c>
    </row>
    <row r="2453">
      <c r="A2453" s="2">
        <f>IFERROR(__xludf.DUMMYFUNCTION("""COMPUTED_VALUE"""),44845.64583333333)</f>
        <v>44845.64583</v>
      </c>
      <c r="B2453" s="1">
        <f>IFERROR(__xludf.DUMMYFUNCTION("""COMPUTED_VALUE"""),3365.0)</f>
        <v>3365</v>
      </c>
      <c r="C2453" s="1">
        <f>IFERROR(__xludf.DUMMYFUNCTION("""COMPUTED_VALUE"""),3365.0)</f>
        <v>3365</v>
      </c>
      <c r="D2453" s="1">
        <f>IFERROR(__xludf.DUMMYFUNCTION("""COMPUTED_VALUE"""),3170.0)</f>
        <v>3170</v>
      </c>
      <c r="E2453" s="1">
        <f>IFERROR(__xludf.DUMMYFUNCTION("""COMPUTED_VALUE"""),3220.0)</f>
        <v>3220</v>
      </c>
      <c r="F2453" s="1">
        <f>IFERROR(__xludf.DUMMYFUNCTION("""COMPUTED_VALUE"""),128753.0)</f>
        <v>128753</v>
      </c>
    </row>
    <row r="2454">
      <c r="A2454" s="2">
        <f>IFERROR(__xludf.DUMMYFUNCTION("""COMPUTED_VALUE"""),44846.64583333333)</f>
        <v>44846.64583</v>
      </c>
      <c r="B2454" s="1">
        <f>IFERROR(__xludf.DUMMYFUNCTION("""COMPUTED_VALUE"""),3200.0)</f>
        <v>3200</v>
      </c>
      <c r="C2454" s="1">
        <f>IFERROR(__xludf.DUMMYFUNCTION("""COMPUTED_VALUE"""),3245.0)</f>
        <v>3245</v>
      </c>
      <c r="D2454" s="1">
        <f>IFERROR(__xludf.DUMMYFUNCTION("""COMPUTED_VALUE"""),3165.0)</f>
        <v>3165</v>
      </c>
      <c r="E2454" s="1">
        <f>IFERROR(__xludf.DUMMYFUNCTION("""COMPUTED_VALUE"""),3200.0)</f>
        <v>3200</v>
      </c>
      <c r="F2454" s="1">
        <f>IFERROR(__xludf.DUMMYFUNCTION("""COMPUTED_VALUE"""),39717.0)</f>
        <v>39717</v>
      </c>
    </row>
    <row r="2455">
      <c r="A2455" s="2">
        <f>IFERROR(__xludf.DUMMYFUNCTION("""COMPUTED_VALUE"""),44847.64583333333)</f>
        <v>44847.64583</v>
      </c>
      <c r="B2455" s="1">
        <f>IFERROR(__xludf.DUMMYFUNCTION("""COMPUTED_VALUE"""),3195.0)</f>
        <v>3195</v>
      </c>
      <c r="C2455" s="1">
        <f>IFERROR(__xludf.DUMMYFUNCTION("""COMPUTED_VALUE"""),3215.0)</f>
        <v>3215</v>
      </c>
      <c r="D2455" s="1">
        <f>IFERROR(__xludf.DUMMYFUNCTION("""COMPUTED_VALUE"""),2980.0)</f>
        <v>2980</v>
      </c>
      <c r="E2455" s="1">
        <f>IFERROR(__xludf.DUMMYFUNCTION("""COMPUTED_VALUE"""),3130.0)</f>
        <v>3130</v>
      </c>
      <c r="F2455" s="1">
        <f>IFERROR(__xludf.DUMMYFUNCTION("""COMPUTED_VALUE"""),59330.0)</f>
        <v>59330</v>
      </c>
    </row>
    <row r="2456">
      <c r="A2456" s="2">
        <f>IFERROR(__xludf.DUMMYFUNCTION("""COMPUTED_VALUE"""),44848.64583333333)</f>
        <v>44848.64583</v>
      </c>
      <c r="B2456" s="1">
        <f>IFERROR(__xludf.DUMMYFUNCTION("""COMPUTED_VALUE"""),3140.0)</f>
        <v>3140</v>
      </c>
      <c r="C2456" s="1">
        <f>IFERROR(__xludf.DUMMYFUNCTION("""COMPUTED_VALUE"""),3450.0)</f>
        <v>3450</v>
      </c>
      <c r="D2456" s="1">
        <f>IFERROR(__xludf.DUMMYFUNCTION("""COMPUTED_VALUE"""),3140.0)</f>
        <v>3140</v>
      </c>
      <c r="E2456" s="1">
        <f>IFERROR(__xludf.DUMMYFUNCTION("""COMPUTED_VALUE"""),3255.0)</f>
        <v>3255</v>
      </c>
      <c r="F2456" s="1">
        <f>IFERROR(__xludf.DUMMYFUNCTION("""COMPUTED_VALUE"""),169487.0)</f>
        <v>169487</v>
      </c>
    </row>
    <row r="2457">
      <c r="A2457" s="2">
        <f>IFERROR(__xludf.DUMMYFUNCTION("""COMPUTED_VALUE"""),44851.64583333333)</f>
        <v>44851.64583</v>
      </c>
      <c r="B2457" s="1">
        <f>IFERROR(__xludf.DUMMYFUNCTION("""COMPUTED_VALUE"""),3225.0)</f>
        <v>3225</v>
      </c>
      <c r="C2457" s="1">
        <f>IFERROR(__xludf.DUMMYFUNCTION("""COMPUTED_VALUE"""),3355.0)</f>
        <v>3355</v>
      </c>
      <c r="D2457" s="1">
        <f>IFERROR(__xludf.DUMMYFUNCTION("""COMPUTED_VALUE"""),3200.0)</f>
        <v>3200</v>
      </c>
      <c r="E2457" s="1">
        <f>IFERROR(__xludf.DUMMYFUNCTION("""COMPUTED_VALUE"""),3320.0)</f>
        <v>3320</v>
      </c>
      <c r="F2457" s="1">
        <f>IFERROR(__xludf.DUMMYFUNCTION("""COMPUTED_VALUE"""),24617.0)</f>
        <v>24617</v>
      </c>
    </row>
    <row r="2458">
      <c r="A2458" s="2">
        <f>IFERROR(__xludf.DUMMYFUNCTION("""COMPUTED_VALUE"""),44852.64583333333)</f>
        <v>44852.64583</v>
      </c>
      <c r="B2458" s="1">
        <f>IFERROR(__xludf.DUMMYFUNCTION("""COMPUTED_VALUE"""),3320.0)</f>
        <v>3320</v>
      </c>
      <c r="C2458" s="1">
        <f>IFERROR(__xludf.DUMMYFUNCTION("""COMPUTED_VALUE"""),3490.0)</f>
        <v>3490</v>
      </c>
      <c r="D2458" s="1">
        <f>IFERROR(__xludf.DUMMYFUNCTION("""COMPUTED_VALUE"""),3250.0)</f>
        <v>3250</v>
      </c>
      <c r="E2458" s="1">
        <f>IFERROR(__xludf.DUMMYFUNCTION("""COMPUTED_VALUE"""),3375.0)</f>
        <v>3375</v>
      </c>
      <c r="F2458" s="1">
        <f>IFERROR(__xludf.DUMMYFUNCTION("""COMPUTED_VALUE"""),52597.0)</f>
        <v>52597</v>
      </c>
    </row>
    <row r="2459">
      <c r="A2459" s="2">
        <f>IFERROR(__xludf.DUMMYFUNCTION("""COMPUTED_VALUE"""),44853.64583333333)</f>
        <v>44853.64583</v>
      </c>
      <c r="B2459" s="1">
        <f>IFERROR(__xludf.DUMMYFUNCTION("""COMPUTED_VALUE"""),3460.0)</f>
        <v>3460</v>
      </c>
      <c r="C2459" s="1">
        <f>IFERROR(__xludf.DUMMYFUNCTION("""COMPUTED_VALUE"""),3460.0)</f>
        <v>3460</v>
      </c>
      <c r="D2459" s="1">
        <f>IFERROR(__xludf.DUMMYFUNCTION("""COMPUTED_VALUE"""),3300.0)</f>
        <v>3300</v>
      </c>
      <c r="E2459" s="1">
        <f>IFERROR(__xludf.DUMMYFUNCTION("""COMPUTED_VALUE"""),3335.0)</f>
        <v>3335</v>
      </c>
      <c r="F2459" s="1">
        <f>IFERROR(__xludf.DUMMYFUNCTION("""COMPUTED_VALUE"""),61853.0)</f>
        <v>61853</v>
      </c>
    </row>
    <row r="2460">
      <c r="A2460" s="2">
        <f>IFERROR(__xludf.DUMMYFUNCTION("""COMPUTED_VALUE"""),44854.64583333333)</f>
        <v>44854.64583</v>
      </c>
      <c r="B2460" s="1">
        <f>IFERROR(__xludf.DUMMYFUNCTION("""COMPUTED_VALUE"""),3275.0)</f>
        <v>3275</v>
      </c>
      <c r="C2460" s="1">
        <f>IFERROR(__xludf.DUMMYFUNCTION("""COMPUTED_VALUE"""),3335.0)</f>
        <v>3335</v>
      </c>
      <c r="D2460" s="1">
        <f>IFERROR(__xludf.DUMMYFUNCTION("""COMPUTED_VALUE"""),3235.0)</f>
        <v>3235</v>
      </c>
      <c r="E2460" s="1">
        <f>IFERROR(__xludf.DUMMYFUNCTION("""COMPUTED_VALUE"""),3250.0)</f>
        <v>3250</v>
      </c>
      <c r="F2460" s="1">
        <f>IFERROR(__xludf.DUMMYFUNCTION("""COMPUTED_VALUE"""),15082.0)</f>
        <v>15082</v>
      </c>
    </row>
    <row r="2461">
      <c r="A2461" s="2">
        <f>IFERROR(__xludf.DUMMYFUNCTION("""COMPUTED_VALUE"""),44855.64583333333)</f>
        <v>44855.64583</v>
      </c>
      <c r="B2461" s="1">
        <f>IFERROR(__xludf.DUMMYFUNCTION("""COMPUTED_VALUE"""),3235.0)</f>
        <v>3235</v>
      </c>
      <c r="C2461" s="1">
        <f>IFERROR(__xludf.DUMMYFUNCTION("""COMPUTED_VALUE"""),3240.0)</f>
        <v>3240</v>
      </c>
      <c r="D2461" s="1">
        <f>IFERROR(__xludf.DUMMYFUNCTION("""COMPUTED_VALUE"""),3180.0)</f>
        <v>3180</v>
      </c>
      <c r="E2461" s="1">
        <f>IFERROR(__xludf.DUMMYFUNCTION("""COMPUTED_VALUE"""),3215.0)</f>
        <v>3215</v>
      </c>
      <c r="F2461" s="1">
        <f>IFERROR(__xludf.DUMMYFUNCTION("""COMPUTED_VALUE"""),14377.0)</f>
        <v>14377</v>
      </c>
    </row>
    <row r="2462">
      <c r="A2462" s="2">
        <f>IFERROR(__xludf.DUMMYFUNCTION("""COMPUTED_VALUE"""),44858.64583333333)</f>
        <v>44858.64583</v>
      </c>
      <c r="B2462" s="1">
        <f>IFERROR(__xludf.DUMMYFUNCTION("""COMPUTED_VALUE"""),3215.0)</f>
        <v>3215</v>
      </c>
      <c r="C2462" s="1">
        <f>IFERROR(__xludf.DUMMYFUNCTION("""COMPUTED_VALUE"""),3300.0)</f>
        <v>3300</v>
      </c>
      <c r="D2462" s="1">
        <f>IFERROR(__xludf.DUMMYFUNCTION("""COMPUTED_VALUE"""),3165.0)</f>
        <v>3165</v>
      </c>
      <c r="E2462" s="1">
        <f>IFERROR(__xludf.DUMMYFUNCTION("""COMPUTED_VALUE"""),3230.0)</f>
        <v>3230</v>
      </c>
      <c r="F2462" s="1">
        <f>IFERROR(__xludf.DUMMYFUNCTION("""COMPUTED_VALUE"""),19620.0)</f>
        <v>19620</v>
      </c>
    </row>
    <row r="2463">
      <c r="A2463" s="2">
        <f>IFERROR(__xludf.DUMMYFUNCTION("""COMPUTED_VALUE"""),44859.64583333333)</f>
        <v>44859.64583</v>
      </c>
      <c r="B2463" s="1">
        <f>IFERROR(__xludf.DUMMYFUNCTION("""COMPUTED_VALUE"""),3230.0)</f>
        <v>3230</v>
      </c>
      <c r="C2463" s="1">
        <f>IFERROR(__xludf.DUMMYFUNCTION("""COMPUTED_VALUE"""),3335.0)</f>
        <v>3335</v>
      </c>
      <c r="D2463" s="1">
        <f>IFERROR(__xludf.DUMMYFUNCTION("""COMPUTED_VALUE"""),3200.0)</f>
        <v>3200</v>
      </c>
      <c r="E2463" s="1">
        <f>IFERROR(__xludf.DUMMYFUNCTION("""COMPUTED_VALUE"""),3275.0)</f>
        <v>3275</v>
      </c>
      <c r="F2463" s="1">
        <f>IFERROR(__xludf.DUMMYFUNCTION("""COMPUTED_VALUE"""),44114.0)</f>
        <v>44114</v>
      </c>
    </row>
    <row r="2464">
      <c r="A2464" s="2">
        <f>IFERROR(__xludf.DUMMYFUNCTION("""COMPUTED_VALUE"""),44860.64583333333)</f>
        <v>44860.64583</v>
      </c>
      <c r="B2464" s="1">
        <f>IFERROR(__xludf.DUMMYFUNCTION("""COMPUTED_VALUE"""),3275.0)</f>
        <v>3275</v>
      </c>
      <c r="C2464" s="1">
        <f>IFERROR(__xludf.DUMMYFUNCTION("""COMPUTED_VALUE"""),3375.0)</f>
        <v>3375</v>
      </c>
      <c r="D2464" s="1">
        <f>IFERROR(__xludf.DUMMYFUNCTION("""COMPUTED_VALUE"""),3220.0)</f>
        <v>3220</v>
      </c>
      <c r="E2464" s="1">
        <f>IFERROR(__xludf.DUMMYFUNCTION("""COMPUTED_VALUE"""),3365.0)</f>
        <v>3365</v>
      </c>
      <c r="F2464" s="1">
        <f>IFERROR(__xludf.DUMMYFUNCTION("""COMPUTED_VALUE"""),42077.0)</f>
        <v>42077</v>
      </c>
    </row>
    <row r="2465">
      <c r="A2465" s="2">
        <f>IFERROR(__xludf.DUMMYFUNCTION("""COMPUTED_VALUE"""),44861.64583333333)</f>
        <v>44861.64583</v>
      </c>
      <c r="B2465" s="1">
        <f>IFERROR(__xludf.DUMMYFUNCTION("""COMPUTED_VALUE"""),3365.0)</f>
        <v>3365</v>
      </c>
      <c r="C2465" s="1">
        <f>IFERROR(__xludf.DUMMYFUNCTION("""COMPUTED_VALUE"""),3405.0)</f>
        <v>3405</v>
      </c>
      <c r="D2465" s="1">
        <f>IFERROR(__xludf.DUMMYFUNCTION("""COMPUTED_VALUE"""),3315.0)</f>
        <v>3315</v>
      </c>
      <c r="E2465" s="1">
        <f>IFERROR(__xludf.DUMMYFUNCTION("""COMPUTED_VALUE"""),3365.0)</f>
        <v>3365</v>
      </c>
      <c r="F2465" s="1">
        <f>IFERROR(__xludf.DUMMYFUNCTION("""COMPUTED_VALUE"""),29187.0)</f>
        <v>29187</v>
      </c>
    </row>
    <row r="2466">
      <c r="A2466" s="2">
        <f>IFERROR(__xludf.DUMMYFUNCTION("""COMPUTED_VALUE"""),44862.64583333333)</f>
        <v>44862.64583</v>
      </c>
      <c r="B2466" s="1">
        <f>IFERROR(__xludf.DUMMYFUNCTION("""COMPUTED_VALUE"""),3385.0)</f>
        <v>3385</v>
      </c>
      <c r="C2466" s="1">
        <f>IFERROR(__xludf.DUMMYFUNCTION("""COMPUTED_VALUE"""),3540.0)</f>
        <v>3540</v>
      </c>
      <c r="D2466" s="1">
        <f>IFERROR(__xludf.DUMMYFUNCTION("""COMPUTED_VALUE"""),3325.0)</f>
        <v>3325</v>
      </c>
      <c r="E2466" s="1">
        <f>IFERROR(__xludf.DUMMYFUNCTION("""COMPUTED_VALUE"""),3485.0)</f>
        <v>3485</v>
      </c>
      <c r="F2466" s="1">
        <f>IFERROR(__xludf.DUMMYFUNCTION("""COMPUTED_VALUE"""),182574.0)</f>
        <v>182574</v>
      </c>
    </row>
    <row r="2467">
      <c r="A2467" s="2">
        <f>IFERROR(__xludf.DUMMYFUNCTION("""COMPUTED_VALUE"""),44865.64583333333)</f>
        <v>44865.64583</v>
      </c>
      <c r="B2467" s="1">
        <f>IFERROR(__xludf.DUMMYFUNCTION("""COMPUTED_VALUE"""),3565.0)</f>
        <v>3565</v>
      </c>
      <c r="C2467" s="1">
        <f>IFERROR(__xludf.DUMMYFUNCTION("""COMPUTED_VALUE"""),3565.0)</f>
        <v>3565</v>
      </c>
      <c r="D2467" s="1">
        <f>IFERROR(__xludf.DUMMYFUNCTION("""COMPUTED_VALUE"""),3360.0)</f>
        <v>3360</v>
      </c>
      <c r="E2467" s="1">
        <f>IFERROR(__xludf.DUMMYFUNCTION("""COMPUTED_VALUE"""),3445.0)</f>
        <v>3445</v>
      </c>
      <c r="F2467" s="1">
        <f>IFERROR(__xludf.DUMMYFUNCTION("""COMPUTED_VALUE"""),58499.0)</f>
        <v>58499</v>
      </c>
    </row>
    <row r="2468">
      <c r="A2468" s="2">
        <f>IFERROR(__xludf.DUMMYFUNCTION("""COMPUTED_VALUE"""),44866.64583333333)</f>
        <v>44866.64583</v>
      </c>
      <c r="B2468" s="1">
        <f>IFERROR(__xludf.DUMMYFUNCTION("""COMPUTED_VALUE"""),3455.0)</f>
        <v>3455</v>
      </c>
      <c r="C2468" s="1">
        <f>IFERROR(__xludf.DUMMYFUNCTION("""COMPUTED_VALUE"""),3545.0)</f>
        <v>3545</v>
      </c>
      <c r="D2468" s="1">
        <f>IFERROR(__xludf.DUMMYFUNCTION("""COMPUTED_VALUE"""),3375.0)</f>
        <v>3375</v>
      </c>
      <c r="E2468" s="1">
        <f>IFERROR(__xludf.DUMMYFUNCTION("""COMPUTED_VALUE"""),3535.0)</f>
        <v>3535</v>
      </c>
      <c r="F2468" s="1">
        <f>IFERROR(__xludf.DUMMYFUNCTION("""COMPUTED_VALUE"""),66626.0)</f>
        <v>66626</v>
      </c>
    </row>
    <row r="2469">
      <c r="A2469" s="2">
        <f>IFERROR(__xludf.DUMMYFUNCTION("""COMPUTED_VALUE"""),44867.64583333333)</f>
        <v>44867.64583</v>
      </c>
      <c r="B2469" s="1">
        <f>IFERROR(__xludf.DUMMYFUNCTION("""COMPUTED_VALUE"""),3535.0)</f>
        <v>3535</v>
      </c>
      <c r="C2469" s="1">
        <f>IFERROR(__xludf.DUMMYFUNCTION("""COMPUTED_VALUE"""),3750.0)</f>
        <v>3750</v>
      </c>
      <c r="D2469" s="1">
        <f>IFERROR(__xludf.DUMMYFUNCTION("""COMPUTED_VALUE"""),3495.0)</f>
        <v>3495</v>
      </c>
      <c r="E2469" s="1">
        <f>IFERROR(__xludf.DUMMYFUNCTION("""COMPUTED_VALUE"""),3710.0)</f>
        <v>3710</v>
      </c>
      <c r="F2469" s="1">
        <f>IFERROR(__xludf.DUMMYFUNCTION("""COMPUTED_VALUE"""),159907.0)</f>
        <v>159907</v>
      </c>
    </row>
    <row r="2470">
      <c r="A2470" s="2">
        <f>IFERROR(__xludf.DUMMYFUNCTION("""COMPUTED_VALUE"""),44868.64583333333)</f>
        <v>44868.64583</v>
      </c>
      <c r="B2470" s="1">
        <f>IFERROR(__xludf.DUMMYFUNCTION("""COMPUTED_VALUE"""),3710.0)</f>
        <v>3710</v>
      </c>
      <c r="C2470" s="1">
        <f>IFERROR(__xludf.DUMMYFUNCTION("""COMPUTED_VALUE"""),3760.0)</f>
        <v>3760</v>
      </c>
      <c r="D2470" s="1">
        <f>IFERROR(__xludf.DUMMYFUNCTION("""COMPUTED_VALUE"""),3510.0)</f>
        <v>3510</v>
      </c>
      <c r="E2470" s="1">
        <f>IFERROR(__xludf.DUMMYFUNCTION("""COMPUTED_VALUE"""),3725.0)</f>
        <v>3725</v>
      </c>
      <c r="F2470" s="1">
        <f>IFERROR(__xludf.DUMMYFUNCTION("""COMPUTED_VALUE"""),95332.0)</f>
        <v>95332</v>
      </c>
    </row>
    <row r="2471">
      <c r="A2471" s="2">
        <f>IFERROR(__xludf.DUMMYFUNCTION("""COMPUTED_VALUE"""),44869.64583333333)</f>
        <v>44869.64583</v>
      </c>
      <c r="B2471" s="1">
        <f>IFERROR(__xludf.DUMMYFUNCTION("""COMPUTED_VALUE"""),3725.0)</f>
        <v>3725</v>
      </c>
      <c r="C2471" s="1">
        <f>IFERROR(__xludf.DUMMYFUNCTION("""COMPUTED_VALUE"""),3840.0)</f>
        <v>3840</v>
      </c>
      <c r="D2471" s="1">
        <f>IFERROR(__xludf.DUMMYFUNCTION("""COMPUTED_VALUE"""),3650.0)</f>
        <v>3650</v>
      </c>
      <c r="E2471" s="1">
        <f>IFERROR(__xludf.DUMMYFUNCTION("""COMPUTED_VALUE"""),3820.0)</f>
        <v>3820</v>
      </c>
      <c r="F2471" s="1">
        <f>IFERROR(__xludf.DUMMYFUNCTION("""COMPUTED_VALUE"""),123269.0)</f>
        <v>123269</v>
      </c>
    </row>
    <row r="2472">
      <c r="A2472" s="2">
        <f>IFERROR(__xludf.DUMMYFUNCTION("""COMPUTED_VALUE"""),44872.64583333333)</f>
        <v>44872.64583</v>
      </c>
      <c r="B2472" s="1">
        <f>IFERROR(__xludf.DUMMYFUNCTION("""COMPUTED_VALUE"""),3890.0)</f>
        <v>3890</v>
      </c>
      <c r="C2472" s="1">
        <f>IFERROR(__xludf.DUMMYFUNCTION("""COMPUTED_VALUE"""),4015.0)</f>
        <v>4015</v>
      </c>
      <c r="D2472" s="1">
        <f>IFERROR(__xludf.DUMMYFUNCTION("""COMPUTED_VALUE"""),3855.0)</f>
        <v>3855</v>
      </c>
      <c r="E2472" s="1">
        <f>IFERROR(__xludf.DUMMYFUNCTION("""COMPUTED_VALUE"""),3930.0)</f>
        <v>3930</v>
      </c>
      <c r="F2472" s="1">
        <f>IFERROR(__xludf.DUMMYFUNCTION("""COMPUTED_VALUE"""),197959.0)</f>
        <v>197959</v>
      </c>
    </row>
    <row r="2473">
      <c r="A2473" s="2">
        <f>IFERROR(__xludf.DUMMYFUNCTION("""COMPUTED_VALUE"""),44873.64583333333)</f>
        <v>44873.64583</v>
      </c>
      <c r="B2473" s="1">
        <f>IFERROR(__xludf.DUMMYFUNCTION("""COMPUTED_VALUE"""),3885.0)</f>
        <v>3885</v>
      </c>
      <c r="C2473" s="1">
        <f>IFERROR(__xludf.DUMMYFUNCTION("""COMPUTED_VALUE"""),3975.0)</f>
        <v>3975</v>
      </c>
      <c r="D2473" s="1">
        <f>IFERROR(__xludf.DUMMYFUNCTION("""COMPUTED_VALUE"""),3885.0)</f>
        <v>3885</v>
      </c>
      <c r="E2473" s="1">
        <f>IFERROR(__xludf.DUMMYFUNCTION("""COMPUTED_VALUE"""),3930.0)</f>
        <v>3930</v>
      </c>
      <c r="F2473" s="1">
        <f>IFERROR(__xludf.DUMMYFUNCTION("""COMPUTED_VALUE"""),102673.0)</f>
        <v>102673</v>
      </c>
    </row>
    <row r="2474">
      <c r="A2474" s="2">
        <f>IFERROR(__xludf.DUMMYFUNCTION("""COMPUTED_VALUE"""),44874.64583333333)</f>
        <v>44874.64583</v>
      </c>
      <c r="B2474" s="1">
        <f>IFERROR(__xludf.DUMMYFUNCTION("""COMPUTED_VALUE"""),3950.0)</f>
        <v>3950</v>
      </c>
      <c r="C2474" s="1">
        <f>IFERROR(__xludf.DUMMYFUNCTION("""COMPUTED_VALUE"""),4085.0)</f>
        <v>4085</v>
      </c>
      <c r="D2474" s="1">
        <f>IFERROR(__xludf.DUMMYFUNCTION("""COMPUTED_VALUE"""),3930.0)</f>
        <v>3930</v>
      </c>
      <c r="E2474" s="1">
        <f>IFERROR(__xludf.DUMMYFUNCTION("""COMPUTED_VALUE"""),4020.0)</f>
        <v>4020</v>
      </c>
      <c r="F2474" s="1">
        <f>IFERROR(__xludf.DUMMYFUNCTION("""COMPUTED_VALUE"""),225959.0)</f>
        <v>225959</v>
      </c>
    </row>
    <row r="2475">
      <c r="A2475" s="2">
        <f>IFERROR(__xludf.DUMMYFUNCTION("""COMPUTED_VALUE"""),44875.64583333333)</f>
        <v>44875.64583</v>
      </c>
      <c r="B2475" s="1">
        <f>IFERROR(__xludf.DUMMYFUNCTION("""COMPUTED_VALUE"""),4290.0)</f>
        <v>4290</v>
      </c>
      <c r="C2475" s="1">
        <f>IFERROR(__xludf.DUMMYFUNCTION("""COMPUTED_VALUE"""),4290.0)</f>
        <v>4290</v>
      </c>
      <c r="D2475" s="1">
        <f>IFERROR(__xludf.DUMMYFUNCTION("""COMPUTED_VALUE"""),3625.0)</f>
        <v>3625</v>
      </c>
      <c r="E2475" s="1">
        <f>IFERROR(__xludf.DUMMYFUNCTION("""COMPUTED_VALUE"""),3655.0)</f>
        <v>3655</v>
      </c>
      <c r="F2475" s="1">
        <f>IFERROR(__xludf.DUMMYFUNCTION("""COMPUTED_VALUE"""),1087543.0)</f>
        <v>1087543</v>
      </c>
    </row>
    <row r="2476">
      <c r="A2476" s="2">
        <f>IFERROR(__xludf.DUMMYFUNCTION("""COMPUTED_VALUE"""),44876.64583333333)</f>
        <v>44876.64583</v>
      </c>
      <c r="B2476" s="1">
        <f>IFERROR(__xludf.DUMMYFUNCTION("""COMPUTED_VALUE"""),3715.0)</f>
        <v>3715</v>
      </c>
      <c r="C2476" s="1">
        <f>IFERROR(__xludf.DUMMYFUNCTION("""COMPUTED_VALUE"""),3780.0)</f>
        <v>3780</v>
      </c>
      <c r="D2476" s="1">
        <f>IFERROR(__xludf.DUMMYFUNCTION("""COMPUTED_VALUE"""),3525.0)</f>
        <v>3525</v>
      </c>
      <c r="E2476" s="1">
        <f>IFERROR(__xludf.DUMMYFUNCTION("""COMPUTED_VALUE"""),3605.0)</f>
        <v>3605</v>
      </c>
      <c r="F2476" s="1">
        <f>IFERROR(__xludf.DUMMYFUNCTION("""COMPUTED_VALUE"""),343084.0)</f>
        <v>343084</v>
      </c>
    </row>
    <row r="2477">
      <c r="A2477" s="2">
        <f>IFERROR(__xludf.DUMMYFUNCTION("""COMPUTED_VALUE"""),44879.64583333333)</f>
        <v>44879.64583</v>
      </c>
      <c r="B2477" s="1">
        <f>IFERROR(__xludf.DUMMYFUNCTION("""COMPUTED_VALUE"""),3630.0)</f>
        <v>3630</v>
      </c>
      <c r="C2477" s="1">
        <f>IFERROR(__xludf.DUMMYFUNCTION("""COMPUTED_VALUE"""),4390.0)</f>
        <v>4390</v>
      </c>
      <c r="D2477" s="1">
        <f>IFERROR(__xludf.DUMMYFUNCTION("""COMPUTED_VALUE"""),3605.0)</f>
        <v>3605</v>
      </c>
      <c r="E2477" s="1">
        <f>IFERROR(__xludf.DUMMYFUNCTION("""COMPUTED_VALUE"""),3880.0)</f>
        <v>3880</v>
      </c>
      <c r="F2477" s="1">
        <f>IFERROR(__xludf.DUMMYFUNCTION("""COMPUTED_VALUE"""),2957941.0)</f>
        <v>2957941</v>
      </c>
    </row>
    <row r="2478">
      <c r="A2478" s="2">
        <f>IFERROR(__xludf.DUMMYFUNCTION("""COMPUTED_VALUE"""),44880.64583333333)</f>
        <v>44880.64583</v>
      </c>
      <c r="B2478" s="1">
        <f>IFERROR(__xludf.DUMMYFUNCTION("""COMPUTED_VALUE"""),3870.0)</f>
        <v>3870</v>
      </c>
      <c r="C2478" s="1">
        <f>IFERROR(__xludf.DUMMYFUNCTION("""COMPUTED_VALUE"""),3950.0)</f>
        <v>3950</v>
      </c>
      <c r="D2478" s="1">
        <f>IFERROR(__xludf.DUMMYFUNCTION("""COMPUTED_VALUE"""),3765.0)</f>
        <v>3765</v>
      </c>
      <c r="E2478" s="1">
        <f>IFERROR(__xludf.DUMMYFUNCTION("""COMPUTED_VALUE"""),3770.0)</f>
        <v>3770</v>
      </c>
      <c r="F2478" s="1">
        <f>IFERROR(__xludf.DUMMYFUNCTION("""COMPUTED_VALUE"""),429804.0)</f>
        <v>429804</v>
      </c>
    </row>
    <row r="2479">
      <c r="A2479" s="2">
        <f>IFERROR(__xludf.DUMMYFUNCTION("""COMPUTED_VALUE"""),44881.64583333333)</f>
        <v>44881.64583</v>
      </c>
      <c r="B2479" s="1">
        <f>IFERROR(__xludf.DUMMYFUNCTION("""COMPUTED_VALUE"""),3770.0)</f>
        <v>3770</v>
      </c>
      <c r="C2479" s="1">
        <f>IFERROR(__xludf.DUMMYFUNCTION("""COMPUTED_VALUE"""),3770.0)</f>
        <v>3770</v>
      </c>
      <c r="D2479" s="1">
        <f>IFERROR(__xludf.DUMMYFUNCTION("""COMPUTED_VALUE"""),3655.0)</f>
        <v>3655</v>
      </c>
      <c r="E2479" s="1">
        <f>IFERROR(__xludf.DUMMYFUNCTION("""COMPUTED_VALUE"""),3725.0)</f>
        <v>3725</v>
      </c>
      <c r="F2479" s="1">
        <f>IFERROR(__xludf.DUMMYFUNCTION("""COMPUTED_VALUE"""),143384.0)</f>
        <v>143384</v>
      </c>
    </row>
    <row r="2480">
      <c r="A2480" s="2">
        <f>IFERROR(__xludf.DUMMYFUNCTION("""COMPUTED_VALUE"""),44882.64583333333)</f>
        <v>44882.64583</v>
      </c>
      <c r="B2480" s="1">
        <f>IFERROR(__xludf.DUMMYFUNCTION("""COMPUTED_VALUE"""),3805.0)</f>
        <v>3805</v>
      </c>
      <c r="C2480" s="1">
        <f>IFERROR(__xludf.DUMMYFUNCTION("""COMPUTED_VALUE"""),3900.0)</f>
        <v>3900</v>
      </c>
      <c r="D2480" s="1">
        <f>IFERROR(__xludf.DUMMYFUNCTION("""COMPUTED_VALUE"""),3755.0)</f>
        <v>3755</v>
      </c>
      <c r="E2480" s="1">
        <f>IFERROR(__xludf.DUMMYFUNCTION("""COMPUTED_VALUE"""),3860.0)</f>
        <v>3860</v>
      </c>
      <c r="F2480" s="1">
        <f>IFERROR(__xludf.DUMMYFUNCTION("""COMPUTED_VALUE"""),341657.0)</f>
        <v>341657</v>
      </c>
    </row>
    <row r="2481">
      <c r="A2481" s="2">
        <f>IFERROR(__xludf.DUMMYFUNCTION("""COMPUTED_VALUE"""),44883.64583333333)</f>
        <v>44883.64583</v>
      </c>
      <c r="B2481" s="1">
        <f>IFERROR(__xludf.DUMMYFUNCTION("""COMPUTED_VALUE"""),3840.0)</f>
        <v>3840</v>
      </c>
      <c r="C2481" s="1">
        <f>IFERROR(__xludf.DUMMYFUNCTION("""COMPUTED_VALUE"""),3950.0)</f>
        <v>3950</v>
      </c>
      <c r="D2481" s="1">
        <f>IFERROR(__xludf.DUMMYFUNCTION("""COMPUTED_VALUE"""),3705.0)</f>
        <v>3705</v>
      </c>
      <c r="E2481" s="1">
        <f>IFERROR(__xludf.DUMMYFUNCTION("""COMPUTED_VALUE"""),3760.0)</f>
        <v>3760</v>
      </c>
      <c r="F2481" s="1">
        <f>IFERROR(__xludf.DUMMYFUNCTION("""COMPUTED_VALUE"""),223110.0)</f>
        <v>223110</v>
      </c>
    </row>
    <row r="2482">
      <c r="A2482" s="2">
        <f>IFERROR(__xludf.DUMMYFUNCTION("""COMPUTED_VALUE"""),44886.64583333333)</f>
        <v>44886.64583</v>
      </c>
      <c r="B2482" s="1">
        <f>IFERROR(__xludf.DUMMYFUNCTION("""COMPUTED_VALUE"""),3755.0)</f>
        <v>3755</v>
      </c>
      <c r="C2482" s="1">
        <f>IFERROR(__xludf.DUMMYFUNCTION("""COMPUTED_VALUE"""),3825.0)</f>
        <v>3825</v>
      </c>
      <c r="D2482" s="1">
        <f>IFERROR(__xludf.DUMMYFUNCTION("""COMPUTED_VALUE"""),3725.0)</f>
        <v>3725</v>
      </c>
      <c r="E2482" s="1">
        <f>IFERROR(__xludf.DUMMYFUNCTION("""COMPUTED_VALUE"""),3725.0)</f>
        <v>3725</v>
      </c>
      <c r="F2482" s="1">
        <f>IFERROR(__xludf.DUMMYFUNCTION("""COMPUTED_VALUE"""),82861.0)</f>
        <v>82861</v>
      </c>
    </row>
    <row r="2483">
      <c r="A2483" s="2">
        <f>IFERROR(__xludf.DUMMYFUNCTION("""COMPUTED_VALUE"""),44887.64583333333)</f>
        <v>44887.64583</v>
      </c>
      <c r="B2483" s="1">
        <f>IFERROR(__xludf.DUMMYFUNCTION("""COMPUTED_VALUE"""),3725.0)</f>
        <v>3725</v>
      </c>
      <c r="C2483" s="1">
        <f>IFERROR(__xludf.DUMMYFUNCTION("""COMPUTED_VALUE"""),3845.0)</f>
        <v>3845</v>
      </c>
      <c r="D2483" s="1">
        <f>IFERROR(__xludf.DUMMYFUNCTION("""COMPUTED_VALUE"""),3640.0)</f>
        <v>3640</v>
      </c>
      <c r="E2483" s="1">
        <f>IFERROR(__xludf.DUMMYFUNCTION("""COMPUTED_VALUE"""),3685.0)</f>
        <v>3685</v>
      </c>
      <c r="F2483" s="1">
        <f>IFERROR(__xludf.DUMMYFUNCTION("""COMPUTED_VALUE"""),106049.0)</f>
        <v>106049</v>
      </c>
    </row>
    <row r="2484">
      <c r="A2484" s="2">
        <f>IFERROR(__xludf.DUMMYFUNCTION("""COMPUTED_VALUE"""),44888.64583333333)</f>
        <v>44888.64583</v>
      </c>
      <c r="B2484" s="1">
        <f>IFERROR(__xludf.DUMMYFUNCTION("""COMPUTED_VALUE"""),3685.0)</f>
        <v>3685</v>
      </c>
      <c r="C2484" s="1">
        <f>IFERROR(__xludf.DUMMYFUNCTION("""COMPUTED_VALUE"""),3735.0)</f>
        <v>3735</v>
      </c>
      <c r="D2484" s="1">
        <f>IFERROR(__xludf.DUMMYFUNCTION("""COMPUTED_VALUE"""),3635.0)</f>
        <v>3635</v>
      </c>
      <c r="E2484" s="1">
        <f>IFERROR(__xludf.DUMMYFUNCTION("""COMPUTED_VALUE"""),3670.0)</f>
        <v>3670</v>
      </c>
      <c r="F2484" s="1">
        <f>IFERROR(__xludf.DUMMYFUNCTION("""COMPUTED_VALUE"""),60565.0)</f>
        <v>60565</v>
      </c>
    </row>
    <row r="2485">
      <c r="A2485" s="2">
        <f>IFERROR(__xludf.DUMMYFUNCTION("""COMPUTED_VALUE"""),44889.64583333333)</f>
        <v>44889.64583</v>
      </c>
      <c r="B2485" s="1">
        <f>IFERROR(__xludf.DUMMYFUNCTION("""COMPUTED_VALUE"""),3670.0)</f>
        <v>3670</v>
      </c>
      <c r="C2485" s="1">
        <f>IFERROR(__xludf.DUMMYFUNCTION("""COMPUTED_VALUE"""),3715.0)</f>
        <v>3715</v>
      </c>
      <c r="D2485" s="1">
        <f>IFERROR(__xludf.DUMMYFUNCTION("""COMPUTED_VALUE"""),3605.0)</f>
        <v>3605</v>
      </c>
      <c r="E2485" s="1">
        <f>IFERROR(__xludf.DUMMYFUNCTION("""COMPUTED_VALUE"""),3635.0)</f>
        <v>3635</v>
      </c>
      <c r="F2485" s="1">
        <f>IFERROR(__xludf.DUMMYFUNCTION("""COMPUTED_VALUE"""),63085.0)</f>
        <v>63085</v>
      </c>
    </row>
    <row r="2486">
      <c r="A2486" s="2">
        <f>IFERROR(__xludf.DUMMYFUNCTION("""COMPUTED_VALUE"""),44890.64583333333)</f>
        <v>44890.64583</v>
      </c>
      <c r="B2486" s="1">
        <f>IFERROR(__xludf.DUMMYFUNCTION("""COMPUTED_VALUE"""),3650.0)</f>
        <v>3650</v>
      </c>
      <c r="C2486" s="1">
        <f>IFERROR(__xludf.DUMMYFUNCTION("""COMPUTED_VALUE"""),3700.0)</f>
        <v>3700</v>
      </c>
      <c r="D2486" s="1">
        <f>IFERROR(__xludf.DUMMYFUNCTION("""COMPUTED_VALUE"""),3550.0)</f>
        <v>3550</v>
      </c>
      <c r="E2486" s="1">
        <f>IFERROR(__xludf.DUMMYFUNCTION("""COMPUTED_VALUE"""),3685.0)</f>
        <v>3685</v>
      </c>
      <c r="F2486" s="1">
        <f>IFERROR(__xludf.DUMMYFUNCTION("""COMPUTED_VALUE"""),102695.0)</f>
        <v>102695</v>
      </c>
    </row>
    <row r="2487">
      <c r="A2487" s="2">
        <f>IFERROR(__xludf.DUMMYFUNCTION("""COMPUTED_VALUE"""),44893.64583333333)</f>
        <v>44893.64583</v>
      </c>
      <c r="B2487" s="1">
        <f>IFERROR(__xludf.DUMMYFUNCTION("""COMPUTED_VALUE"""),3710.0)</f>
        <v>3710</v>
      </c>
      <c r="C2487" s="1">
        <f>IFERROR(__xludf.DUMMYFUNCTION("""COMPUTED_VALUE"""),3710.0)</f>
        <v>3710</v>
      </c>
      <c r="D2487" s="1">
        <f>IFERROR(__xludf.DUMMYFUNCTION("""COMPUTED_VALUE"""),3515.0)</f>
        <v>3515</v>
      </c>
      <c r="E2487" s="1">
        <f>IFERROR(__xludf.DUMMYFUNCTION("""COMPUTED_VALUE"""),3580.0)</f>
        <v>3580</v>
      </c>
      <c r="F2487" s="1">
        <f>IFERROR(__xludf.DUMMYFUNCTION("""COMPUTED_VALUE"""),92781.0)</f>
        <v>92781</v>
      </c>
    </row>
    <row r="2488">
      <c r="A2488" s="2">
        <f>IFERROR(__xludf.DUMMYFUNCTION("""COMPUTED_VALUE"""),44894.64583333333)</f>
        <v>44894.64583</v>
      </c>
      <c r="B2488" s="1">
        <f>IFERROR(__xludf.DUMMYFUNCTION("""COMPUTED_VALUE"""),3530.0)</f>
        <v>3530</v>
      </c>
      <c r="C2488" s="1">
        <f>IFERROR(__xludf.DUMMYFUNCTION("""COMPUTED_VALUE"""),3665.0)</f>
        <v>3665</v>
      </c>
      <c r="D2488" s="1">
        <f>IFERROR(__xludf.DUMMYFUNCTION("""COMPUTED_VALUE"""),3520.0)</f>
        <v>3520</v>
      </c>
      <c r="E2488" s="1">
        <f>IFERROR(__xludf.DUMMYFUNCTION("""COMPUTED_VALUE"""),3580.0)</f>
        <v>3580</v>
      </c>
      <c r="F2488" s="1">
        <f>IFERROR(__xludf.DUMMYFUNCTION("""COMPUTED_VALUE"""),45501.0)</f>
        <v>45501</v>
      </c>
    </row>
    <row r="2489">
      <c r="A2489" s="2">
        <f>IFERROR(__xludf.DUMMYFUNCTION("""COMPUTED_VALUE"""),44895.64583333333)</f>
        <v>44895.64583</v>
      </c>
      <c r="B2489" s="1">
        <f>IFERROR(__xludf.DUMMYFUNCTION("""COMPUTED_VALUE"""),3555.0)</f>
        <v>3555</v>
      </c>
      <c r="C2489" s="1">
        <f>IFERROR(__xludf.DUMMYFUNCTION("""COMPUTED_VALUE"""),3620.0)</f>
        <v>3620</v>
      </c>
      <c r="D2489" s="1">
        <f>IFERROR(__xludf.DUMMYFUNCTION("""COMPUTED_VALUE"""),3555.0)</f>
        <v>3555</v>
      </c>
      <c r="E2489" s="1">
        <f>IFERROR(__xludf.DUMMYFUNCTION("""COMPUTED_VALUE"""),3565.0)</f>
        <v>3565</v>
      </c>
      <c r="F2489" s="1">
        <f>IFERROR(__xludf.DUMMYFUNCTION("""COMPUTED_VALUE"""),26598.0)</f>
        <v>26598</v>
      </c>
    </row>
    <row r="2490">
      <c r="A2490" s="2">
        <f>IFERROR(__xludf.DUMMYFUNCTION("""COMPUTED_VALUE"""),44896.64583333333)</f>
        <v>44896.64583</v>
      </c>
      <c r="B2490" s="1">
        <f>IFERROR(__xludf.DUMMYFUNCTION("""COMPUTED_VALUE"""),3610.0)</f>
        <v>3610</v>
      </c>
      <c r="C2490" s="1">
        <f>IFERROR(__xludf.DUMMYFUNCTION("""COMPUTED_VALUE"""),3690.0)</f>
        <v>3690</v>
      </c>
      <c r="D2490" s="1">
        <f>IFERROR(__xludf.DUMMYFUNCTION("""COMPUTED_VALUE"""),3520.0)</f>
        <v>3520</v>
      </c>
      <c r="E2490" s="1">
        <f>IFERROR(__xludf.DUMMYFUNCTION("""COMPUTED_VALUE"""),3665.0)</f>
        <v>3665</v>
      </c>
      <c r="F2490" s="1">
        <f>IFERROR(__xludf.DUMMYFUNCTION("""COMPUTED_VALUE"""),76803.0)</f>
        <v>76803</v>
      </c>
    </row>
    <row r="2491">
      <c r="A2491" s="2">
        <f>IFERROR(__xludf.DUMMYFUNCTION("""COMPUTED_VALUE"""),44897.64583333333)</f>
        <v>44897.64583</v>
      </c>
      <c r="B2491" s="1">
        <f>IFERROR(__xludf.DUMMYFUNCTION("""COMPUTED_VALUE"""),3820.0)</f>
        <v>3820</v>
      </c>
      <c r="C2491" s="1">
        <f>IFERROR(__xludf.DUMMYFUNCTION("""COMPUTED_VALUE"""),4760.0)</f>
        <v>4760</v>
      </c>
      <c r="D2491" s="1">
        <f>IFERROR(__xludf.DUMMYFUNCTION("""COMPUTED_VALUE"""),3760.0)</f>
        <v>3760</v>
      </c>
      <c r="E2491" s="1">
        <f>IFERROR(__xludf.DUMMYFUNCTION("""COMPUTED_VALUE"""),4630.0)</f>
        <v>4630</v>
      </c>
      <c r="F2491" s="1">
        <f>IFERROR(__xludf.DUMMYFUNCTION("""COMPUTED_VALUE"""),2.1190382E7)</f>
        <v>21190382</v>
      </c>
    </row>
    <row r="2492">
      <c r="A2492" s="2">
        <f>IFERROR(__xludf.DUMMYFUNCTION("""COMPUTED_VALUE"""),44900.64583333333)</f>
        <v>44900.64583</v>
      </c>
      <c r="B2492" s="1">
        <f>IFERROR(__xludf.DUMMYFUNCTION("""COMPUTED_VALUE"""),4955.0)</f>
        <v>4955</v>
      </c>
      <c r="C2492" s="1">
        <f>IFERROR(__xludf.DUMMYFUNCTION("""COMPUTED_VALUE"""),5790.0)</f>
        <v>5790</v>
      </c>
      <c r="D2492" s="1">
        <f>IFERROR(__xludf.DUMMYFUNCTION("""COMPUTED_VALUE"""),4950.0)</f>
        <v>4950</v>
      </c>
      <c r="E2492" s="1">
        <f>IFERROR(__xludf.DUMMYFUNCTION("""COMPUTED_VALUE"""),5360.0)</f>
        <v>5360</v>
      </c>
      <c r="F2492" s="1">
        <f>IFERROR(__xludf.DUMMYFUNCTION("""COMPUTED_VALUE"""),1.9070695E7)</f>
        <v>19070695</v>
      </c>
    </row>
    <row r="2493">
      <c r="A2493" s="2">
        <f>IFERROR(__xludf.DUMMYFUNCTION("""COMPUTED_VALUE"""),44901.64583333333)</f>
        <v>44901.64583</v>
      </c>
      <c r="B2493" s="1">
        <f>IFERROR(__xludf.DUMMYFUNCTION("""COMPUTED_VALUE"""),5250.0)</f>
        <v>5250</v>
      </c>
      <c r="C2493" s="1">
        <f>IFERROR(__xludf.DUMMYFUNCTION("""COMPUTED_VALUE"""),5400.0)</f>
        <v>5400</v>
      </c>
      <c r="D2493" s="1">
        <f>IFERROR(__xludf.DUMMYFUNCTION("""COMPUTED_VALUE"""),5070.0)</f>
        <v>5070</v>
      </c>
      <c r="E2493" s="1">
        <f>IFERROR(__xludf.DUMMYFUNCTION("""COMPUTED_VALUE"""),5200.0)</f>
        <v>5200</v>
      </c>
      <c r="F2493" s="1">
        <f>IFERROR(__xludf.DUMMYFUNCTION("""COMPUTED_VALUE"""),3386269.0)</f>
        <v>3386269</v>
      </c>
    </row>
    <row r="2494">
      <c r="A2494" s="2">
        <f>IFERROR(__xludf.DUMMYFUNCTION("""COMPUTED_VALUE"""),44902.64583333333)</f>
        <v>44902.64583</v>
      </c>
      <c r="B2494" s="1">
        <f>IFERROR(__xludf.DUMMYFUNCTION("""COMPUTED_VALUE"""),5280.0)</f>
        <v>5280</v>
      </c>
      <c r="C2494" s="1">
        <f>IFERROR(__xludf.DUMMYFUNCTION("""COMPUTED_VALUE"""),5620.0)</f>
        <v>5620</v>
      </c>
      <c r="D2494" s="1">
        <f>IFERROR(__xludf.DUMMYFUNCTION("""COMPUTED_VALUE"""),4810.0)</f>
        <v>4810</v>
      </c>
      <c r="E2494" s="1">
        <f>IFERROR(__xludf.DUMMYFUNCTION("""COMPUTED_VALUE"""),4855.0)</f>
        <v>4855</v>
      </c>
      <c r="F2494" s="1">
        <f>IFERROR(__xludf.DUMMYFUNCTION("""COMPUTED_VALUE"""),3984919.0)</f>
        <v>3984919</v>
      </c>
    </row>
    <row r="2495">
      <c r="A2495" s="2">
        <f>IFERROR(__xludf.DUMMYFUNCTION("""COMPUTED_VALUE"""),44903.64583333333)</f>
        <v>44903.64583</v>
      </c>
      <c r="B2495" s="1">
        <f>IFERROR(__xludf.DUMMYFUNCTION("""COMPUTED_VALUE"""),4720.0)</f>
        <v>4720</v>
      </c>
      <c r="C2495" s="1">
        <f>IFERROR(__xludf.DUMMYFUNCTION("""COMPUTED_VALUE"""),4930.0)</f>
        <v>4930</v>
      </c>
      <c r="D2495" s="1">
        <f>IFERROR(__xludf.DUMMYFUNCTION("""COMPUTED_VALUE"""),4535.0)</f>
        <v>4535</v>
      </c>
      <c r="E2495" s="1">
        <f>IFERROR(__xludf.DUMMYFUNCTION("""COMPUTED_VALUE"""),4915.0)</f>
        <v>4915</v>
      </c>
      <c r="F2495" s="1">
        <f>IFERROR(__xludf.DUMMYFUNCTION("""COMPUTED_VALUE"""),2913077.0)</f>
        <v>2913077</v>
      </c>
    </row>
    <row r="2496">
      <c r="A2496" s="2">
        <f>IFERROR(__xludf.DUMMYFUNCTION("""COMPUTED_VALUE"""),44904.64583333333)</f>
        <v>44904.64583</v>
      </c>
      <c r="B2496" s="1">
        <f>IFERROR(__xludf.DUMMYFUNCTION("""COMPUTED_VALUE"""),4845.0)</f>
        <v>4845</v>
      </c>
      <c r="C2496" s="1">
        <f>IFERROR(__xludf.DUMMYFUNCTION("""COMPUTED_VALUE"""),4845.0)</f>
        <v>4845</v>
      </c>
      <c r="D2496" s="1">
        <f>IFERROR(__xludf.DUMMYFUNCTION("""COMPUTED_VALUE"""),4550.0)</f>
        <v>4550</v>
      </c>
      <c r="E2496" s="1">
        <f>IFERROR(__xludf.DUMMYFUNCTION("""COMPUTED_VALUE"""),4620.0)</f>
        <v>4620</v>
      </c>
      <c r="F2496" s="1">
        <f>IFERROR(__xludf.DUMMYFUNCTION("""COMPUTED_VALUE"""),1610640.0)</f>
        <v>1610640</v>
      </c>
    </row>
    <row r="2497">
      <c r="A2497" s="2">
        <f>IFERROR(__xludf.DUMMYFUNCTION("""COMPUTED_VALUE"""),44907.64583333333)</f>
        <v>44907.64583</v>
      </c>
      <c r="B2497" s="1">
        <f>IFERROR(__xludf.DUMMYFUNCTION("""COMPUTED_VALUE"""),4595.0)</f>
        <v>4595</v>
      </c>
      <c r="C2497" s="1">
        <f>IFERROR(__xludf.DUMMYFUNCTION("""COMPUTED_VALUE"""),4920.0)</f>
        <v>4920</v>
      </c>
      <c r="D2497" s="1">
        <f>IFERROR(__xludf.DUMMYFUNCTION("""COMPUTED_VALUE"""),4550.0)</f>
        <v>4550</v>
      </c>
      <c r="E2497" s="1">
        <f>IFERROR(__xludf.DUMMYFUNCTION("""COMPUTED_VALUE"""),4740.0)</f>
        <v>4740</v>
      </c>
      <c r="F2497" s="1">
        <f>IFERROR(__xludf.DUMMYFUNCTION("""COMPUTED_VALUE"""),1985667.0)</f>
        <v>1985667</v>
      </c>
    </row>
    <row r="2498">
      <c r="A2498" s="2">
        <f>IFERROR(__xludf.DUMMYFUNCTION("""COMPUTED_VALUE"""),44908.64583333333)</f>
        <v>44908.64583</v>
      </c>
      <c r="B2498" s="1">
        <f>IFERROR(__xludf.DUMMYFUNCTION("""COMPUTED_VALUE"""),4670.0)</f>
        <v>4670</v>
      </c>
      <c r="C2498" s="1">
        <f>IFERROR(__xludf.DUMMYFUNCTION("""COMPUTED_VALUE"""),4835.0)</f>
        <v>4835</v>
      </c>
      <c r="D2498" s="1">
        <f>IFERROR(__xludf.DUMMYFUNCTION("""COMPUTED_VALUE"""),4580.0)</f>
        <v>4580</v>
      </c>
      <c r="E2498" s="1">
        <f>IFERROR(__xludf.DUMMYFUNCTION("""COMPUTED_VALUE"""),4730.0)</f>
        <v>4730</v>
      </c>
      <c r="F2498" s="1">
        <f>IFERROR(__xludf.DUMMYFUNCTION("""COMPUTED_VALUE"""),1048717.0)</f>
        <v>1048717</v>
      </c>
    </row>
    <row r="2499">
      <c r="A2499" s="2">
        <f>IFERROR(__xludf.DUMMYFUNCTION("""COMPUTED_VALUE"""),44909.64583333333)</f>
        <v>44909.64583</v>
      </c>
      <c r="B2499" s="1">
        <f>IFERROR(__xludf.DUMMYFUNCTION("""COMPUTED_VALUE"""),4810.0)</f>
        <v>4810</v>
      </c>
      <c r="C2499" s="1">
        <f>IFERROR(__xludf.DUMMYFUNCTION("""COMPUTED_VALUE"""),5190.0)</f>
        <v>5190</v>
      </c>
      <c r="D2499" s="1">
        <f>IFERROR(__xludf.DUMMYFUNCTION("""COMPUTED_VALUE"""),4645.0)</f>
        <v>4645</v>
      </c>
      <c r="E2499" s="1">
        <f>IFERROR(__xludf.DUMMYFUNCTION("""COMPUTED_VALUE"""),4705.0)</f>
        <v>4705</v>
      </c>
      <c r="F2499" s="1">
        <f>IFERROR(__xludf.DUMMYFUNCTION("""COMPUTED_VALUE"""),7288310.0)</f>
        <v>7288310</v>
      </c>
    </row>
    <row r="2500">
      <c r="A2500" s="2">
        <f>IFERROR(__xludf.DUMMYFUNCTION("""COMPUTED_VALUE"""),44910.64583333333)</f>
        <v>44910.64583</v>
      </c>
      <c r="B2500" s="1">
        <f>IFERROR(__xludf.DUMMYFUNCTION("""COMPUTED_VALUE"""),4790.0)</f>
        <v>4790</v>
      </c>
      <c r="C2500" s="1">
        <f>IFERROR(__xludf.DUMMYFUNCTION("""COMPUTED_VALUE"""),4845.0)</f>
        <v>4845</v>
      </c>
      <c r="D2500" s="1">
        <f>IFERROR(__xludf.DUMMYFUNCTION("""COMPUTED_VALUE"""),4390.0)</f>
        <v>4390</v>
      </c>
      <c r="E2500" s="1">
        <f>IFERROR(__xludf.DUMMYFUNCTION("""COMPUTED_VALUE"""),4425.0)</f>
        <v>4425</v>
      </c>
      <c r="F2500" s="1">
        <f>IFERROR(__xludf.DUMMYFUNCTION("""COMPUTED_VALUE"""),2073597.0)</f>
        <v>2073597</v>
      </c>
    </row>
    <row r="2501">
      <c r="A2501" s="2">
        <f>IFERROR(__xludf.DUMMYFUNCTION("""COMPUTED_VALUE"""),44911.64583333333)</f>
        <v>44911.64583</v>
      </c>
      <c r="B2501" s="1">
        <f>IFERROR(__xludf.DUMMYFUNCTION("""COMPUTED_VALUE"""),4395.0)</f>
        <v>4395</v>
      </c>
      <c r="C2501" s="1">
        <f>IFERROR(__xludf.DUMMYFUNCTION("""COMPUTED_VALUE"""),4555.0)</f>
        <v>4555</v>
      </c>
      <c r="D2501" s="1">
        <f>IFERROR(__xludf.DUMMYFUNCTION("""COMPUTED_VALUE"""),4330.0)</f>
        <v>4330</v>
      </c>
      <c r="E2501" s="1">
        <f>IFERROR(__xludf.DUMMYFUNCTION("""COMPUTED_VALUE"""),4420.0)</f>
        <v>4420</v>
      </c>
      <c r="F2501" s="1">
        <f>IFERROR(__xludf.DUMMYFUNCTION("""COMPUTED_VALUE"""),679960.0)</f>
        <v>679960</v>
      </c>
    </row>
    <row r="2502">
      <c r="A2502" s="2">
        <f>IFERROR(__xludf.DUMMYFUNCTION("""COMPUTED_VALUE"""),44914.64583333333)</f>
        <v>44914.64583</v>
      </c>
      <c r="B2502" s="1">
        <f>IFERROR(__xludf.DUMMYFUNCTION("""COMPUTED_VALUE"""),4355.0)</f>
        <v>4355</v>
      </c>
      <c r="C2502" s="1">
        <f>IFERROR(__xludf.DUMMYFUNCTION("""COMPUTED_VALUE"""),5060.0)</f>
        <v>5060</v>
      </c>
      <c r="D2502" s="1">
        <f>IFERROR(__xludf.DUMMYFUNCTION("""COMPUTED_VALUE"""),4355.0)</f>
        <v>4355</v>
      </c>
      <c r="E2502" s="1">
        <f>IFERROR(__xludf.DUMMYFUNCTION("""COMPUTED_VALUE"""),4795.0)</f>
        <v>4795</v>
      </c>
      <c r="F2502" s="1">
        <f>IFERROR(__xludf.DUMMYFUNCTION("""COMPUTED_VALUE"""),3924702.0)</f>
        <v>3924702</v>
      </c>
    </row>
    <row r="2503">
      <c r="A2503" s="2">
        <f>IFERROR(__xludf.DUMMYFUNCTION("""COMPUTED_VALUE"""),44915.64583333333)</f>
        <v>44915.64583</v>
      </c>
      <c r="B2503" s="1">
        <f>IFERROR(__xludf.DUMMYFUNCTION("""COMPUTED_VALUE"""),4695.0)</f>
        <v>4695</v>
      </c>
      <c r="C2503" s="1">
        <f>IFERROR(__xludf.DUMMYFUNCTION("""COMPUTED_VALUE"""),4930.0)</f>
        <v>4930</v>
      </c>
      <c r="D2503" s="1">
        <f>IFERROR(__xludf.DUMMYFUNCTION("""COMPUTED_VALUE"""),4455.0)</f>
        <v>4455</v>
      </c>
      <c r="E2503" s="1">
        <f>IFERROR(__xludf.DUMMYFUNCTION("""COMPUTED_VALUE"""),4505.0)</f>
        <v>4505</v>
      </c>
      <c r="F2503" s="1">
        <f>IFERROR(__xludf.DUMMYFUNCTION("""COMPUTED_VALUE"""),1426235.0)</f>
        <v>1426235</v>
      </c>
    </row>
    <row r="2504">
      <c r="A2504" s="2">
        <f>IFERROR(__xludf.DUMMYFUNCTION("""COMPUTED_VALUE"""),44916.64583333333)</f>
        <v>44916.64583</v>
      </c>
      <c r="B2504" s="1">
        <f>IFERROR(__xludf.DUMMYFUNCTION("""COMPUTED_VALUE"""),4585.0)</f>
        <v>4585</v>
      </c>
      <c r="C2504" s="1">
        <f>IFERROR(__xludf.DUMMYFUNCTION("""COMPUTED_VALUE"""),4965.0)</f>
        <v>4965</v>
      </c>
      <c r="D2504" s="1">
        <f>IFERROR(__xludf.DUMMYFUNCTION("""COMPUTED_VALUE"""),4555.0)</f>
        <v>4555</v>
      </c>
      <c r="E2504" s="1">
        <f>IFERROR(__xludf.DUMMYFUNCTION("""COMPUTED_VALUE"""),4855.0)</f>
        <v>4855</v>
      </c>
      <c r="F2504" s="1">
        <f>IFERROR(__xludf.DUMMYFUNCTION("""COMPUTED_VALUE"""),3019169.0)</f>
        <v>3019169</v>
      </c>
    </row>
    <row r="2505">
      <c r="A2505" s="2">
        <f>IFERROR(__xludf.DUMMYFUNCTION("""COMPUTED_VALUE"""),44917.64583333333)</f>
        <v>44917.64583</v>
      </c>
      <c r="B2505" s="1">
        <f>IFERROR(__xludf.DUMMYFUNCTION("""COMPUTED_VALUE"""),4805.0)</f>
        <v>4805</v>
      </c>
      <c r="C2505" s="1">
        <f>IFERROR(__xludf.DUMMYFUNCTION("""COMPUTED_VALUE"""),4840.0)</f>
        <v>4840</v>
      </c>
      <c r="D2505" s="1">
        <f>IFERROR(__xludf.DUMMYFUNCTION("""COMPUTED_VALUE"""),4650.0)</f>
        <v>4650</v>
      </c>
      <c r="E2505" s="1">
        <f>IFERROR(__xludf.DUMMYFUNCTION("""COMPUTED_VALUE"""),4735.0)</f>
        <v>4735</v>
      </c>
      <c r="F2505" s="1">
        <f>IFERROR(__xludf.DUMMYFUNCTION("""COMPUTED_VALUE"""),849852.0)</f>
        <v>849852</v>
      </c>
    </row>
    <row r="2506">
      <c r="A2506" s="2">
        <f>IFERROR(__xludf.DUMMYFUNCTION("""COMPUTED_VALUE"""),44918.64583333333)</f>
        <v>44918.64583</v>
      </c>
      <c r="B2506" s="1">
        <f>IFERROR(__xludf.DUMMYFUNCTION("""COMPUTED_VALUE"""),4740.0)</f>
        <v>4740</v>
      </c>
      <c r="C2506" s="1">
        <f>IFERROR(__xludf.DUMMYFUNCTION("""COMPUTED_VALUE"""),4740.0)</f>
        <v>4740</v>
      </c>
      <c r="D2506" s="1">
        <f>IFERROR(__xludf.DUMMYFUNCTION("""COMPUTED_VALUE"""),4095.0)</f>
        <v>4095</v>
      </c>
      <c r="E2506" s="1">
        <f>IFERROR(__xludf.DUMMYFUNCTION("""COMPUTED_VALUE"""),4125.0)</f>
        <v>4125</v>
      </c>
      <c r="F2506" s="1">
        <f>IFERROR(__xludf.DUMMYFUNCTION("""COMPUTED_VALUE"""),1485135.0)</f>
        <v>1485135</v>
      </c>
    </row>
    <row r="2507">
      <c r="A2507" s="2">
        <f>IFERROR(__xludf.DUMMYFUNCTION("""COMPUTED_VALUE"""),44921.64583333333)</f>
        <v>44921.64583</v>
      </c>
      <c r="B2507" s="1">
        <f>IFERROR(__xludf.DUMMYFUNCTION("""COMPUTED_VALUE"""),4195.0)</f>
        <v>4195</v>
      </c>
      <c r="C2507" s="1">
        <f>IFERROR(__xludf.DUMMYFUNCTION("""COMPUTED_VALUE"""),4200.0)</f>
        <v>4200</v>
      </c>
      <c r="D2507" s="1">
        <f>IFERROR(__xludf.DUMMYFUNCTION("""COMPUTED_VALUE"""),3885.0)</f>
        <v>3885</v>
      </c>
      <c r="E2507" s="1">
        <f>IFERROR(__xludf.DUMMYFUNCTION("""COMPUTED_VALUE"""),4080.0)</f>
        <v>4080</v>
      </c>
      <c r="F2507" s="1">
        <f>IFERROR(__xludf.DUMMYFUNCTION("""COMPUTED_VALUE"""),590292.0)</f>
        <v>590292</v>
      </c>
    </row>
    <row r="2508">
      <c r="A2508" s="2">
        <f>IFERROR(__xludf.DUMMYFUNCTION("""COMPUTED_VALUE"""),44922.64583333333)</f>
        <v>44922.64583</v>
      </c>
      <c r="B2508" s="1">
        <f>IFERROR(__xludf.DUMMYFUNCTION("""COMPUTED_VALUE"""),4070.0)</f>
        <v>4070</v>
      </c>
      <c r="C2508" s="1">
        <f>IFERROR(__xludf.DUMMYFUNCTION("""COMPUTED_VALUE"""),4270.0)</f>
        <v>4270</v>
      </c>
      <c r="D2508" s="1">
        <f>IFERROR(__xludf.DUMMYFUNCTION("""COMPUTED_VALUE"""),4035.0)</f>
        <v>4035</v>
      </c>
      <c r="E2508" s="1">
        <f>IFERROR(__xludf.DUMMYFUNCTION("""COMPUTED_VALUE"""),4150.0)</f>
        <v>4150</v>
      </c>
      <c r="F2508" s="1">
        <f>IFERROR(__xludf.DUMMYFUNCTION("""COMPUTED_VALUE"""),575907.0)</f>
        <v>575907</v>
      </c>
    </row>
    <row r="2509">
      <c r="A2509" s="2">
        <f>IFERROR(__xludf.DUMMYFUNCTION("""COMPUTED_VALUE"""),44923.64583333333)</f>
        <v>44923.64583</v>
      </c>
      <c r="B2509" s="1">
        <f>IFERROR(__xludf.DUMMYFUNCTION("""COMPUTED_VALUE"""),4110.0)</f>
        <v>4110</v>
      </c>
      <c r="C2509" s="1">
        <f>IFERROR(__xludf.DUMMYFUNCTION("""COMPUTED_VALUE"""),4275.0)</f>
        <v>4275</v>
      </c>
      <c r="D2509" s="1">
        <f>IFERROR(__xludf.DUMMYFUNCTION("""COMPUTED_VALUE"""),3985.0)</f>
        <v>3985</v>
      </c>
      <c r="E2509" s="1">
        <f>IFERROR(__xludf.DUMMYFUNCTION("""COMPUTED_VALUE"""),4195.0)</f>
        <v>4195</v>
      </c>
      <c r="F2509" s="1">
        <f>IFERROR(__xludf.DUMMYFUNCTION("""COMPUTED_VALUE"""),425741.0)</f>
        <v>425741</v>
      </c>
    </row>
    <row r="2510">
      <c r="A2510" s="2">
        <f>IFERROR(__xludf.DUMMYFUNCTION("""COMPUTED_VALUE"""),44924.64583333333)</f>
        <v>44924.64583</v>
      </c>
      <c r="B2510" s="1">
        <f>IFERROR(__xludf.DUMMYFUNCTION("""COMPUTED_VALUE"""),4185.0)</f>
        <v>4185</v>
      </c>
      <c r="C2510" s="1">
        <f>IFERROR(__xludf.DUMMYFUNCTION("""COMPUTED_VALUE"""),4600.0)</f>
        <v>4600</v>
      </c>
      <c r="D2510" s="1">
        <f>IFERROR(__xludf.DUMMYFUNCTION("""COMPUTED_VALUE"""),4155.0)</f>
        <v>4155</v>
      </c>
      <c r="E2510" s="1">
        <f>IFERROR(__xludf.DUMMYFUNCTION("""COMPUTED_VALUE"""),4240.0)</f>
        <v>4240</v>
      </c>
      <c r="F2510" s="1">
        <f>IFERROR(__xludf.DUMMYFUNCTION("""COMPUTED_VALUE"""),1695446.0)</f>
        <v>1695446</v>
      </c>
    </row>
    <row r="2511">
      <c r="A2511" s="2">
        <f>IFERROR(__xludf.DUMMYFUNCTION("""COMPUTED_VALUE"""),44928.64583333333)</f>
        <v>44928.64583</v>
      </c>
      <c r="B2511" s="1">
        <f>IFERROR(__xludf.DUMMYFUNCTION("""COMPUTED_VALUE"""),4310.0)</f>
        <v>4310</v>
      </c>
      <c r="C2511" s="1">
        <f>IFERROR(__xludf.DUMMYFUNCTION("""COMPUTED_VALUE"""),4445.0)</f>
        <v>4445</v>
      </c>
      <c r="D2511" s="1">
        <f>IFERROR(__xludf.DUMMYFUNCTION("""COMPUTED_VALUE"""),4025.0)</f>
        <v>4025</v>
      </c>
      <c r="E2511" s="1">
        <f>IFERROR(__xludf.DUMMYFUNCTION("""COMPUTED_VALUE"""),4265.0)</f>
        <v>4265</v>
      </c>
      <c r="F2511" s="1">
        <f>IFERROR(__xludf.DUMMYFUNCTION("""COMPUTED_VALUE"""),404728.0)</f>
        <v>404728</v>
      </c>
    </row>
    <row r="2512">
      <c r="A2512" s="2">
        <f>IFERROR(__xludf.DUMMYFUNCTION("""COMPUTED_VALUE"""),44929.64583333333)</f>
        <v>44929.64583</v>
      </c>
      <c r="B2512" s="1">
        <f>IFERROR(__xludf.DUMMYFUNCTION("""COMPUTED_VALUE"""),4415.0)</f>
        <v>4415</v>
      </c>
      <c r="C2512" s="1">
        <f>IFERROR(__xludf.DUMMYFUNCTION("""COMPUTED_VALUE"""),4460.0)</f>
        <v>4460</v>
      </c>
      <c r="D2512" s="1">
        <f>IFERROR(__xludf.DUMMYFUNCTION("""COMPUTED_VALUE"""),4080.0)</f>
        <v>4080</v>
      </c>
      <c r="E2512" s="1">
        <f>IFERROR(__xludf.DUMMYFUNCTION("""COMPUTED_VALUE"""),4085.0)</f>
        <v>4085</v>
      </c>
      <c r="F2512" s="1">
        <f>IFERROR(__xludf.DUMMYFUNCTION("""COMPUTED_VALUE"""),484975.0)</f>
        <v>484975</v>
      </c>
    </row>
    <row r="2513">
      <c r="A2513" s="2">
        <f>IFERROR(__xludf.DUMMYFUNCTION("""COMPUTED_VALUE"""),44930.64583333333)</f>
        <v>44930.64583</v>
      </c>
      <c r="B2513" s="1">
        <f>IFERROR(__xludf.DUMMYFUNCTION("""COMPUTED_VALUE"""),4060.0)</f>
        <v>4060</v>
      </c>
      <c r="C2513" s="1">
        <f>IFERROR(__xludf.DUMMYFUNCTION("""COMPUTED_VALUE"""),4230.0)</f>
        <v>4230</v>
      </c>
      <c r="D2513" s="1">
        <f>IFERROR(__xludf.DUMMYFUNCTION("""COMPUTED_VALUE"""),4050.0)</f>
        <v>4050</v>
      </c>
      <c r="E2513" s="1">
        <f>IFERROR(__xludf.DUMMYFUNCTION("""COMPUTED_VALUE"""),4130.0)</f>
        <v>4130</v>
      </c>
      <c r="F2513" s="1">
        <f>IFERROR(__xludf.DUMMYFUNCTION("""COMPUTED_VALUE"""),182782.0)</f>
        <v>182782</v>
      </c>
    </row>
    <row r="2514">
      <c r="A2514" s="2">
        <f>IFERROR(__xludf.DUMMYFUNCTION("""COMPUTED_VALUE"""),44931.64583333333)</f>
        <v>44931.64583</v>
      </c>
      <c r="B2514" s="1">
        <f>IFERROR(__xludf.DUMMYFUNCTION("""COMPUTED_VALUE"""),4135.0)</f>
        <v>4135</v>
      </c>
      <c r="C2514" s="1">
        <f>IFERROR(__xludf.DUMMYFUNCTION("""COMPUTED_VALUE"""),4330.0)</f>
        <v>4330</v>
      </c>
      <c r="D2514" s="1">
        <f>IFERROR(__xludf.DUMMYFUNCTION("""COMPUTED_VALUE"""),4100.0)</f>
        <v>4100</v>
      </c>
      <c r="E2514" s="1">
        <f>IFERROR(__xludf.DUMMYFUNCTION("""COMPUTED_VALUE"""),4130.0)</f>
        <v>4130</v>
      </c>
      <c r="F2514" s="1">
        <f>IFERROR(__xludf.DUMMYFUNCTION("""COMPUTED_VALUE"""),331511.0)</f>
        <v>331511</v>
      </c>
    </row>
    <row r="2515">
      <c r="A2515" s="2">
        <f>IFERROR(__xludf.DUMMYFUNCTION("""COMPUTED_VALUE"""),44932.64583333333)</f>
        <v>44932.64583</v>
      </c>
      <c r="B2515" s="1">
        <f>IFERROR(__xludf.DUMMYFUNCTION("""COMPUTED_VALUE"""),4155.0)</f>
        <v>4155</v>
      </c>
      <c r="C2515" s="1">
        <f>IFERROR(__xludf.DUMMYFUNCTION("""COMPUTED_VALUE"""),4200.0)</f>
        <v>4200</v>
      </c>
      <c r="D2515" s="1">
        <f>IFERROR(__xludf.DUMMYFUNCTION("""COMPUTED_VALUE"""),4030.0)</f>
        <v>4030</v>
      </c>
      <c r="E2515" s="1">
        <f>IFERROR(__xludf.DUMMYFUNCTION("""COMPUTED_VALUE"""),4165.0)</f>
        <v>4165</v>
      </c>
      <c r="F2515" s="1">
        <f>IFERROR(__xludf.DUMMYFUNCTION("""COMPUTED_VALUE"""),259446.0)</f>
        <v>259446</v>
      </c>
    </row>
    <row r="2516">
      <c r="A2516" s="2">
        <f>IFERROR(__xludf.DUMMYFUNCTION("""COMPUTED_VALUE"""),44935.64583333333)</f>
        <v>44935.64583</v>
      </c>
      <c r="B2516" s="1">
        <f>IFERROR(__xludf.DUMMYFUNCTION("""COMPUTED_VALUE"""),4165.0)</f>
        <v>4165</v>
      </c>
      <c r="C2516" s="1">
        <f>IFERROR(__xludf.DUMMYFUNCTION("""COMPUTED_VALUE"""),4315.0)</f>
        <v>4315</v>
      </c>
      <c r="D2516" s="1">
        <f>IFERROR(__xludf.DUMMYFUNCTION("""COMPUTED_VALUE"""),4140.0)</f>
        <v>4140</v>
      </c>
      <c r="E2516" s="1">
        <f>IFERROR(__xludf.DUMMYFUNCTION("""COMPUTED_VALUE"""),4265.0)</f>
        <v>4265</v>
      </c>
      <c r="F2516" s="1">
        <f>IFERROR(__xludf.DUMMYFUNCTION("""COMPUTED_VALUE"""),231422.0)</f>
        <v>231422</v>
      </c>
    </row>
    <row r="2517">
      <c r="A2517" s="2">
        <f>IFERROR(__xludf.DUMMYFUNCTION("""COMPUTED_VALUE"""),44936.64583333333)</f>
        <v>44936.64583</v>
      </c>
      <c r="B2517" s="1">
        <f>IFERROR(__xludf.DUMMYFUNCTION("""COMPUTED_VALUE"""),4245.0)</f>
        <v>4245</v>
      </c>
      <c r="C2517" s="1">
        <f>IFERROR(__xludf.DUMMYFUNCTION("""COMPUTED_VALUE"""),4455.0)</f>
        <v>4455</v>
      </c>
      <c r="D2517" s="1">
        <f>IFERROR(__xludf.DUMMYFUNCTION("""COMPUTED_VALUE"""),4210.0)</f>
        <v>4210</v>
      </c>
      <c r="E2517" s="1">
        <f>IFERROR(__xludf.DUMMYFUNCTION("""COMPUTED_VALUE"""),4375.0)</f>
        <v>4375</v>
      </c>
      <c r="F2517" s="1">
        <f>IFERROR(__xludf.DUMMYFUNCTION("""COMPUTED_VALUE"""),331168.0)</f>
        <v>331168</v>
      </c>
    </row>
    <row r="2518">
      <c r="A2518" s="2">
        <f>IFERROR(__xludf.DUMMYFUNCTION("""COMPUTED_VALUE"""),44937.64583333333)</f>
        <v>44937.64583</v>
      </c>
      <c r="B2518" s="1">
        <f>IFERROR(__xludf.DUMMYFUNCTION("""COMPUTED_VALUE"""),4375.0)</f>
        <v>4375</v>
      </c>
      <c r="C2518" s="1">
        <f>IFERROR(__xludf.DUMMYFUNCTION("""COMPUTED_VALUE"""),4455.0)</f>
        <v>4455</v>
      </c>
      <c r="D2518" s="1">
        <f>IFERROR(__xludf.DUMMYFUNCTION("""COMPUTED_VALUE"""),4250.0)</f>
        <v>4250</v>
      </c>
      <c r="E2518" s="1">
        <f>IFERROR(__xludf.DUMMYFUNCTION("""COMPUTED_VALUE"""),4265.0)</f>
        <v>4265</v>
      </c>
      <c r="F2518" s="1">
        <f>IFERROR(__xludf.DUMMYFUNCTION("""COMPUTED_VALUE"""),246669.0)</f>
        <v>246669</v>
      </c>
    </row>
    <row r="2519">
      <c r="A2519" s="2">
        <f>IFERROR(__xludf.DUMMYFUNCTION("""COMPUTED_VALUE"""),44938.64583333333)</f>
        <v>44938.64583</v>
      </c>
      <c r="B2519" s="1">
        <f>IFERROR(__xludf.DUMMYFUNCTION("""COMPUTED_VALUE"""),4280.0)</f>
        <v>4280</v>
      </c>
      <c r="C2519" s="1">
        <f>IFERROR(__xludf.DUMMYFUNCTION("""COMPUTED_VALUE"""),4335.0)</f>
        <v>4335</v>
      </c>
      <c r="D2519" s="1">
        <f>IFERROR(__xludf.DUMMYFUNCTION("""COMPUTED_VALUE"""),4230.0)</f>
        <v>4230</v>
      </c>
      <c r="E2519" s="1">
        <f>IFERROR(__xludf.DUMMYFUNCTION("""COMPUTED_VALUE"""),4315.0)</f>
        <v>4315</v>
      </c>
      <c r="F2519" s="1">
        <f>IFERROR(__xludf.DUMMYFUNCTION("""COMPUTED_VALUE"""),138333.0)</f>
        <v>138333</v>
      </c>
    </row>
    <row r="2520">
      <c r="A2520" s="2">
        <f>IFERROR(__xludf.DUMMYFUNCTION("""COMPUTED_VALUE"""),44939.64583333333)</f>
        <v>44939.64583</v>
      </c>
      <c r="B2520" s="1">
        <f>IFERROR(__xludf.DUMMYFUNCTION("""COMPUTED_VALUE"""),4320.0)</f>
        <v>4320</v>
      </c>
      <c r="C2520" s="1">
        <f>IFERROR(__xludf.DUMMYFUNCTION("""COMPUTED_VALUE"""),4365.0)</f>
        <v>4365</v>
      </c>
      <c r="D2520" s="1">
        <f>IFERROR(__xludf.DUMMYFUNCTION("""COMPUTED_VALUE"""),4200.0)</f>
        <v>4200</v>
      </c>
      <c r="E2520" s="1">
        <f>IFERROR(__xludf.DUMMYFUNCTION("""COMPUTED_VALUE"""),4250.0)</f>
        <v>4250</v>
      </c>
      <c r="F2520" s="1">
        <f>IFERROR(__xludf.DUMMYFUNCTION("""COMPUTED_VALUE"""),176093.0)</f>
        <v>176093</v>
      </c>
    </row>
    <row r="2521">
      <c r="A2521" s="2">
        <f>IFERROR(__xludf.DUMMYFUNCTION("""COMPUTED_VALUE"""),44942.64583333333)</f>
        <v>44942.64583</v>
      </c>
      <c r="B2521" s="1">
        <f>IFERROR(__xludf.DUMMYFUNCTION("""COMPUTED_VALUE"""),4250.0)</f>
        <v>4250</v>
      </c>
      <c r="C2521" s="1">
        <f>IFERROR(__xludf.DUMMYFUNCTION("""COMPUTED_VALUE"""),4270.0)</f>
        <v>4270</v>
      </c>
      <c r="D2521" s="1">
        <f>IFERROR(__xludf.DUMMYFUNCTION("""COMPUTED_VALUE"""),4165.0)</f>
        <v>4165</v>
      </c>
      <c r="E2521" s="1">
        <f>IFERROR(__xludf.DUMMYFUNCTION("""COMPUTED_VALUE"""),4195.0)</f>
        <v>4195</v>
      </c>
      <c r="F2521" s="1">
        <f>IFERROR(__xludf.DUMMYFUNCTION("""COMPUTED_VALUE"""),105921.0)</f>
        <v>105921</v>
      </c>
    </row>
    <row r="2522">
      <c r="A2522" s="2">
        <f>IFERROR(__xludf.DUMMYFUNCTION("""COMPUTED_VALUE"""),44943.64583333333)</f>
        <v>44943.64583</v>
      </c>
      <c r="B2522" s="1">
        <f>IFERROR(__xludf.DUMMYFUNCTION("""COMPUTED_VALUE"""),4160.0)</f>
        <v>4160</v>
      </c>
      <c r="C2522" s="1">
        <f>IFERROR(__xludf.DUMMYFUNCTION("""COMPUTED_VALUE"""),4230.0)</f>
        <v>4230</v>
      </c>
      <c r="D2522" s="1">
        <f>IFERROR(__xludf.DUMMYFUNCTION("""COMPUTED_VALUE"""),4100.0)</f>
        <v>4100</v>
      </c>
      <c r="E2522" s="1">
        <f>IFERROR(__xludf.DUMMYFUNCTION("""COMPUTED_VALUE"""),4180.0)</f>
        <v>4180</v>
      </c>
      <c r="F2522" s="1">
        <f>IFERROR(__xludf.DUMMYFUNCTION("""COMPUTED_VALUE"""),138828.0)</f>
        <v>138828</v>
      </c>
    </row>
    <row r="2523">
      <c r="A2523" s="2">
        <f>IFERROR(__xludf.DUMMYFUNCTION("""COMPUTED_VALUE"""),44944.64583333333)</f>
        <v>44944.64583</v>
      </c>
      <c r="B2523" s="1">
        <f>IFERROR(__xludf.DUMMYFUNCTION("""COMPUTED_VALUE"""),4190.0)</f>
        <v>4190</v>
      </c>
      <c r="C2523" s="1">
        <f>IFERROR(__xludf.DUMMYFUNCTION("""COMPUTED_VALUE"""),4200.0)</f>
        <v>4200</v>
      </c>
      <c r="D2523" s="1">
        <f>IFERROR(__xludf.DUMMYFUNCTION("""COMPUTED_VALUE"""),4120.0)</f>
        <v>4120</v>
      </c>
      <c r="E2523" s="1">
        <f>IFERROR(__xludf.DUMMYFUNCTION("""COMPUTED_VALUE"""),4125.0)</f>
        <v>4125</v>
      </c>
      <c r="F2523" s="1">
        <f>IFERROR(__xludf.DUMMYFUNCTION("""COMPUTED_VALUE"""),123744.0)</f>
        <v>123744</v>
      </c>
    </row>
    <row r="2524">
      <c r="A2524" s="2">
        <f>IFERROR(__xludf.DUMMYFUNCTION("""COMPUTED_VALUE"""),44945.64583333333)</f>
        <v>44945.64583</v>
      </c>
      <c r="B2524" s="1">
        <f>IFERROR(__xludf.DUMMYFUNCTION("""COMPUTED_VALUE"""),4070.0)</f>
        <v>4070</v>
      </c>
      <c r="C2524" s="1">
        <f>IFERROR(__xludf.DUMMYFUNCTION("""COMPUTED_VALUE"""),4100.0)</f>
        <v>4100</v>
      </c>
      <c r="D2524" s="1">
        <f>IFERROR(__xludf.DUMMYFUNCTION("""COMPUTED_VALUE"""),3940.0)</f>
        <v>3940</v>
      </c>
      <c r="E2524" s="1">
        <f>IFERROR(__xludf.DUMMYFUNCTION("""COMPUTED_VALUE"""),3995.0)</f>
        <v>3995</v>
      </c>
      <c r="F2524" s="1">
        <f>IFERROR(__xludf.DUMMYFUNCTION("""COMPUTED_VALUE"""),230216.0)</f>
        <v>230216</v>
      </c>
    </row>
    <row r="2525">
      <c r="A2525" s="2">
        <f>IFERROR(__xludf.DUMMYFUNCTION("""COMPUTED_VALUE"""),44946.64583333333)</f>
        <v>44946.64583</v>
      </c>
      <c r="B2525" s="1">
        <f>IFERROR(__xludf.DUMMYFUNCTION("""COMPUTED_VALUE"""),3825.0)</f>
        <v>3825</v>
      </c>
      <c r="C2525" s="1">
        <f>IFERROR(__xludf.DUMMYFUNCTION("""COMPUTED_VALUE"""),4350.0)</f>
        <v>4350</v>
      </c>
      <c r="D2525" s="1">
        <f>IFERROR(__xludf.DUMMYFUNCTION("""COMPUTED_VALUE"""),3705.0)</f>
        <v>3705</v>
      </c>
      <c r="E2525" s="1">
        <f>IFERROR(__xludf.DUMMYFUNCTION("""COMPUTED_VALUE"""),4025.0)</f>
        <v>4025</v>
      </c>
      <c r="F2525" s="1">
        <f>IFERROR(__xludf.DUMMYFUNCTION("""COMPUTED_VALUE"""),1075478.0)</f>
        <v>1075478</v>
      </c>
    </row>
    <row r="2526">
      <c r="A2526" s="2">
        <f>IFERROR(__xludf.DUMMYFUNCTION("""COMPUTED_VALUE"""),44951.64583333333)</f>
        <v>44951.64583</v>
      </c>
      <c r="B2526" s="1">
        <f>IFERROR(__xludf.DUMMYFUNCTION("""COMPUTED_VALUE"""),4050.0)</f>
        <v>4050</v>
      </c>
      <c r="C2526" s="1">
        <f>IFERROR(__xludf.DUMMYFUNCTION("""COMPUTED_VALUE"""),4145.0)</f>
        <v>4145</v>
      </c>
      <c r="D2526" s="1">
        <f>IFERROR(__xludf.DUMMYFUNCTION("""COMPUTED_VALUE"""),4015.0)</f>
        <v>4015</v>
      </c>
      <c r="E2526" s="1">
        <f>IFERROR(__xludf.DUMMYFUNCTION("""COMPUTED_VALUE"""),4140.0)</f>
        <v>4140</v>
      </c>
      <c r="F2526" s="1">
        <f>IFERROR(__xludf.DUMMYFUNCTION("""COMPUTED_VALUE"""),151355.0)</f>
        <v>151355</v>
      </c>
    </row>
    <row r="2527">
      <c r="A2527" s="2">
        <f>IFERROR(__xludf.DUMMYFUNCTION("""COMPUTED_VALUE"""),44952.64583333333)</f>
        <v>44952.64583</v>
      </c>
      <c r="B2527" s="1">
        <f>IFERROR(__xludf.DUMMYFUNCTION("""COMPUTED_VALUE"""),4140.0)</f>
        <v>4140</v>
      </c>
      <c r="C2527" s="1">
        <f>IFERROR(__xludf.DUMMYFUNCTION("""COMPUTED_VALUE"""),4175.0)</f>
        <v>4175</v>
      </c>
      <c r="D2527" s="1">
        <f>IFERROR(__xludf.DUMMYFUNCTION("""COMPUTED_VALUE"""),4025.0)</f>
        <v>4025</v>
      </c>
      <c r="E2527" s="1">
        <f>IFERROR(__xludf.DUMMYFUNCTION("""COMPUTED_VALUE"""),4075.0)</f>
        <v>4075</v>
      </c>
      <c r="F2527" s="1">
        <f>IFERROR(__xludf.DUMMYFUNCTION("""COMPUTED_VALUE"""),168525.0)</f>
        <v>168525</v>
      </c>
    </row>
    <row r="2528">
      <c r="A2528" s="2">
        <f>IFERROR(__xludf.DUMMYFUNCTION("""COMPUTED_VALUE"""),44953.64583333333)</f>
        <v>44953.64583</v>
      </c>
      <c r="B2528" s="1">
        <f>IFERROR(__xludf.DUMMYFUNCTION("""COMPUTED_VALUE"""),4030.0)</f>
        <v>4030</v>
      </c>
      <c r="C2528" s="1">
        <f>IFERROR(__xludf.DUMMYFUNCTION("""COMPUTED_VALUE"""),4090.0)</f>
        <v>4090</v>
      </c>
      <c r="D2528" s="1">
        <f>IFERROR(__xludf.DUMMYFUNCTION("""COMPUTED_VALUE"""),3710.0)</f>
        <v>3710</v>
      </c>
      <c r="E2528" s="1">
        <f>IFERROR(__xludf.DUMMYFUNCTION("""COMPUTED_VALUE"""),3940.0)</f>
        <v>3940</v>
      </c>
      <c r="F2528" s="1">
        <f>IFERROR(__xludf.DUMMYFUNCTION("""COMPUTED_VALUE"""),343551.0)</f>
        <v>343551</v>
      </c>
    </row>
    <row r="2529">
      <c r="A2529" s="2">
        <f>IFERROR(__xludf.DUMMYFUNCTION("""COMPUTED_VALUE"""),44956.64583333333)</f>
        <v>44956.64583</v>
      </c>
      <c r="B2529" s="1">
        <f>IFERROR(__xludf.DUMMYFUNCTION("""COMPUTED_VALUE"""),3870.0)</f>
        <v>3870</v>
      </c>
      <c r="C2529" s="1">
        <f>IFERROR(__xludf.DUMMYFUNCTION("""COMPUTED_VALUE"""),3940.0)</f>
        <v>3940</v>
      </c>
      <c r="D2529" s="1">
        <f>IFERROR(__xludf.DUMMYFUNCTION("""COMPUTED_VALUE"""),3650.0)</f>
        <v>3650</v>
      </c>
      <c r="E2529" s="1">
        <f>IFERROR(__xludf.DUMMYFUNCTION("""COMPUTED_VALUE"""),3715.0)</f>
        <v>3715</v>
      </c>
      <c r="F2529" s="1">
        <f>IFERROR(__xludf.DUMMYFUNCTION("""COMPUTED_VALUE"""),673491.0)</f>
        <v>673491</v>
      </c>
    </row>
    <row r="2530">
      <c r="A2530" s="2">
        <f>IFERROR(__xludf.DUMMYFUNCTION("""COMPUTED_VALUE"""),44957.64583333333)</f>
        <v>44957.64583</v>
      </c>
      <c r="B2530" s="1">
        <f>IFERROR(__xludf.DUMMYFUNCTION("""COMPUTED_VALUE"""),3715.0)</f>
        <v>3715</v>
      </c>
      <c r="C2530" s="1">
        <f>IFERROR(__xludf.DUMMYFUNCTION("""COMPUTED_VALUE"""),3725.0)</f>
        <v>3725</v>
      </c>
      <c r="D2530" s="1">
        <f>IFERROR(__xludf.DUMMYFUNCTION("""COMPUTED_VALUE"""),3400.0)</f>
        <v>3400</v>
      </c>
      <c r="E2530" s="1">
        <f>IFERROR(__xludf.DUMMYFUNCTION("""COMPUTED_VALUE"""),3650.0)</f>
        <v>3650</v>
      </c>
      <c r="F2530" s="1">
        <f>IFERROR(__xludf.DUMMYFUNCTION("""COMPUTED_VALUE"""),470535.0)</f>
        <v>470535</v>
      </c>
    </row>
    <row r="2531">
      <c r="A2531" s="2">
        <f>IFERROR(__xludf.DUMMYFUNCTION("""COMPUTED_VALUE"""),44958.64583333333)</f>
        <v>44958.64583</v>
      </c>
      <c r="B2531" s="1">
        <f>IFERROR(__xludf.DUMMYFUNCTION("""COMPUTED_VALUE"""),3650.0)</f>
        <v>3650</v>
      </c>
      <c r="C2531" s="1">
        <f>IFERROR(__xludf.DUMMYFUNCTION("""COMPUTED_VALUE"""),3680.0)</f>
        <v>3680</v>
      </c>
      <c r="D2531" s="1">
        <f>IFERROR(__xludf.DUMMYFUNCTION("""COMPUTED_VALUE"""),3605.0)</f>
        <v>3605</v>
      </c>
      <c r="E2531" s="1">
        <f>IFERROR(__xludf.DUMMYFUNCTION("""COMPUTED_VALUE"""),3645.0)</f>
        <v>3645</v>
      </c>
      <c r="F2531" s="1">
        <f>IFERROR(__xludf.DUMMYFUNCTION("""COMPUTED_VALUE"""),216016.0)</f>
        <v>216016</v>
      </c>
    </row>
    <row r="2532">
      <c r="A2532" s="2">
        <f>IFERROR(__xludf.DUMMYFUNCTION("""COMPUTED_VALUE"""),44959.64583333333)</f>
        <v>44959.64583</v>
      </c>
      <c r="B2532" s="1">
        <f>IFERROR(__xludf.DUMMYFUNCTION("""COMPUTED_VALUE"""),3695.0)</f>
        <v>3695</v>
      </c>
      <c r="C2532" s="1">
        <f>IFERROR(__xludf.DUMMYFUNCTION("""COMPUTED_VALUE"""),3775.0)</f>
        <v>3775</v>
      </c>
      <c r="D2532" s="1">
        <f>IFERROR(__xludf.DUMMYFUNCTION("""COMPUTED_VALUE"""),3645.0)</f>
        <v>3645</v>
      </c>
      <c r="E2532" s="1">
        <f>IFERROR(__xludf.DUMMYFUNCTION("""COMPUTED_VALUE"""),3750.0)</f>
        <v>3750</v>
      </c>
      <c r="F2532" s="1">
        <f>IFERROR(__xludf.DUMMYFUNCTION("""COMPUTED_VALUE"""),239394.0)</f>
        <v>239394</v>
      </c>
    </row>
    <row r="2533">
      <c r="A2533" s="2">
        <f>IFERROR(__xludf.DUMMYFUNCTION("""COMPUTED_VALUE"""),44960.64583333333)</f>
        <v>44960.64583</v>
      </c>
      <c r="B2533" s="1">
        <f>IFERROR(__xludf.DUMMYFUNCTION("""COMPUTED_VALUE"""),3750.0)</f>
        <v>3750</v>
      </c>
      <c r="C2533" s="1">
        <f>IFERROR(__xludf.DUMMYFUNCTION("""COMPUTED_VALUE"""),3975.0)</f>
        <v>3975</v>
      </c>
      <c r="D2533" s="1">
        <f>IFERROR(__xludf.DUMMYFUNCTION("""COMPUTED_VALUE"""),3750.0)</f>
        <v>3750</v>
      </c>
      <c r="E2533" s="1">
        <f>IFERROR(__xludf.DUMMYFUNCTION("""COMPUTED_VALUE"""),3910.0)</f>
        <v>3910</v>
      </c>
      <c r="F2533" s="1">
        <f>IFERROR(__xludf.DUMMYFUNCTION("""COMPUTED_VALUE"""),405745.0)</f>
        <v>405745</v>
      </c>
    </row>
    <row r="2534">
      <c r="A2534" s="2">
        <f>IFERROR(__xludf.DUMMYFUNCTION("""COMPUTED_VALUE"""),44963.64583333333)</f>
        <v>44963.64583</v>
      </c>
      <c r="B2534" s="1">
        <f>IFERROR(__xludf.DUMMYFUNCTION("""COMPUTED_VALUE"""),3900.0)</f>
        <v>3900</v>
      </c>
      <c r="C2534" s="1">
        <f>IFERROR(__xludf.DUMMYFUNCTION("""COMPUTED_VALUE"""),3900.0)</f>
        <v>3900</v>
      </c>
      <c r="D2534" s="1">
        <f>IFERROR(__xludf.DUMMYFUNCTION("""COMPUTED_VALUE"""),3775.0)</f>
        <v>3775</v>
      </c>
      <c r="E2534" s="1">
        <f>IFERROR(__xludf.DUMMYFUNCTION("""COMPUTED_VALUE"""),3790.0)</f>
        <v>3790</v>
      </c>
      <c r="F2534" s="1">
        <f>IFERROR(__xludf.DUMMYFUNCTION("""COMPUTED_VALUE"""),165605.0)</f>
        <v>165605</v>
      </c>
    </row>
    <row r="2535">
      <c r="A2535" s="2">
        <f>IFERROR(__xludf.DUMMYFUNCTION("""COMPUTED_VALUE"""),44964.64583333333)</f>
        <v>44964.64583</v>
      </c>
      <c r="B2535" s="1">
        <f>IFERROR(__xludf.DUMMYFUNCTION("""COMPUTED_VALUE"""),3885.0)</f>
        <v>3885</v>
      </c>
      <c r="C2535" s="1">
        <f>IFERROR(__xludf.DUMMYFUNCTION("""COMPUTED_VALUE"""),3885.0)</f>
        <v>3885</v>
      </c>
      <c r="D2535" s="1">
        <f>IFERROR(__xludf.DUMMYFUNCTION("""COMPUTED_VALUE"""),3780.0)</f>
        <v>3780</v>
      </c>
      <c r="E2535" s="1">
        <f>IFERROR(__xludf.DUMMYFUNCTION("""COMPUTED_VALUE"""),3785.0)</f>
        <v>3785</v>
      </c>
      <c r="F2535" s="1">
        <f>IFERROR(__xludf.DUMMYFUNCTION("""COMPUTED_VALUE"""),100724.0)</f>
        <v>100724</v>
      </c>
    </row>
    <row r="2536">
      <c r="A2536" s="2">
        <f>IFERROR(__xludf.DUMMYFUNCTION("""COMPUTED_VALUE"""),44965.64583333333)</f>
        <v>44965.64583</v>
      </c>
      <c r="B2536" s="1">
        <f>IFERROR(__xludf.DUMMYFUNCTION("""COMPUTED_VALUE"""),3765.0)</f>
        <v>3765</v>
      </c>
      <c r="C2536" s="1">
        <f>IFERROR(__xludf.DUMMYFUNCTION("""COMPUTED_VALUE"""),3980.0)</f>
        <v>3980</v>
      </c>
      <c r="D2536" s="1">
        <f>IFERROR(__xludf.DUMMYFUNCTION("""COMPUTED_VALUE"""),3755.0)</f>
        <v>3755</v>
      </c>
      <c r="E2536" s="1">
        <f>IFERROR(__xludf.DUMMYFUNCTION("""COMPUTED_VALUE"""),3910.0)</f>
        <v>3910</v>
      </c>
      <c r="F2536" s="1">
        <f>IFERROR(__xludf.DUMMYFUNCTION("""COMPUTED_VALUE"""),264727.0)</f>
        <v>264727</v>
      </c>
    </row>
    <row r="2537">
      <c r="A2537" s="2">
        <f>IFERROR(__xludf.DUMMYFUNCTION("""COMPUTED_VALUE"""),44966.64583333333)</f>
        <v>44966.64583</v>
      </c>
      <c r="B2537" s="1">
        <f>IFERROR(__xludf.DUMMYFUNCTION("""COMPUTED_VALUE"""),3895.0)</f>
        <v>3895</v>
      </c>
      <c r="C2537" s="1">
        <f>IFERROR(__xludf.DUMMYFUNCTION("""COMPUTED_VALUE"""),3985.0)</f>
        <v>3985</v>
      </c>
      <c r="D2537" s="1">
        <f>IFERROR(__xludf.DUMMYFUNCTION("""COMPUTED_VALUE"""),3800.0)</f>
        <v>3800</v>
      </c>
      <c r="E2537" s="1">
        <f>IFERROR(__xludf.DUMMYFUNCTION("""COMPUTED_VALUE"""),3890.0)</f>
        <v>3890</v>
      </c>
      <c r="F2537" s="1">
        <f>IFERROR(__xludf.DUMMYFUNCTION("""COMPUTED_VALUE"""),160631.0)</f>
        <v>160631</v>
      </c>
    </row>
    <row r="2538">
      <c r="A2538" s="2">
        <f>IFERROR(__xludf.DUMMYFUNCTION("""COMPUTED_VALUE"""),44967.64583333333)</f>
        <v>44967.64583</v>
      </c>
      <c r="B2538" s="1">
        <f>IFERROR(__xludf.DUMMYFUNCTION("""COMPUTED_VALUE"""),3980.0)</f>
        <v>3980</v>
      </c>
      <c r="C2538" s="1">
        <f>IFERROR(__xludf.DUMMYFUNCTION("""COMPUTED_VALUE"""),3980.0)</f>
        <v>3980</v>
      </c>
      <c r="D2538" s="1">
        <f>IFERROR(__xludf.DUMMYFUNCTION("""COMPUTED_VALUE"""),3850.0)</f>
        <v>3850</v>
      </c>
      <c r="E2538" s="1">
        <f>IFERROR(__xludf.DUMMYFUNCTION("""COMPUTED_VALUE"""),3935.0)</f>
        <v>3935</v>
      </c>
      <c r="F2538" s="1">
        <f>IFERROR(__xludf.DUMMYFUNCTION("""COMPUTED_VALUE"""),186945.0)</f>
        <v>186945</v>
      </c>
    </row>
    <row r="2539">
      <c r="A2539" s="2">
        <f>IFERROR(__xludf.DUMMYFUNCTION("""COMPUTED_VALUE"""),44970.64583333333)</f>
        <v>44970.64583</v>
      </c>
      <c r="B2539" s="1">
        <f>IFERROR(__xludf.DUMMYFUNCTION("""COMPUTED_VALUE"""),3935.0)</f>
        <v>3935</v>
      </c>
      <c r="C2539" s="1">
        <f>IFERROR(__xludf.DUMMYFUNCTION("""COMPUTED_VALUE"""),4070.0)</f>
        <v>4070</v>
      </c>
      <c r="D2539" s="1">
        <f>IFERROR(__xludf.DUMMYFUNCTION("""COMPUTED_VALUE"""),3855.0)</f>
        <v>3855</v>
      </c>
      <c r="E2539" s="1">
        <f>IFERROR(__xludf.DUMMYFUNCTION("""COMPUTED_VALUE"""),4065.0)</f>
        <v>4065</v>
      </c>
      <c r="F2539" s="1">
        <f>IFERROR(__xludf.DUMMYFUNCTION("""COMPUTED_VALUE"""),285214.0)</f>
        <v>285214</v>
      </c>
    </row>
    <row r="2540">
      <c r="A2540" s="2">
        <f>IFERROR(__xludf.DUMMYFUNCTION("""COMPUTED_VALUE"""),44971.64583333333)</f>
        <v>44971.64583</v>
      </c>
      <c r="B2540" s="1">
        <f>IFERROR(__xludf.DUMMYFUNCTION("""COMPUTED_VALUE"""),4065.0)</f>
        <v>4065</v>
      </c>
      <c r="C2540" s="1">
        <f>IFERROR(__xludf.DUMMYFUNCTION("""COMPUTED_VALUE"""),4065.0)</f>
        <v>4065</v>
      </c>
      <c r="D2540" s="1">
        <f>IFERROR(__xludf.DUMMYFUNCTION("""COMPUTED_VALUE"""),3925.0)</f>
        <v>3925</v>
      </c>
      <c r="E2540" s="1">
        <f>IFERROR(__xludf.DUMMYFUNCTION("""COMPUTED_VALUE"""),3990.0)</f>
        <v>3990</v>
      </c>
      <c r="F2540" s="1">
        <f>IFERROR(__xludf.DUMMYFUNCTION("""COMPUTED_VALUE"""),206944.0)</f>
        <v>206944</v>
      </c>
    </row>
    <row r="2541">
      <c r="A2541" s="2">
        <f>IFERROR(__xludf.DUMMYFUNCTION("""COMPUTED_VALUE"""),44972.64583333333)</f>
        <v>44972.64583</v>
      </c>
      <c r="B2541" s="1">
        <f>IFERROR(__xludf.DUMMYFUNCTION("""COMPUTED_VALUE"""),3990.0)</f>
        <v>3990</v>
      </c>
      <c r="C2541" s="1">
        <f>IFERROR(__xludf.DUMMYFUNCTION("""COMPUTED_VALUE"""),4175.0)</f>
        <v>4175</v>
      </c>
      <c r="D2541" s="1">
        <f>IFERROR(__xludf.DUMMYFUNCTION("""COMPUTED_VALUE"""),3960.0)</f>
        <v>3960</v>
      </c>
      <c r="E2541" s="1">
        <f>IFERROR(__xludf.DUMMYFUNCTION("""COMPUTED_VALUE"""),4140.0)</f>
        <v>4140</v>
      </c>
      <c r="F2541" s="1">
        <f>IFERROR(__xludf.DUMMYFUNCTION("""COMPUTED_VALUE"""),343205.0)</f>
        <v>343205</v>
      </c>
    </row>
    <row r="2542">
      <c r="A2542" s="2">
        <f>IFERROR(__xludf.DUMMYFUNCTION("""COMPUTED_VALUE"""),44973.64583333333)</f>
        <v>44973.64583</v>
      </c>
      <c r="B2542" s="1">
        <f>IFERROR(__xludf.DUMMYFUNCTION("""COMPUTED_VALUE"""),4105.0)</f>
        <v>4105</v>
      </c>
      <c r="C2542" s="1">
        <f>IFERROR(__xludf.DUMMYFUNCTION("""COMPUTED_VALUE"""),4140.0)</f>
        <v>4140</v>
      </c>
      <c r="D2542" s="1">
        <f>IFERROR(__xludf.DUMMYFUNCTION("""COMPUTED_VALUE"""),3965.0)</f>
        <v>3965</v>
      </c>
      <c r="E2542" s="1">
        <f>IFERROR(__xludf.DUMMYFUNCTION("""COMPUTED_VALUE"""),4010.0)</f>
        <v>4010</v>
      </c>
      <c r="F2542" s="1">
        <f>IFERROR(__xludf.DUMMYFUNCTION("""COMPUTED_VALUE"""),160916.0)</f>
        <v>160916</v>
      </c>
    </row>
    <row r="2543">
      <c r="A2543" s="2">
        <f>IFERROR(__xludf.DUMMYFUNCTION("""COMPUTED_VALUE"""),44974.64583333333)</f>
        <v>44974.64583</v>
      </c>
      <c r="B2543" s="1">
        <f>IFERROR(__xludf.DUMMYFUNCTION("""COMPUTED_VALUE"""),4005.0)</f>
        <v>4005</v>
      </c>
      <c r="C2543" s="1">
        <f>IFERROR(__xludf.DUMMYFUNCTION("""COMPUTED_VALUE"""),4165.0)</f>
        <v>4165</v>
      </c>
      <c r="D2543" s="1">
        <f>IFERROR(__xludf.DUMMYFUNCTION("""COMPUTED_VALUE"""),3970.0)</f>
        <v>3970</v>
      </c>
      <c r="E2543" s="1">
        <f>IFERROR(__xludf.DUMMYFUNCTION("""COMPUTED_VALUE"""),4120.0)</f>
        <v>4120</v>
      </c>
      <c r="F2543" s="1">
        <f>IFERROR(__xludf.DUMMYFUNCTION("""COMPUTED_VALUE"""),151330.0)</f>
        <v>151330</v>
      </c>
    </row>
    <row r="2544">
      <c r="A2544" s="2">
        <f>IFERROR(__xludf.DUMMYFUNCTION("""COMPUTED_VALUE"""),44977.64583333333)</f>
        <v>44977.64583</v>
      </c>
      <c r="B2544" s="1">
        <f>IFERROR(__xludf.DUMMYFUNCTION("""COMPUTED_VALUE"""),4100.0)</f>
        <v>4100</v>
      </c>
      <c r="C2544" s="1">
        <f>IFERROR(__xludf.DUMMYFUNCTION("""COMPUTED_VALUE"""),4160.0)</f>
        <v>4160</v>
      </c>
      <c r="D2544" s="1">
        <f>IFERROR(__xludf.DUMMYFUNCTION("""COMPUTED_VALUE"""),4050.0)</f>
        <v>4050</v>
      </c>
      <c r="E2544" s="1">
        <f>IFERROR(__xludf.DUMMYFUNCTION("""COMPUTED_VALUE"""),4125.0)</f>
        <v>4125</v>
      </c>
      <c r="F2544" s="1">
        <f>IFERROR(__xludf.DUMMYFUNCTION("""COMPUTED_VALUE"""),129108.0)</f>
        <v>129108</v>
      </c>
    </row>
    <row r="2545">
      <c r="A2545" s="2">
        <f>IFERROR(__xludf.DUMMYFUNCTION("""COMPUTED_VALUE"""),44978.64583333333)</f>
        <v>44978.64583</v>
      </c>
      <c r="B2545" s="1">
        <f>IFERROR(__xludf.DUMMYFUNCTION("""COMPUTED_VALUE"""),4125.0)</f>
        <v>4125</v>
      </c>
      <c r="C2545" s="1">
        <f>IFERROR(__xludf.DUMMYFUNCTION("""COMPUTED_VALUE"""),4145.0)</f>
        <v>4145</v>
      </c>
      <c r="D2545" s="1">
        <f>IFERROR(__xludf.DUMMYFUNCTION("""COMPUTED_VALUE"""),4025.0)</f>
        <v>4025</v>
      </c>
      <c r="E2545" s="1">
        <f>IFERROR(__xludf.DUMMYFUNCTION("""COMPUTED_VALUE"""),4090.0)</f>
        <v>4090</v>
      </c>
      <c r="F2545" s="1">
        <f>IFERROR(__xludf.DUMMYFUNCTION("""COMPUTED_VALUE"""),109778.0)</f>
        <v>109778</v>
      </c>
    </row>
    <row r="2546">
      <c r="A2546" s="2">
        <f>IFERROR(__xludf.DUMMYFUNCTION("""COMPUTED_VALUE"""),44979.64583333333)</f>
        <v>44979.64583</v>
      </c>
      <c r="B2546" s="1">
        <f>IFERROR(__xludf.DUMMYFUNCTION("""COMPUTED_VALUE"""),4015.0)</f>
        <v>4015</v>
      </c>
      <c r="C2546" s="1">
        <f>IFERROR(__xludf.DUMMYFUNCTION("""COMPUTED_VALUE"""),4050.0)</f>
        <v>4050</v>
      </c>
      <c r="D2546" s="1">
        <f>IFERROR(__xludf.DUMMYFUNCTION("""COMPUTED_VALUE"""),3970.0)</f>
        <v>3970</v>
      </c>
      <c r="E2546" s="1">
        <f>IFERROR(__xludf.DUMMYFUNCTION("""COMPUTED_VALUE"""),4000.0)</f>
        <v>4000</v>
      </c>
      <c r="F2546" s="1">
        <f>IFERROR(__xludf.DUMMYFUNCTION("""COMPUTED_VALUE"""),110688.0)</f>
        <v>110688</v>
      </c>
    </row>
    <row r="2547">
      <c r="A2547" s="2">
        <f>IFERROR(__xludf.DUMMYFUNCTION("""COMPUTED_VALUE"""),44980.64583333333)</f>
        <v>44980.64583</v>
      </c>
      <c r="B2547" s="1">
        <f>IFERROR(__xludf.DUMMYFUNCTION("""COMPUTED_VALUE"""),4010.0)</f>
        <v>4010</v>
      </c>
      <c r="C2547" s="1">
        <f>IFERROR(__xludf.DUMMYFUNCTION("""COMPUTED_VALUE"""),4085.0)</f>
        <v>4085</v>
      </c>
      <c r="D2547" s="1">
        <f>IFERROR(__xludf.DUMMYFUNCTION("""COMPUTED_VALUE"""),3950.0)</f>
        <v>3950</v>
      </c>
      <c r="E2547" s="1">
        <f>IFERROR(__xludf.DUMMYFUNCTION("""COMPUTED_VALUE"""),3980.0)</f>
        <v>3980</v>
      </c>
      <c r="F2547" s="1">
        <f>IFERROR(__xludf.DUMMYFUNCTION("""COMPUTED_VALUE"""),53441.0)</f>
        <v>53441</v>
      </c>
    </row>
    <row r="2548">
      <c r="A2548" s="2">
        <f>IFERROR(__xludf.DUMMYFUNCTION("""COMPUTED_VALUE"""),44981.64583333333)</f>
        <v>44981.64583</v>
      </c>
      <c r="B2548" s="1">
        <f>IFERROR(__xludf.DUMMYFUNCTION("""COMPUTED_VALUE"""),3965.0)</f>
        <v>3965</v>
      </c>
      <c r="C2548" s="1">
        <f>IFERROR(__xludf.DUMMYFUNCTION("""COMPUTED_VALUE"""),3990.0)</f>
        <v>3990</v>
      </c>
      <c r="D2548" s="1">
        <f>IFERROR(__xludf.DUMMYFUNCTION("""COMPUTED_VALUE"""),3825.0)</f>
        <v>3825</v>
      </c>
      <c r="E2548" s="1">
        <f>IFERROR(__xludf.DUMMYFUNCTION("""COMPUTED_VALUE"""),3860.0)</f>
        <v>3860</v>
      </c>
      <c r="F2548" s="1">
        <f>IFERROR(__xludf.DUMMYFUNCTION("""COMPUTED_VALUE"""),151939.0)</f>
        <v>151939</v>
      </c>
    </row>
    <row r="2549">
      <c r="A2549" s="2">
        <f>IFERROR(__xludf.DUMMYFUNCTION("""COMPUTED_VALUE"""),44984.64583333333)</f>
        <v>44984.64583</v>
      </c>
      <c r="B2549" s="1">
        <f>IFERROR(__xludf.DUMMYFUNCTION("""COMPUTED_VALUE"""),3895.0)</f>
        <v>3895</v>
      </c>
      <c r="C2549" s="1">
        <f>IFERROR(__xludf.DUMMYFUNCTION("""COMPUTED_VALUE"""),3925.0)</f>
        <v>3925</v>
      </c>
      <c r="D2549" s="1">
        <f>IFERROR(__xludf.DUMMYFUNCTION("""COMPUTED_VALUE"""),3785.0)</f>
        <v>3785</v>
      </c>
      <c r="E2549" s="1">
        <f>IFERROR(__xludf.DUMMYFUNCTION("""COMPUTED_VALUE"""),3845.0)</f>
        <v>3845</v>
      </c>
      <c r="F2549" s="1">
        <f>IFERROR(__xludf.DUMMYFUNCTION("""COMPUTED_VALUE"""),108531.0)</f>
        <v>108531</v>
      </c>
    </row>
    <row r="2550">
      <c r="A2550" s="2">
        <f>IFERROR(__xludf.DUMMYFUNCTION("""COMPUTED_VALUE"""),44985.64583333333)</f>
        <v>44985.64583</v>
      </c>
      <c r="B2550" s="1">
        <f>IFERROR(__xludf.DUMMYFUNCTION("""COMPUTED_VALUE"""),3850.0)</f>
        <v>3850</v>
      </c>
      <c r="C2550" s="1">
        <f>IFERROR(__xludf.DUMMYFUNCTION("""COMPUTED_VALUE"""),4005.0)</f>
        <v>4005</v>
      </c>
      <c r="D2550" s="1">
        <f>IFERROR(__xludf.DUMMYFUNCTION("""COMPUTED_VALUE"""),3710.0)</f>
        <v>3710</v>
      </c>
      <c r="E2550" s="1">
        <f>IFERROR(__xludf.DUMMYFUNCTION("""COMPUTED_VALUE"""),3925.0)</f>
        <v>3925</v>
      </c>
      <c r="F2550" s="1">
        <f>IFERROR(__xludf.DUMMYFUNCTION("""COMPUTED_VALUE"""),124747.0)</f>
        <v>124747</v>
      </c>
    </row>
    <row r="2551">
      <c r="A2551" s="2">
        <f>IFERROR(__xludf.DUMMYFUNCTION("""COMPUTED_VALUE"""),44987.64583333333)</f>
        <v>44987.64583</v>
      </c>
      <c r="B2551" s="1">
        <f>IFERROR(__xludf.DUMMYFUNCTION("""COMPUTED_VALUE"""),3945.0)</f>
        <v>3945</v>
      </c>
      <c r="C2551" s="1">
        <f>IFERROR(__xludf.DUMMYFUNCTION("""COMPUTED_VALUE"""),4070.0)</f>
        <v>4070</v>
      </c>
      <c r="D2551" s="1">
        <f>IFERROR(__xludf.DUMMYFUNCTION("""COMPUTED_VALUE"""),3915.0)</f>
        <v>3915</v>
      </c>
      <c r="E2551" s="1">
        <f>IFERROR(__xludf.DUMMYFUNCTION("""COMPUTED_VALUE"""),4060.0)</f>
        <v>4060</v>
      </c>
      <c r="F2551" s="1">
        <f>IFERROR(__xludf.DUMMYFUNCTION("""COMPUTED_VALUE"""),166473.0)</f>
        <v>166473</v>
      </c>
    </row>
    <row r="2552">
      <c r="A2552" s="2">
        <f>IFERROR(__xludf.DUMMYFUNCTION("""COMPUTED_VALUE"""),44988.64583333333)</f>
        <v>44988.64583</v>
      </c>
      <c r="B2552" s="1">
        <f>IFERROR(__xludf.DUMMYFUNCTION("""COMPUTED_VALUE"""),4055.0)</f>
        <v>4055</v>
      </c>
      <c r="C2552" s="1">
        <f>IFERROR(__xludf.DUMMYFUNCTION("""COMPUTED_VALUE"""),4130.0)</f>
        <v>4130</v>
      </c>
      <c r="D2552" s="1">
        <f>IFERROR(__xludf.DUMMYFUNCTION("""COMPUTED_VALUE"""),4040.0)</f>
        <v>4040</v>
      </c>
      <c r="E2552" s="1">
        <f>IFERROR(__xludf.DUMMYFUNCTION("""COMPUTED_VALUE"""),4095.0)</f>
        <v>4095</v>
      </c>
      <c r="F2552" s="1">
        <f>IFERROR(__xludf.DUMMYFUNCTION("""COMPUTED_VALUE"""),139055.0)</f>
        <v>139055</v>
      </c>
    </row>
    <row r="2553">
      <c r="A2553" s="2">
        <f>IFERROR(__xludf.DUMMYFUNCTION("""COMPUTED_VALUE"""),44991.64583333333)</f>
        <v>44991.64583</v>
      </c>
      <c r="B2553" s="1">
        <f>IFERROR(__xludf.DUMMYFUNCTION("""COMPUTED_VALUE"""),4060.0)</f>
        <v>4060</v>
      </c>
      <c r="C2553" s="1">
        <f>IFERROR(__xludf.DUMMYFUNCTION("""COMPUTED_VALUE"""),4115.0)</f>
        <v>4115</v>
      </c>
      <c r="D2553" s="1">
        <f>IFERROR(__xludf.DUMMYFUNCTION("""COMPUTED_VALUE"""),4005.0)</f>
        <v>4005</v>
      </c>
      <c r="E2553" s="1">
        <f>IFERROR(__xludf.DUMMYFUNCTION("""COMPUTED_VALUE"""),4110.0)</f>
        <v>4110</v>
      </c>
      <c r="F2553" s="1">
        <f>IFERROR(__xludf.DUMMYFUNCTION("""COMPUTED_VALUE"""),132790.0)</f>
        <v>132790</v>
      </c>
    </row>
    <row r="2554">
      <c r="A2554" s="2">
        <f>IFERROR(__xludf.DUMMYFUNCTION("""COMPUTED_VALUE"""),44992.64583333333)</f>
        <v>44992.64583</v>
      </c>
      <c r="B2554" s="1">
        <f>IFERROR(__xludf.DUMMYFUNCTION("""COMPUTED_VALUE"""),4075.0)</f>
        <v>4075</v>
      </c>
      <c r="C2554" s="1">
        <f>IFERROR(__xludf.DUMMYFUNCTION("""COMPUTED_VALUE"""),4370.0)</f>
        <v>4370</v>
      </c>
      <c r="D2554" s="1">
        <f>IFERROR(__xludf.DUMMYFUNCTION("""COMPUTED_VALUE"""),4050.0)</f>
        <v>4050</v>
      </c>
      <c r="E2554" s="1">
        <f>IFERROR(__xludf.DUMMYFUNCTION("""COMPUTED_VALUE"""),4315.0)</f>
        <v>4315</v>
      </c>
      <c r="F2554" s="1">
        <f>IFERROR(__xludf.DUMMYFUNCTION("""COMPUTED_VALUE"""),478798.0)</f>
        <v>478798</v>
      </c>
    </row>
    <row r="2555">
      <c r="A2555" s="2">
        <f>IFERROR(__xludf.DUMMYFUNCTION("""COMPUTED_VALUE"""),44993.64583333333)</f>
        <v>44993.64583</v>
      </c>
      <c r="B2555" s="1">
        <f>IFERROR(__xludf.DUMMYFUNCTION("""COMPUTED_VALUE"""),4340.0)</f>
        <v>4340</v>
      </c>
      <c r="C2555" s="1">
        <f>IFERROR(__xludf.DUMMYFUNCTION("""COMPUTED_VALUE"""),4425.0)</f>
        <v>4425</v>
      </c>
      <c r="D2555" s="1">
        <f>IFERROR(__xludf.DUMMYFUNCTION("""COMPUTED_VALUE"""),4310.0)</f>
        <v>4310</v>
      </c>
      <c r="E2555" s="1">
        <f>IFERROR(__xludf.DUMMYFUNCTION("""COMPUTED_VALUE"""),4390.0)</f>
        <v>4390</v>
      </c>
      <c r="F2555" s="1">
        <f>IFERROR(__xludf.DUMMYFUNCTION("""COMPUTED_VALUE"""),324533.0)</f>
        <v>324533</v>
      </c>
    </row>
    <row r="2556">
      <c r="A2556" s="2">
        <f>IFERROR(__xludf.DUMMYFUNCTION("""COMPUTED_VALUE"""),44994.64583333333)</f>
        <v>44994.64583</v>
      </c>
      <c r="B2556" s="1">
        <f>IFERROR(__xludf.DUMMYFUNCTION("""COMPUTED_VALUE"""),4350.0)</f>
        <v>4350</v>
      </c>
      <c r="C2556" s="1">
        <f>IFERROR(__xludf.DUMMYFUNCTION("""COMPUTED_VALUE"""),4385.0)</f>
        <v>4385</v>
      </c>
      <c r="D2556" s="1">
        <f>IFERROR(__xludf.DUMMYFUNCTION("""COMPUTED_VALUE"""),4190.0)</f>
        <v>4190</v>
      </c>
      <c r="E2556" s="1">
        <f>IFERROR(__xludf.DUMMYFUNCTION("""COMPUTED_VALUE"""),4215.0)</f>
        <v>4215</v>
      </c>
      <c r="F2556" s="1">
        <f>IFERROR(__xludf.DUMMYFUNCTION("""COMPUTED_VALUE"""),217035.0)</f>
        <v>217035</v>
      </c>
    </row>
    <row r="2557">
      <c r="A2557" s="2">
        <f>IFERROR(__xludf.DUMMYFUNCTION("""COMPUTED_VALUE"""),44995.64583333333)</f>
        <v>44995.64583</v>
      </c>
      <c r="B2557" s="1">
        <f>IFERROR(__xludf.DUMMYFUNCTION("""COMPUTED_VALUE"""),4140.0)</f>
        <v>4140</v>
      </c>
      <c r="C2557" s="1">
        <f>IFERROR(__xludf.DUMMYFUNCTION("""COMPUTED_VALUE"""),4345.0)</f>
        <v>4345</v>
      </c>
      <c r="D2557" s="1">
        <f>IFERROR(__xludf.DUMMYFUNCTION("""COMPUTED_VALUE"""),4095.0)</f>
        <v>4095</v>
      </c>
      <c r="E2557" s="1">
        <f>IFERROR(__xludf.DUMMYFUNCTION("""COMPUTED_VALUE"""),4325.0)</f>
        <v>4325</v>
      </c>
      <c r="F2557" s="1">
        <f>IFERROR(__xludf.DUMMYFUNCTION("""COMPUTED_VALUE"""),174115.0)</f>
        <v>174115</v>
      </c>
    </row>
    <row r="2558">
      <c r="A2558" s="2">
        <f>IFERROR(__xludf.DUMMYFUNCTION("""COMPUTED_VALUE"""),44998.64583333333)</f>
        <v>44998.64583</v>
      </c>
      <c r="B2558" s="1">
        <f>IFERROR(__xludf.DUMMYFUNCTION("""COMPUTED_VALUE"""),4280.0)</f>
        <v>4280</v>
      </c>
      <c r="C2558" s="1">
        <f>IFERROR(__xludf.DUMMYFUNCTION("""COMPUTED_VALUE"""),4345.0)</f>
        <v>4345</v>
      </c>
      <c r="D2558" s="1">
        <f>IFERROR(__xludf.DUMMYFUNCTION("""COMPUTED_VALUE"""),4170.0)</f>
        <v>4170</v>
      </c>
      <c r="E2558" s="1">
        <f>IFERROR(__xludf.DUMMYFUNCTION("""COMPUTED_VALUE"""),4245.0)</f>
        <v>4245</v>
      </c>
      <c r="F2558" s="1">
        <f>IFERROR(__xludf.DUMMYFUNCTION("""COMPUTED_VALUE"""),310400.0)</f>
        <v>310400</v>
      </c>
    </row>
    <row r="2559">
      <c r="A2559" s="2">
        <f>IFERROR(__xludf.DUMMYFUNCTION("""COMPUTED_VALUE"""),44999.64583333333)</f>
        <v>44999.64583</v>
      </c>
      <c r="B2559" s="1">
        <f>IFERROR(__xludf.DUMMYFUNCTION("""COMPUTED_VALUE"""),4170.0)</f>
        <v>4170</v>
      </c>
      <c r="C2559" s="1">
        <f>IFERROR(__xludf.DUMMYFUNCTION("""COMPUTED_VALUE"""),4245.0)</f>
        <v>4245</v>
      </c>
      <c r="D2559" s="1">
        <f>IFERROR(__xludf.DUMMYFUNCTION("""COMPUTED_VALUE"""),3905.0)</f>
        <v>3905</v>
      </c>
      <c r="E2559" s="1">
        <f>IFERROR(__xludf.DUMMYFUNCTION("""COMPUTED_VALUE"""),3910.0)</f>
        <v>3910</v>
      </c>
      <c r="F2559" s="1">
        <f>IFERROR(__xludf.DUMMYFUNCTION("""COMPUTED_VALUE"""),304705.0)</f>
        <v>304705</v>
      </c>
    </row>
    <row r="2560">
      <c r="A2560" s="2">
        <f>IFERROR(__xludf.DUMMYFUNCTION("""COMPUTED_VALUE"""),45000.64583333333)</f>
        <v>45000.64583</v>
      </c>
      <c r="B2560" s="1">
        <f>IFERROR(__xludf.DUMMYFUNCTION("""COMPUTED_VALUE"""),3960.0)</f>
        <v>3960</v>
      </c>
      <c r="C2560" s="1">
        <f>IFERROR(__xludf.DUMMYFUNCTION("""COMPUTED_VALUE"""),4105.0)</f>
        <v>4105</v>
      </c>
      <c r="D2560" s="1">
        <f>IFERROR(__xludf.DUMMYFUNCTION("""COMPUTED_VALUE"""),3960.0)</f>
        <v>3960</v>
      </c>
      <c r="E2560" s="1">
        <f>IFERROR(__xludf.DUMMYFUNCTION("""COMPUTED_VALUE"""),4010.0)</f>
        <v>4010</v>
      </c>
      <c r="F2560" s="1">
        <f>IFERROR(__xludf.DUMMYFUNCTION("""COMPUTED_VALUE"""),111322.0)</f>
        <v>111322</v>
      </c>
    </row>
    <row r="2561">
      <c r="A2561" s="2">
        <f>IFERROR(__xludf.DUMMYFUNCTION("""COMPUTED_VALUE"""),45001.64583333333)</f>
        <v>45001.64583</v>
      </c>
      <c r="B2561" s="1">
        <f>IFERROR(__xludf.DUMMYFUNCTION("""COMPUTED_VALUE"""),3980.0)</f>
        <v>3980</v>
      </c>
      <c r="C2561" s="1">
        <f>IFERROR(__xludf.DUMMYFUNCTION("""COMPUTED_VALUE"""),3980.0)</f>
        <v>3980</v>
      </c>
      <c r="D2561" s="1">
        <f>IFERROR(__xludf.DUMMYFUNCTION("""COMPUTED_VALUE"""),3705.0)</f>
        <v>3705</v>
      </c>
      <c r="E2561" s="1">
        <f>IFERROR(__xludf.DUMMYFUNCTION("""COMPUTED_VALUE"""),3825.0)</f>
        <v>3825</v>
      </c>
      <c r="F2561" s="1">
        <f>IFERROR(__xludf.DUMMYFUNCTION("""COMPUTED_VALUE"""),236808.0)</f>
        <v>236808</v>
      </c>
    </row>
    <row r="2562">
      <c r="A2562" s="2">
        <f>IFERROR(__xludf.DUMMYFUNCTION("""COMPUTED_VALUE"""),45002.64583333333)</f>
        <v>45002.64583</v>
      </c>
      <c r="B2562" s="1">
        <f>IFERROR(__xludf.DUMMYFUNCTION("""COMPUTED_VALUE"""),3840.0)</f>
        <v>3840</v>
      </c>
      <c r="C2562" s="1">
        <f>IFERROR(__xludf.DUMMYFUNCTION("""COMPUTED_VALUE"""),4115.0)</f>
        <v>4115</v>
      </c>
      <c r="D2562" s="1">
        <f>IFERROR(__xludf.DUMMYFUNCTION("""COMPUTED_VALUE"""),3840.0)</f>
        <v>3840</v>
      </c>
      <c r="E2562" s="1">
        <f>IFERROR(__xludf.DUMMYFUNCTION("""COMPUTED_VALUE"""),4115.0)</f>
        <v>4115</v>
      </c>
      <c r="F2562" s="1">
        <f>IFERROR(__xludf.DUMMYFUNCTION("""COMPUTED_VALUE"""),211265.0)</f>
        <v>211265</v>
      </c>
    </row>
    <row r="2563">
      <c r="A2563" s="2">
        <f>IFERROR(__xludf.DUMMYFUNCTION("""COMPUTED_VALUE"""),45005.64583333333)</f>
        <v>45005.64583</v>
      </c>
      <c r="B2563" s="1">
        <f>IFERROR(__xludf.DUMMYFUNCTION("""COMPUTED_VALUE"""),4115.0)</f>
        <v>4115</v>
      </c>
      <c r="C2563" s="1">
        <f>IFERROR(__xludf.DUMMYFUNCTION("""COMPUTED_VALUE"""),4180.0)</f>
        <v>4180</v>
      </c>
      <c r="D2563" s="1">
        <f>IFERROR(__xludf.DUMMYFUNCTION("""COMPUTED_VALUE"""),4070.0)</f>
        <v>4070</v>
      </c>
      <c r="E2563" s="1">
        <f>IFERROR(__xludf.DUMMYFUNCTION("""COMPUTED_VALUE"""),4125.0)</f>
        <v>4125</v>
      </c>
      <c r="F2563" s="1">
        <f>IFERROR(__xludf.DUMMYFUNCTION("""COMPUTED_VALUE"""),134210.0)</f>
        <v>134210</v>
      </c>
    </row>
    <row r="2564">
      <c r="A2564" s="2">
        <f>IFERROR(__xludf.DUMMYFUNCTION("""COMPUTED_VALUE"""),45006.64583333333)</f>
        <v>45006.64583</v>
      </c>
      <c r="B2564" s="1">
        <f>IFERROR(__xludf.DUMMYFUNCTION("""COMPUTED_VALUE"""),4090.0)</f>
        <v>4090</v>
      </c>
      <c r="C2564" s="1">
        <f>IFERROR(__xludf.DUMMYFUNCTION("""COMPUTED_VALUE"""),4135.0)</f>
        <v>4135</v>
      </c>
      <c r="D2564" s="1">
        <f>IFERROR(__xludf.DUMMYFUNCTION("""COMPUTED_VALUE"""),3930.0)</f>
        <v>3930</v>
      </c>
      <c r="E2564" s="1">
        <f>IFERROR(__xludf.DUMMYFUNCTION("""COMPUTED_VALUE"""),3935.0)</f>
        <v>3935</v>
      </c>
      <c r="F2564" s="1">
        <f>IFERROR(__xludf.DUMMYFUNCTION("""COMPUTED_VALUE"""),96990.0)</f>
        <v>96990</v>
      </c>
    </row>
    <row r="2565">
      <c r="A2565" s="2">
        <f>IFERROR(__xludf.DUMMYFUNCTION("""COMPUTED_VALUE"""),45007.64583333333)</f>
        <v>45007.64583</v>
      </c>
      <c r="B2565" s="1">
        <f>IFERROR(__xludf.DUMMYFUNCTION("""COMPUTED_VALUE"""),3950.0)</f>
        <v>3950</v>
      </c>
      <c r="C2565" s="1">
        <f>IFERROR(__xludf.DUMMYFUNCTION("""COMPUTED_VALUE"""),4070.0)</f>
        <v>4070</v>
      </c>
      <c r="D2565" s="1">
        <f>IFERROR(__xludf.DUMMYFUNCTION("""COMPUTED_VALUE"""),3800.0)</f>
        <v>3800</v>
      </c>
      <c r="E2565" s="1">
        <f>IFERROR(__xludf.DUMMYFUNCTION("""COMPUTED_VALUE"""),3855.0)</f>
        <v>3855</v>
      </c>
      <c r="F2565" s="1">
        <f>IFERROR(__xludf.DUMMYFUNCTION("""COMPUTED_VALUE"""),169589.0)</f>
        <v>169589</v>
      </c>
    </row>
    <row r="2566">
      <c r="A2566" s="2">
        <f>IFERROR(__xludf.DUMMYFUNCTION("""COMPUTED_VALUE"""),45008.64583333333)</f>
        <v>45008.64583</v>
      </c>
      <c r="B2566" s="1">
        <f>IFERROR(__xludf.DUMMYFUNCTION("""COMPUTED_VALUE"""),3810.0)</f>
        <v>3810</v>
      </c>
      <c r="C2566" s="1">
        <f>IFERROR(__xludf.DUMMYFUNCTION("""COMPUTED_VALUE"""),3920.0)</f>
        <v>3920</v>
      </c>
      <c r="D2566" s="1">
        <f>IFERROR(__xludf.DUMMYFUNCTION("""COMPUTED_VALUE"""),3805.0)</f>
        <v>3805</v>
      </c>
      <c r="E2566" s="1">
        <f>IFERROR(__xludf.DUMMYFUNCTION("""COMPUTED_VALUE"""),3830.0)</f>
        <v>3830</v>
      </c>
      <c r="F2566" s="1">
        <f>IFERROR(__xludf.DUMMYFUNCTION("""COMPUTED_VALUE"""),92573.0)</f>
        <v>92573</v>
      </c>
    </row>
    <row r="2567">
      <c r="A2567" s="2">
        <f>IFERROR(__xludf.DUMMYFUNCTION("""COMPUTED_VALUE"""),45009.64583333333)</f>
        <v>45009.64583</v>
      </c>
      <c r="B2567" s="1">
        <f>IFERROR(__xludf.DUMMYFUNCTION("""COMPUTED_VALUE"""),3795.0)</f>
        <v>3795</v>
      </c>
      <c r="C2567" s="1">
        <f>IFERROR(__xludf.DUMMYFUNCTION("""COMPUTED_VALUE"""),3920.0)</f>
        <v>3920</v>
      </c>
      <c r="D2567" s="1">
        <f>IFERROR(__xludf.DUMMYFUNCTION("""COMPUTED_VALUE"""),3740.0)</f>
        <v>3740</v>
      </c>
      <c r="E2567" s="1">
        <f>IFERROR(__xludf.DUMMYFUNCTION("""COMPUTED_VALUE"""),3830.0)</f>
        <v>3830</v>
      </c>
      <c r="F2567" s="1">
        <f>IFERROR(__xludf.DUMMYFUNCTION("""COMPUTED_VALUE"""),82936.0)</f>
        <v>82936</v>
      </c>
    </row>
    <row r="2568">
      <c r="A2568" s="2">
        <f>IFERROR(__xludf.DUMMYFUNCTION("""COMPUTED_VALUE"""),45012.64583333333)</f>
        <v>45012.64583</v>
      </c>
      <c r="B2568" s="1">
        <f>IFERROR(__xludf.DUMMYFUNCTION("""COMPUTED_VALUE"""),3830.0)</f>
        <v>3830</v>
      </c>
      <c r="C2568" s="1">
        <f>IFERROR(__xludf.DUMMYFUNCTION("""COMPUTED_VALUE"""),4110.0)</f>
        <v>4110</v>
      </c>
      <c r="D2568" s="1">
        <f>IFERROR(__xludf.DUMMYFUNCTION("""COMPUTED_VALUE"""),3730.0)</f>
        <v>3730</v>
      </c>
      <c r="E2568" s="1">
        <f>IFERROR(__xludf.DUMMYFUNCTION("""COMPUTED_VALUE"""),4060.0)</f>
        <v>4060</v>
      </c>
      <c r="F2568" s="1">
        <f>IFERROR(__xludf.DUMMYFUNCTION("""COMPUTED_VALUE"""),199145.0)</f>
        <v>199145</v>
      </c>
    </row>
    <row r="2569">
      <c r="A2569" s="2">
        <f>IFERROR(__xludf.DUMMYFUNCTION("""COMPUTED_VALUE"""),45013.64583333333)</f>
        <v>45013.64583</v>
      </c>
      <c r="B2569" s="1">
        <f>IFERROR(__xludf.DUMMYFUNCTION("""COMPUTED_VALUE"""),4065.0)</f>
        <v>4065</v>
      </c>
      <c r="C2569" s="1">
        <f>IFERROR(__xludf.DUMMYFUNCTION("""COMPUTED_VALUE"""),4240.0)</f>
        <v>4240</v>
      </c>
      <c r="D2569" s="1">
        <f>IFERROR(__xludf.DUMMYFUNCTION("""COMPUTED_VALUE"""),4000.0)</f>
        <v>4000</v>
      </c>
      <c r="E2569" s="1">
        <f>IFERROR(__xludf.DUMMYFUNCTION("""COMPUTED_VALUE"""),4050.0)</f>
        <v>4050</v>
      </c>
      <c r="F2569" s="1">
        <f>IFERROR(__xludf.DUMMYFUNCTION("""COMPUTED_VALUE"""),413490.0)</f>
        <v>413490</v>
      </c>
    </row>
    <row r="2570">
      <c r="A2570" s="2">
        <f>IFERROR(__xludf.DUMMYFUNCTION("""COMPUTED_VALUE"""),45014.64583333333)</f>
        <v>45014.64583</v>
      </c>
      <c r="B2570" s="1">
        <f>IFERROR(__xludf.DUMMYFUNCTION("""COMPUTED_VALUE"""),4020.0)</f>
        <v>4020</v>
      </c>
      <c r="C2570" s="1">
        <f>IFERROR(__xludf.DUMMYFUNCTION("""COMPUTED_VALUE"""),4050.0)</f>
        <v>4050</v>
      </c>
      <c r="D2570" s="1">
        <f>IFERROR(__xludf.DUMMYFUNCTION("""COMPUTED_VALUE"""),3925.0)</f>
        <v>3925</v>
      </c>
      <c r="E2570" s="1">
        <f>IFERROR(__xludf.DUMMYFUNCTION("""COMPUTED_VALUE"""),4020.0)</f>
        <v>4020</v>
      </c>
      <c r="F2570" s="1">
        <f>IFERROR(__xludf.DUMMYFUNCTION("""COMPUTED_VALUE"""),84587.0)</f>
        <v>84587</v>
      </c>
    </row>
    <row r="2571">
      <c r="A2571" s="2">
        <f>IFERROR(__xludf.DUMMYFUNCTION("""COMPUTED_VALUE"""),45015.64583333333)</f>
        <v>45015.64583</v>
      </c>
      <c r="B2571" s="1">
        <f>IFERROR(__xludf.DUMMYFUNCTION("""COMPUTED_VALUE"""),4020.0)</f>
        <v>4020</v>
      </c>
      <c r="C2571" s="1">
        <f>IFERROR(__xludf.DUMMYFUNCTION("""COMPUTED_VALUE"""),4085.0)</f>
        <v>4085</v>
      </c>
      <c r="D2571" s="1">
        <f>IFERROR(__xludf.DUMMYFUNCTION("""COMPUTED_VALUE"""),3950.0)</f>
        <v>3950</v>
      </c>
      <c r="E2571" s="1">
        <f>IFERROR(__xludf.DUMMYFUNCTION("""COMPUTED_VALUE"""),4025.0)</f>
        <v>4025</v>
      </c>
      <c r="F2571" s="1">
        <f>IFERROR(__xludf.DUMMYFUNCTION("""COMPUTED_VALUE"""),120985.0)</f>
        <v>120985</v>
      </c>
    </row>
    <row r="2572">
      <c r="A2572" s="2">
        <f>IFERROR(__xludf.DUMMYFUNCTION("""COMPUTED_VALUE"""),45016.64583333333)</f>
        <v>45016.64583</v>
      </c>
      <c r="B2572" s="1">
        <f>IFERROR(__xludf.DUMMYFUNCTION("""COMPUTED_VALUE"""),4030.0)</f>
        <v>4030</v>
      </c>
      <c r="C2572" s="1">
        <f>IFERROR(__xludf.DUMMYFUNCTION("""COMPUTED_VALUE"""),4030.0)</f>
        <v>4030</v>
      </c>
      <c r="D2572" s="1">
        <f>IFERROR(__xludf.DUMMYFUNCTION("""COMPUTED_VALUE"""),3780.0)</f>
        <v>3780</v>
      </c>
      <c r="E2572" s="1">
        <f>IFERROR(__xludf.DUMMYFUNCTION("""COMPUTED_VALUE"""),3790.0)</f>
        <v>3790</v>
      </c>
      <c r="F2572" s="1">
        <f>IFERROR(__xludf.DUMMYFUNCTION("""COMPUTED_VALUE"""),300062.0)</f>
        <v>300062</v>
      </c>
    </row>
    <row r="2573">
      <c r="A2573" s="2">
        <f>IFERROR(__xludf.DUMMYFUNCTION("""COMPUTED_VALUE"""),45019.64583333333)</f>
        <v>45019.64583</v>
      </c>
      <c r="B2573" s="1">
        <f>IFERROR(__xludf.DUMMYFUNCTION("""COMPUTED_VALUE"""),3790.0)</f>
        <v>3790</v>
      </c>
      <c r="C2573" s="1">
        <f>IFERROR(__xludf.DUMMYFUNCTION("""COMPUTED_VALUE"""),3790.0)</f>
        <v>3790</v>
      </c>
      <c r="D2573" s="1">
        <f>IFERROR(__xludf.DUMMYFUNCTION("""COMPUTED_VALUE"""),3600.0)</f>
        <v>3600</v>
      </c>
      <c r="E2573" s="1">
        <f>IFERROR(__xludf.DUMMYFUNCTION("""COMPUTED_VALUE"""),3725.0)</f>
        <v>3725</v>
      </c>
      <c r="F2573" s="1">
        <f>IFERROR(__xludf.DUMMYFUNCTION("""COMPUTED_VALUE"""),184439.0)</f>
        <v>184439</v>
      </c>
    </row>
    <row r="2574">
      <c r="A2574" s="2">
        <f>IFERROR(__xludf.DUMMYFUNCTION("""COMPUTED_VALUE"""),45020.64583333333)</f>
        <v>45020.64583</v>
      </c>
      <c r="B2574" s="1">
        <f>IFERROR(__xludf.DUMMYFUNCTION("""COMPUTED_VALUE"""),3680.0)</f>
        <v>3680</v>
      </c>
      <c r="C2574" s="1">
        <f>IFERROR(__xludf.DUMMYFUNCTION("""COMPUTED_VALUE"""),3900.0)</f>
        <v>3900</v>
      </c>
      <c r="D2574" s="1">
        <f>IFERROR(__xludf.DUMMYFUNCTION("""COMPUTED_VALUE"""),3675.0)</f>
        <v>3675</v>
      </c>
      <c r="E2574" s="1">
        <f>IFERROR(__xludf.DUMMYFUNCTION("""COMPUTED_VALUE"""),3825.0)</f>
        <v>3825</v>
      </c>
      <c r="F2574" s="1">
        <f>IFERROR(__xludf.DUMMYFUNCTION("""COMPUTED_VALUE"""),127536.0)</f>
        <v>127536</v>
      </c>
    </row>
    <row r="2575">
      <c r="A2575" s="2">
        <f>IFERROR(__xludf.DUMMYFUNCTION("""COMPUTED_VALUE"""),45021.64583333333)</f>
        <v>45021.64583</v>
      </c>
      <c r="B2575" s="1">
        <f>IFERROR(__xludf.DUMMYFUNCTION("""COMPUTED_VALUE"""),3825.0)</f>
        <v>3825</v>
      </c>
      <c r="C2575" s="1">
        <f>IFERROR(__xludf.DUMMYFUNCTION("""COMPUTED_VALUE"""),4130.0)</f>
        <v>4130</v>
      </c>
      <c r="D2575" s="1">
        <f>IFERROR(__xludf.DUMMYFUNCTION("""COMPUTED_VALUE"""),3795.0)</f>
        <v>3795</v>
      </c>
      <c r="E2575" s="1">
        <f>IFERROR(__xludf.DUMMYFUNCTION("""COMPUTED_VALUE"""),3950.0)</f>
        <v>3950</v>
      </c>
      <c r="F2575" s="1">
        <f>IFERROR(__xludf.DUMMYFUNCTION("""COMPUTED_VALUE"""),315506.0)</f>
        <v>315506</v>
      </c>
    </row>
    <row r="2576">
      <c r="A2576" s="2">
        <f>IFERROR(__xludf.DUMMYFUNCTION("""COMPUTED_VALUE"""),45022.64583333333)</f>
        <v>45022.64583</v>
      </c>
      <c r="B2576" s="1">
        <f>IFERROR(__xludf.DUMMYFUNCTION("""COMPUTED_VALUE"""),3940.0)</f>
        <v>3940</v>
      </c>
      <c r="C2576" s="1">
        <f>IFERROR(__xludf.DUMMYFUNCTION("""COMPUTED_VALUE"""),4080.0)</f>
        <v>4080</v>
      </c>
      <c r="D2576" s="1">
        <f>IFERROR(__xludf.DUMMYFUNCTION("""COMPUTED_VALUE"""),3875.0)</f>
        <v>3875</v>
      </c>
      <c r="E2576" s="1">
        <f>IFERROR(__xludf.DUMMYFUNCTION("""COMPUTED_VALUE"""),3930.0)</f>
        <v>3930</v>
      </c>
      <c r="F2576" s="1">
        <f>IFERROR(__xludf.DUMMYFUNCTION("""COMPUTED_VALUE"""),119572.0)</f>
        <v>119572</v>
      </c>
    </row>
    <row r="2577">
      <c r="A2577" s="2">
        <f>IFERROR(__xludf.DUMMYFUNCTION("""COMPUTED_VALUE"""),45023.64583333333)</f>
        <v>45023.64583</v>
      </c>
      <c r="B2577" s="1">
        <f>IFERROR(__xludf.DUMMYFUNCTION("""COMPUTED_VALUE"""),3935.0)</f>
        <v>3935</v>
      </c>
      <c r="C2577" s="1">
        <f>IFERROR(__xludf.DUMMYFUNCTION("""COMPUTED_VALUE"""),4065.0)</f>
        <v>4065</v>
      </c>
      <c r="D2577" s="1">
        <f>IFERROR(__xludf.DUMMYFUNCTION("""COMPUTED_VALUE"""),3860.0)</f>
        <v>3860</v>
      </c>
      <c r="E2577" s="1">
        <f>IFERROR(__xludf.DUMMYFUNCTION("""COMPUTED_VALUE"""),3990.0)</f>
        <v>3990</v>
      </c>
      <c r="F2577" s="1">
        <f>IFERROR(__xludf.DUMMYFUNCTION("""COMPUTED_VALUE"""),169583.0)</f>
        <v>169583</v>
      </c>
    </row>
    <row r="2578">
      <c r="A2578" s="2">
        <f>IFERROR(__xludf.DUMMYFUNCTION("""COMPUTED_VALUE"""),45026.64583333333)</f>
        <v>45026.64583</v>
      </c>
      <c r="B2578" s="1">
        <f>IFERROR(__xludf.DUMMYFUNCTION("""COMPUTED_VALUE"""),3975.0)</f>
        <v>3975</v>
      </c>
      <c r="C2578" s="1">
        <f>IFERROR(__xludf.DUMMYFUNCTION("""COMPUTED_VALUE"""),4030.0)</f>
        <v>4030</v>
      </c>
      <c r="D2578" s="1">
        <f>IFERROR(__xludf.DUMMYFUNCTION("""COMPUTED_VALUE"""),3720.0)</f>
        <v>3720</v>
      </c>
      <c r="E2578" s="1">
        <f>IFERROR(__xludf.DUMMYFUNCTION("""COMPUTED_VALUE"""),3815.0)</f>
        <v>3815</v>
      </c>
      <c r="F2578" s="1">
        <f>IFERROR(__xludf.DUMMYFUNCTION("""COMPUTED_VALUE"""),241188.0)</f>
        <v>241188</v>
      </c>
    </row>
    <row r="2579">
      <c r="A2579" s="2">
        <f>IFERROR(__xludf.DUMMYFUNCTION("""COMPUTED_VALUE"""),45027.64583333333)</f>
        <v>45027.64583</v>
      </c>
      <c r="B2579" s="1">
        <f>IFERROR(__xludf.DUMMYFUNCTION("""COMPUTED_VALUE"""),3830.0)</f>
        <v>3830</v>
      </c>
      <c r="C2579" s="1">
        <f>IFERROR(__xludf.DUMMYFUNCTION("""COMPUTED_VALUE"""),3850.0)</f>
        <v>3850</v>
      </c>
      <c r="D2579" s="1">
        <f>IFERROR(__xludf.DUMMYFUNCTION("""COMPUTED_VALUE"""),3730.0)</f>
        <v>3730</v>
      </c>
      <c r="E2579" s="1">
        <f>IFERROR(__xludf.DUMMYFUNCTION("""COMPUTED_VALUE"""),3780.0)</f>
        <v>3780</v>
      </c>
      <c r="F2579" s="1">
        <f>IFERROR(__xludf.DUMMYFUNCTION("""COMPUTED_VALUE"""),115453.0)</f>
        <v>115453</v>
      </c>
    </row>
    <row r="2580">
      <c r="A2580" s="2">
        <f>IFERROR(__xludf.DUMMYFUNCTION("""COMPUTED_VALUE"""),45028.64583333333)</f>
        <v>45028.64583</v>
      </c>
      <c r="B2580" s="1">
        <f>IFERROR(__xludf.DUMMYFUNCTION("""COMPUTED_VALUE"""),3745.0)</f>
        <v>3745</v>
      </c>
      <c r="C2580" s="1">
        <f>IFERROR(__xludf.DUMMYFUNCTION("""COMPUTED_VALUE"""),3950.0)</f>
        <v>3950</v>
      </c>
      <c r="D2580" s="1">
        <f>IFERROR(__xludf.DUMMYFUNCTION("""COMPUTED_VALUE"""),3705.0)</f>
        <v>3705</v>
      </c>
      <c r="E2580" s="1">
        <f>IFERROR(__xludf.DUMMYFUNCTION("""COMPUTED_VALUE"""),3835.0)</f>
        <v>3835</v>
      </c>
      <c r="F2580" s="1">
        <f>IFERROR(__xludf.DUMMYFUNCTION("""COMPUTED_VALUE"""),166123.0)</f>
        <v>166123</v>
      </c>
    </row>
    <row r="2581">
      <c r="A2581" s="2">
        <f>IFERROR(__xludf.DUMMYFUNCTION("""COMPUTED_VALUE"""),45029.64583333333)</f>
        <v>45029.64583</v>
      </c>
      <c r="B2581" s="1">
        <f>IFERROR(__xludf.DUMMYFUNCTION("""COMPUTED_VALUE"""),3800.0)</f>
        <v>3800</v>
      </c>
      <c r="C2581" s="1">
        <f>IFERROR(__xludf.DUMMYFUNCTION("""COMPUTED_VALUE"""),3950.0)</f>
        <v>3950</v>
      </c>
      <c r="D2581" s="1">
        <f>IFERROR(__xludf.DUMMYFUNCTION("""COMPUTED_VALUE"""),3765.0)</f>
        <v>3765</v>
      </c>
      <c r="E2581" s="1">
        <f>IFERROR(__xludf.DUMMYFUNCTION("""COMPUTED_VALUE"""),3945.0)</f>
        <v>3945</v>
      </c>
      <c r="F2581" s="1">
        <f>IFERROR(__xludf.DUMMYFUNCTION("""COMPUTED_VALUE"""),131867.0)</f>
        <v>131867</v>
      </c>
    </row>
    <row r="2582">
      <c r="A2582" s="2">
        <f>IFERROR(__xludf.DUMMYFUNCTION("""COMPUTED_VALUE"""),45030.64583333333)</f>
        <v>45030.64583</v>
      </c>
      <c r="B2582" s="1">
        <f>IFERROR(__xludf.DUMMYFUNCTION("""COMPUTED_VALUE"""),4000.0)</f>
        <v>4000</v>
      </c>
      <c r="C2582" s="1">
        <f>IFERROR(__xludf.DUMMYFUNCTION("""COMPUTED_VALUE"""),4125.0)</f>
        <v>4125</v>
      </c>
      <c r="D2582" s="1">
        <f>IFERROR(__xludf.DUMMYFUNCTION("""COMPUTED_VALUE"""),3950.0)</f>
        <v>3950</v>
      </c>
      <c r="E2582" s="1">
        <f>IFERROR(__xludf.DUMMYFUNCTION("""COMPUTED_VALUE"""),3995.0)</f>
        <v>3995</v>
      </c>
      <c r="F2582" s="1">
        <f>IFERROR(__xludf.DUMMYFUNCTION("""COMPUTED_VALUE"""),245214.0)</f>
        <v>245214</v>
      </c>
    </row>
    <row r="2583">
      <c r="A2583" s="2">
        <f>IFERROR(__xludf.DUMMYFUNCTION("""COMPUTED_VALUE"""),45033.64583333333)</f>
        <v>45033.64583</v>
      </c>
      <c r="B2583" s="1">
        <f>IFERROR(__xludf.DUMMYFUNCTION("""COMPUTED_VALUE"""),4010.0)</f>
        <v>4010</v>
      </c>
      <c r="C2583" s="1">
        <f>IFERROR(__xludf.DUMMYFUNCTION("""COMPUTED_VALUE"""),4120.0)</f>
        <v>4120</v>
      </c>
      <c r="D2583" s="1">
        <f>IFERROR(__xludf.DUMMYFUNCTION("""COMPUTED_VALUE"""),4000.0)</f>
        <v>4000</v>
      </c>
      <c r="E2583" s="1">
        <f>IFERROR(__xludf.DUMMYFUNCTION("""COMPUTED_VALUE"""),4020.0)</f>
        <v>4020</v>
      </c>
      <c r="F2583" s="1">
        <f>IFERROR(__xludf.DUMMYFUNCTION("""COMPUTED_VALUE"""),131010.0)</f>
        <v>131010</v>
      </c>
    </row>
    <row r="2584">
      <c r="A2584" s="2">
        <f>IFERROR(__xludf.DUMMYFUNCTION("""COMPUTED_VALUE"""),45034.64583333333)</f>
        <v>45034.64583</v>
      </c>
      <c r="B2584" s="1">
        <f>IFERROR(__xludf.DUMMYFUNCTION("""COMPUTED_VALUE"""),4000.0)</f>
        <v>4000</v>
      </c>
      <c r="C2584" s="1">
        <f>IFERROR(__xludf.DUMMYFUNCTION("""COMPUTED_VALUE"""),4040.0)</f>
        <v>4040</v>
      </c>
      <c r="D2584" s="1">
        <f>IFERROR(__xludf.DUMMYFUNCTION("""COMPUTED_VALUE"""),3850.0)</f>
        <v>3850</v>
      </c>
      <c r="E2584" s="1">
        <f>IFERROR(__xludf.DUMMYFUNCTION("""COMPUTED_VALUE"""),3880.0)</f>
        <v>3880</v>
      </c>
      <c r="F2584" s="1">
        <f>IFERROR(__xludf.DUMMYFUNCTION("""COMPUTED_VALUE"""),168824.0)</f>
        <v>168824</v>
      </c>
    </row>
    <row r="2585">
      <c r="A2585" s="2">
        <f>IFERROR(__xludf.DUMMYFUNCTION("""COMPUTED_VALUE"""),45035.64583333333)</f>
        <v>45035.64583</v>
      </c>
      <c r="B2585" s="1">
        <f>IFERROR(__xludf.DUMMYFUNCTION("""COMPUTED_VALUE"""),3900.0)</f>
        <v>3900</v>
      </c>
      <c r="C2585" s="1">
        <f>IFERROR(__xludf.DUMMYFUNCTION("""COMPUTED_VALUE"""),3980.0)</f>
        <v>3980</v>
      </c>
      <c r="D2585" s="1">
        <f>IFERROR(__xludf.DUMMYFUNCTION("""COMPUTED_VALUE"""),3845.0)</f>
        <v>3845</v>
      </c>
      <c r="E2585" s="1">
        <f>IFERROR(__xludf.DUMMYFUNCTION("""COMPUTED_VALUE"""),3870.0)</f>
        <v>3870</v>
      </c>
      <c r="F2585" s="1">
        <f>IFERROR(__xludf.DUMMYFUNCTION("""COMPUTED_VALUE"""),71694.0)</f>
        <v>71694</v>
      </c>
    </row>
    <row r="2586">
      <c r="A2586" s="2">
        <f>IFERROR(__xludf.DUMMYFUNCTION("""COMPUTED_VALUE"""),45036.64583333333)</f>
        <v>45036.64583</v>
      </c>
      <c r="B2586" s="1">
        <f>IFERROR(__xludf.DUMMYFUNCTION("""COMPUTED_VALUE"""),3870.0)</f>
        <v>3870</v>
      </c>
      <c r="C2586" s="1">
        <f>IFERROR(__xludf.DUMMYFUNCTION("""COMPUTED_VALUE"""),3885.0)</f>
        <v>3885</v>
      </c>
      <c r="D2586" s="1">
        <f>IFERROR(__xludf.DUMMYFUNCTION("""COMPUTED_VALUE"""),3735.0)</f>
        <v>3735</v>
      </c>
      <c r="E2586" s="1">
        <f>IFERROR(__xludf.DUMMYFUNCTION("""COMPUTED_VALUE"""),3750.0)</f>
        <v>3750</v>
      </c>
      <c r="F2586" s="1">
        <f>IFERROR(__xludf.DUMMYFUNCTION("""COMPUTED_VALUE"""),151546.0)</f>
        <v>151546</v>
      </c>
    </row>
    <row r="2587">
      <c r="A2587" s="2">
        <f>IFERROR(__xludf.DUMMYFUNCTION("""COMPUTED_VALUE"""),45037.64583333333)</f>
        <v>45037.64583</v>
      </c>
      <c r="B2587" s="1">
        <f>IFERROR(__xludf.DUMMYFUNCTION("""COMPUTED_VALUE"""),3720.0)</f>
        <v>3720</v>
      </c>
      <c r="C2587" s="1">
        <f>IFERROR(__xludf.DUMMYFUNCTION("""COMPUTED_VALUE"""),3810.0)</f>
        <v>3810</v>
      </c>
      <c r="D2587" s="1">
        <f>IFERROR(__xludf.DUMMYFUNCTION("""COMPUTED_VALUE"""),3700.0)</f>
        <v>3700</v>
      </c>
      <c r="E2587" s="1">
        <f>IFERROR(__xludf.DUMMYFUNCTION("""COMPUTED_VALUE"""),3745.0)</f>
        <v>3745</v>
      </c>
      <c r="F2587" s="1">
        <f>IFERROR(__xludf.DUMMYFUNCTION("""COMPUTED_VALUE"""),90197.0)</f>
        <v>90197</v>
      </c>
    </row>
    <row r="2588">
      <c r="A2588" s="2">
        <f>IFERROR(__xludf.DUMMYFUNCTION("""COMPUTED_VALUE"""),45040.64583333333)</f>
        <v>45040.64583</v>
      </c>
      <c r="B2588" s="1">
        <f>IFERROR(__xludf.DUMMYFUNCTION("""COMPUTED_VALUE"""),3800.0)</f>
        <v>3800</v>
      </c>
      <c r="C2588" s="1">
        <f>IFERROR(__xludf.DUMMYFUNCTION("""COMPUTED_VALUE"""),3800.0)</f>
        <v>3800</v>
      </c>
      <c r="D2588" s="1">
        <f>IFERROR(__xludf.DUMMYFUNCTION("""COMPUTED_VALUE"""),3635.0)</f>
        <v>3635</v>
      </c>
      <c r="E2588" s="1">
        <f>IFERROR(__xludf.DUMMYFUNCTION("""COMPUTED_VALUE"""),3670.0)</f>
        <v>3670</v>
      </c>
      <c r="F2588" s="1">
        <f>IFERROR(__xludf.DUMMYFUNCTION("""COMPUTED_VALUE"""),82699.0)</f>
        <v>82699</v>
      </c>
    </row>
    <row r="2589">
      <c r="A2589" s="2">
        <f>IFERROR(__xludf.DUMMYFUNCTION("""COMPUTED_VALUE"""),45041.64583333333)</f>
        <v>45041.64583</v>
      </c>
      <c r="B2589" s="1">
        <f>IFERROR(__xludf.DUMMYFUNCTION("""COMPUTED_VALUE"""),3700.0)</f>
        <v>3700</v>
      </c>
      <c r="C2589" s="1">
        <f>IFERROR(__xludf.DUMMYFUNCTION("""COMPUTED_VALUE"""),3790.0)</f>
        <v>3790</v>
      </c>
      <c r="D2589" s="1">
        <f>IFERROR(__xludf.DUMMYFUNCTION("""COMPUTED_VALUE"""),3500.0)</f>
        <v>3500</v>
      </c>
      <c r="E2589" s="1">
        <f>IFERROR(__xludf.DUMMYFUNCTION("""COMPUTED_VALUE"""),3650.0)</f>
        <v>3650</v>
      </c>
      <c r="F2589" s="1">
        <f>IFERROR(__xludf.DUMMYFUNCTION("""COMPUTED_VALUE"""),166199.0)</f>
        <v>166199</v>
      </c>
    </row>
    <row r="2590">
      <c r="A2590" s="2">
        <f>IFERROR(__xludf.DUMMYFUNCTION("""COMPUTED_VALUE"""),45042.64583333333)</f>
        <v>45042.64583</v>
      </c>
      <c r="B2590" s="1">
        <f>IFERROR(__xludf.DUMMYFUNCTION("""COMPUTED_VALUE"""),3640.0)</f>
        <v>3640</v>
      </c>
      <c r="C2590" s="1">
        <f>IFERROR(__xludf.DUMMYFUNCTION("""COMPUTED_VALUE"""),3650.0)</f>
        <v>3650</v>
      </c>
      <c r="D2590" s="1">
        <f>IFERROR(__xludf.DUMMYFUNCTION("""COMPUTED_VALUE"""),3465.0)</f>
        <v>3465</v>
      </c>
      <c r="E2590" s="1">
        <f>IFERROR(__xludf.DUMMYFUNCTION("""COMPUTED_VALUE"""),3565.0)</f>
        <v>3565</v>
      </c>
      <c r="F2590" s="1">
        <f>IFERROR(__xludf.DUMMYFUNCTION("""COMPUTED_VALUE"""),65803.0)</f>
        <v>65803</v>
      </c>
    </row>
    <row r="2591">
      <c r="A2591" s="2">
        <f>IFERROR(__xludf.DUMMYFUNCTION("""COMPUTED_VALUE"""),45043.64583333333)</f>
        <v>45043.64583</v>
      </c>
      <c r="B2591" s="1">
        <f>IFERROR(__xludf.DUMMYFUNCTION("""COMPUTED_VALUE"""),3595.0)</f>
        <v>3595</v>
      </c>
      <c r="C2591" s="1">
        <f>IFERROR(__xludf.DUMMYFUNCTION("""COMPUTED_VALUE"""),3905.0)</f>
        <v>3905</v>
      </c>
      <c r="D2591" s="1">
        <f>IFERROR(__xludf.DUMMYFUNCTION("""COMPUTED_VALUE"""),3545.0)</f>
        <v>3545</v>
      </c>
      <c r="E2591" s="1">
        <f>IFERROR(__xludf.DUMMYFUNCTION("""COMPUTED_VALUE"""),3790.0)</f>
        <v>3790</v>
      </c>
      <c r="F2591" s="1">
        <f>IFERROR(__xludf.DUMMYFUNCTION("""COMPUTED_VALUE"""),198550.0)</f>
        <v>198550</v>
      </c>
    </row>
    <row r="2592">
      <c r="A2592" s="2">
        <f>IFERROR(__xludf.DUMMYFUNCTION("""COMPUTED_VALUE"""),45044.64583333333)</f>
        <v>45044.64583</v>
      </c>
      <c r="B2592" s="1">
        <f>IFERROR(__xludf.DUMMYFUNCTION("""COMPUTED_VALUE"""),3790.0)</f>
        <v>3790</v>
      </c>
      <c r="C2592" s="1">
        <f>IFERROR(__xludf.DUMMYFUNCTION("""COMPUTED_VALUE"""),3920.0)</f>
        <v>3920</v>
      </c>
      <c r="D2592" s="1">
        <f>IFERROR(__xludf.DUMMYFUNCTION("""COMPUTED_VALUE"""),3730.0)</f>
        <v>3730</v>
      </c>
      <c r="E2592" s="1">
        <f>IFERROR(__xludf.DUMMYFUNCTION("""COMPUTED_VALUE"""),3805.0)</f>
        <v>3805</v>
      </c>
      <c r="F2592" s="1">
        <f>IFERROR(__xludf.DUMMYFUNCTION("""COMPUTED_VALUE"""),57429.0)</f>
        <v>57429</v>
      </c>
    </row>
    <row r="2593">
      <c r="A2593" s="2">
        <f>IFERROR(__xludf.DUMMYFUNCTION("""COMPUTED_VALUE"""),45048.64583333333)</f>
        <v>45048.64583</v>
      </c>
      <c r="B2593" s="1">
        <f>IFERROR(__xludf.DUMMYFUNCTION("""COMPUTED_VALUE"""),3790.0)</f>
        <v>3790</v>
      </c>
      <c r="C2593" s="1">
        <f>IFERROR(__xludf.DUMMYFUNCTION("""COMPUTED_VALUE"""),3940.0)</f>
        <v>3940</v>
      </c>
      <c r="D2593" s="1">
        <f>IFERROR(__xludf.DUMMYFUNCTION("""COMPUTED_VALUE"""),3750.0)</f>
        <v>3750</v>
      </c>
      <c r="E2593" s="1">
        <f>IFERROR(__xludf.DUMMYFUNCTION("""COMPUTED_VALUE"""),3890.0)</f>
        <v>3890</v>
      </c>
      <c r="F2593" s="1">
        <f>IFERROR(__xludf.DUMMYFUNCTION("""COMPUTED_VALUE"""),135795.0)</f>
        <v>135795</v>
      </c>
    </row>
    <row r="2594">
      <c r="A2594" s="2">
        <f>IFERROR(__xludf.DUMMYFUNCTION("""COMPUTED_VALUE"""),45049.64583333333)</f>
        <v>45049.64583</v>
      </c>
      <c r="B2594" s="1">
        <f>IFERROR(__xludf.DUMMYFUNCTION("""COMPUTED_VALUE"""),3870.0)</f>
        <v>3870</v>
      </c>
      <c r="C2594" s="1">
        <f>IFERROR(__xludf.DUMMYFUNCTION("""COMPUTED_VALUE"""),4055.0)</f>
        <v>4055</v>
      </c>
      <c r="D2594" s="1">
        <f>IFERROR(__xludf.DUMMYFUNCTION("""COMPUTED_VALUE"""),3865.0)</f>
        <v>3865</v>
      </c>
      <c r="E2594" s="1">
        <f>IFERROR(__xludf.DUMMYFUNCTION("""COMPUTED_VALUE"""),3925.0)</f>
        <v>3925</v>
      </c>
      <c r="F2594" s="1">
        <f>IFERROR(__xludf.DUMMYFUNCTION("""COMPUTED_VALUE"""),161837.0)</f>
        <v>161837</v>
      </c>
    </row>
    <row r="2595">
      <c r="A2595" s="2">
        <f>IFERROR(__xludf.DUMMYFUNCTION("""COMPUTED_VALUE"""),45050.64583333333)</f>
        <v>45050.64583</v>
      </c>
      <c r="B2595" s="1">
        <f>IFERROR(__xludf.DUMMYFUNCTION("""COMPUTED_VALUE"""),3885.0)</f>
        <v>3885</v>
      </c>
      <c r="C2595" s="1">
        <f>IFERROR(__xludf.DUMMYFUNCTION("""COMPUTED_VALUE"""),4000.0)</f>
        <v>4000</v>
      </c>
      <c r="D2595" s="1">
        <f>IFERROR(__xludf.DUMMYFUNCTION("""COMPUTED_VALUE"""),3860.0)</f>
        <v>3860</v>
      </c>
      <c r="E2595" s="1">
        <f>IFERROR(__xludf.DUMMYFUNCTION("""COMPUTED_VALUE"""),3870.0)</f>
        <v>3870</v>
      </c>
      <c r="F2595" s="1">
        <f>IFERROR(__xludf.DUMMYFUNCTION("""COMPUTED_VALUE"""),64984.0)</f>
        <v>64984</v>
      </c>
    </row>
    <row r="2596">
      <c r="A2596" s="2">
        <f>IFERROR(__xludf.DUMMYFUNCTION("""COMPUTED_VALUE"""),45054.64583333333)</f>
        <v>45054.64583</v>
      </c>
      <c r="B2596" s="1">
        <f>IFERROR(__xludf.DUMMYFUNCTION("""COMPUTED_VALUE"""),3855.0)</f>
        <v>3855</v>
      </c>
      <c r="C2596" s="1">
        <f>IFERROR(__xludf.DUMMYFUNCTION("""COMPUTED_VALUE"""),3930.0)</f>
        <v>3930</v>
      </c>
      <c r="D2596" s="1">
        <f>IFERROR(__xludf.DUMMYFUNCTION("""COMPUTED_VALUE"""),3755.0)</f>
        <v>3755</v>
      </c>
      <c r="E2596" s="1">
        <f>IFERROR(__xludf.DUMMYFUNCTION("""COMPUTED_VALUE"""),3775.0)</f>
        <v>3775</v>
      </c>
      <c r="F2596" s="1">
        <f>IFERROR(__xludf.DUMMYFUNCTION("""COMPUTED_VALUE"""),104071.0)</f>
        <v>104071</v>
      </c>
    </row>
    <row r="2597">
      <c r="A2597" s="2">
        <f>IFERROR(__xludf.DUMMYFUNCTION("""COMPUTED_VALUE"""),45055.64583333333)</f>
        <v>45055.64583</v>
      </c>
      <c r="B2597" s="1">
        <f>IFERROR(__xludf.DUMMYFUNCTION("""COMPUTED_VALUE"""),3725.0)</f>
        <v>3725</v>
      </c>
      <c r="C2597" s="1">
        <f>IFERROR(__xludf.DUMMYFUNCTION("""COMPUTED_VALUE"""),3855.0)</f>
        <v>3855</v>
      </c>
      <c r="D2597" s="1">
        <f>IFERROR(__xludf.DUMMYFUNCTION("""COMPUTED_VALUE"""),3725.0)</f>
        <v>3725</v>
      </c>
      <c r="E2597" s="1">
        <f>IFERROR(__xludf.DUMMYFUNCTION("""COMPUTED_VALUE"""),3780.0)</f>
        <v>3780</v>
      </c>
      <c r="F2597" s="1">
        <f>IFERROR(__xludf.DUMMYFUNCTION("""COMPUTED_VALUE"""),89208.0)</f>
        <v>89208</v>
      </c>
    </row>
    <row r="2598">
      <c r="A2598" s="2">
        <f>IFERROR(__xludf.DUMMYFUNCTION("""COMPUTED_VALUE"""),45056.64583333333)</f>
        <v>45056.64583</v>
      </c>
      <c r="B2598" s="1">
        <f>IFERROR(__xludf.DUMMYFUNCTION("""COMPUTED_VALUE"""),3770.0)</f>
        <v>3770</v>
      </c>
      <c r="C2598" s="1">
        <f>IFERROR(__xludf.DUMMYFUNCTION("""COMPUTED_VALUE"""),3935.0)</f>
        <v>3935</v>
      </c>
      <c r="D2598" s="1">
        <f>IFERROR(__xludf.DUMMYFUNCTION("""COMPUTED_VALUE"""),3770.0)</f>
        <v>3770</v>
      </c>
      <c r="E2598" s="1">
        <f>IFERROR(__xludf.DUMMYFUNCTION("""COMPUTED_VALUE"""),3840.0)</f>
        <v>3840</v>
      </c>
      <c r="F2598" s="1">
        <f>IFERROR(__xludf.DUMMYFUNCTION("""COMPUTED_VALUE"""),71322.0)</f>
        <v>71322</v>
      </c>
    </row>
    <row r="2599">
      <c r="A2599" s="2">
        <f>IFERROR(__xludf.DUMMYFUNCTION("""COMPUTED_VALUE"""),45057.64583333333)</f>
        <v>45057.64583</v>
      </c>
      <c r="B2599" s="1">
        <f>IFERROR(__xludf.DUMMYFUNCTION("""COMPUTED_VALUE"""),3850.0)</f>
        <v>3850</v>
      </c>
      <c r="C2599" s="1">
        <f>IFERROR(__xludf.DUMMYFUNCTION("""COMPUTED_VALUE"""),3860.0)</f>
        <v>3860</v>
      </c>
      <c r="D2599" s="1">
        <f>IFERROR(__xludf.DUMMYFUNCTION("""COMPUTED_VALUE"""),3720.0)</f>
        <v>3720</v>
      </c>
      <c r="E2599" s="1">
        <f>IFERROR(__xludf.DUMMYFUNCTION("""COMPUTED_VALUE"""),3750.0)</f>
        <v>3750</v>
      </c>
      <c r="F2599" s="1">
        <f>IFERROR(__xludf.DUMMYFUNCTION("""COMPUTED_VALUE"""),85854.0)</f>
        <v>85854</v>
      </c>
    </row>
    <row r="2600">
      <c r="A2600" s="2">
        <f>IFERROR(__xludf.DUMMYFUNCTION("""COMPUTED_VALUE"""),45058.64583333333)</f>
        <v>45058.64583</v>
      </c>
      <c r="B2600" s="1">
        <f>IFERROR(__xludf.DUMMYFUNCTION("""COMPUTED_VALUE"""),3715.0)</f>
        <v>3715</v>
      </c>
      <c r="C2600" s="1">
        <f>IFERROR(__xludf.DUMMYFUNCTION("""COMPUTED_VALUE"""),3900.0)</f>
        <v>3900</v>
      </c>
      <c r="D2600" s="1">
        <f>IFERROR(__xludf.DUMMYFUNCTION("""COMPUTED_VALUE"""),3710.0)</f>
        <v>3710</v>
      </c>
      <c r="E2600" s="1">
        <f>IFERROR(__xludf.DUMMYFUNCTION("""COMPUTED_VALUE"""),3880.0)</f>
        <v>3880</v>
      </c>
      <c r="F2600" s="1">
        <f>IFERROR(__xludf.DUMMYFUNCTION("""COMPUTED_VALUE"""),116761.0)</f>
        <v>116761</v>
      </c>
    </row>
    <row r="2601">
      <c r="A2601" s="2">
        <f>IFERROR(__xludf.DUMMYFUNCTION("""COMPUTED_VALUE"""),45061.64583333333)</f>
        <v>45061.64583</v>
      </c>
      <c r="B2601" s="1">
        <f>IFERROR(__xludf.DUMMYFUNCTION("""COMPUTED_VALUE"""),3900.0)</f>
        <v>3900</v>
      </c>
      <c r="C2601" s="1">
        <f>IFERROR(__xludf.DUMMYFUNCTION("""COMPUTED_VALUE"""),3900.0)</f>
        <v>3900</v>
      </c>
      <c r="D2601" s="1">
        <f>IFERROR(__xludf.DUMMYFUNCTION("""COMPUTED_VALUE"""),3640.0)</f>
        <v>3640</v>
      </c>
      <c r="E2601" s="1">
        <f>IFERROR(__xludf.DUMMYFUNCTION("""COMPUTED_VALUE"""),3650.0)</f>
        <v>3650</v>
      </c>
      <c r="F2601" s="1">
        <f>IFERROR(__xludf.DUMMYFUNCTION("""COMPUTED_VALUE"""),173926.0)</f>
        <v>173926</v>
      </c>
    </row>
    <row r="2602">
      <c r="A2602" s="2">
        <f>IFERROR(__xludf.DUMMYFUNCTION("""COMPUTED_VALUE"""),45062.64583333333)</f>
        <v>45062.64583</v>
      </c>
      <c r="B2602" s="1">
        <f>IFERROR(__xludf.DUMMYFUNCTION("""COMPUTED_VALUE"""),3615.0)</f>
        <v>3615</v>
      </c>
      <c r="C2602" s="1">
        <f>IFERROR(__xludf.DUMMYFUNCTION("""COMPUTED_VALUE"""),3745.0)</f>
        <v>3745</v>
      </c>
      <c r="D2602" s="1">
        <f>IFERROR(__xludf.DUMMYFUNCTION("""COMPUTED_VALUE"""),3520.0)</f>
        <v>3520</v>
      </c>
      <c r="E2602" s="1">
        <f>IFERROR(__xludf.DUMMYFUNCTION("""COMPUTED_VALUE"""),3580.0)</f>
        <v>3580</v>
      </c>
      <c r="F2602" s="1">
        <f>IFERROR(__xludf.DUMMYFUNCTION("""COMPUTED_VALUE"""),138422.0)</f>
        <v>138422</v>
      </c>
    </row>
    <row r="2603">
      <c r="A2603" s="2">
        <f>IFERROR(__xludf.DUMMYFUNCTION("""COMPUTED_VALUE"""),45063.64583333333)</f>
        <v>45063.64583</v>
      </c>
      <c r="B2603" s="1">
        <f>IFERROR(__xludf.DUMMYFUNCTION("""COMPUTED_VALUE"""),3625.0)</f>
        <v>3625</v>
      </c>
      <c r="C2603" s="1">
        <f>IFERROR(__xludf.DUMMYFUNCTION("""COMPUTED_VALUE"""),3685.0)</f>
        <v>3685</v>
      </c>
      <c r="D2603" s="1">
        <f>IFERROR(__xludf.DUMMYFUNCTION("""COMPUTED_VALUE"""),3575.0)</f>
        <v>3575</v>
      </c>
      <c r="E2603" s="1">
        <f>IFERROR(__xludf.DUMMYFUNCTION("""COMPUTED_VALUE"""),3680.0)</f>
        <v>3680</v>
      </c>
      <c r="F2603" s="1">
        <f>IFERROR(__xludf.DUMMYFUNCTION("""COMPUTED_VALUE"""),35571.0)</f>
        <v>35571</v>
      </c>
    </row>
    <row r="2604">
      <c r="A2604" s="2">
        <f>IFERROR(__xludf.DUMMYFUNCTION("""COMPUTED_VALUE"""),45064.64583333333)</f>
        <v>45064.64583</v>
      </c>
      <c r="B2604" s="1">
        <f>IFERROR(__xludf.DUMMYFUNCTION("""COMPUTED_VALUE"""),3700.0)</f>
        <v>3700</v>
      </c>
      <c r="C2604" s="1">
        <f>IFERROR(__xludf.DUMMYFUNCTION("""COMPUTED_VALUE"""),3705.0)</f>
        <v>3705</v>
      </c>
      <c r="D2604" s="1">
        <f>IFERROR(__xludf.DUMMYFUNCTION("""COMPUTED_VALUE"""),3605.0)</f>
        <v>3605</v>
      </c>
      <c r="E2604" s="1">
        <f>IFERROR(__xludf.DUMMYFUNCTION("""COMPUTED_VALUE"""),3660.0)</f>
        <v>3660</v>
      </c>
      <c r="F2604" s="1">
        <f>IFERROR(__xludf.DUMMYFUNCTION("""COMPUTED_VALUE"""),52093.0)</f>
        <v>52093</v>
      </c>
    </row>
    <row r="2605">
      <c r="A2605" s="2">
        <f>IFERROR(__xludf.DUMMYFUNCTION("""COMPUTED_VALUE"""),45065.64583333333)</f>
        <v>45065.64583</v>
      </c>
      <c r="B2605" s="1">
        <f>IFERROR(__xludf.DUMMYFUNCTION("""COMPUTED_VALUE"""),3625.0)</f>
        <v>3625</v>
      </c>
      <c r="C2605" s="1">
        <f>IFERROR(__xludf.DUMMYFUNCTION("""COMPUTED_VALUE"""),3665.0)</f>
        <v>3665</v>
      </c>
      <c r="D2605" s="1">
        <f>IFERROR(__xludf.DUMMYFUNCTION("""COMPUTED_VALUE"""),3555.0)</f>
        <v>3555</v>
      </c>
      <c r="E2605" s="1">
        <f>IFERROR(__xludf.DUMMYFUNCTION("""COMPUTED_VALUE"""),3635.0)</f>
        <v>3635</v>
      </c>
      <c r="F2605" s="1">
        <f>IFERROR(__xludf.DUMMYFUNCTION("""COMPUTED_VALUE"""),72958.0)</f>
        <v>72958</v>
      </c>
    </row>
    <row r="2606">
      <c r="A2606" s="2">
        <f>IFERROR(__xludf.DUMMYFUNCTION("""COMPUTED_VALUE"""),45068.64583333333)</f>
        <v>45068.64583</v>
      </c>
      <c r="B2606" s="1">
        <f>IFERROR(__xludf.DUMMYFUNCTION("""COMPUTED_VALUE"""),3620.0)</f>
        <v>3620</v>
      </c>
      <c r="C2606" s="1">
        <f>IFERROR(__xludf.DUMMYFUNCTION("""COMPUTED_VALUE"""),3655.0)</f>
        <v>3655</v>
      </c>
      <c r="D2606" s="1">
        <f>IFERROR(__xludf.DUMMYFUNCTION("""COMPUTED_VALUE"""),3550.0)</f>
        <v>3550</v>
      </c>
      <c r="E2606" s="1">
        <f>IFERROR(__xludf.DUMMYFUNCTION("""COMPUTED_VALUE"""),3610.0)</f>
        <v>3610</v>
      </c>
      <c r="F2606" s="1">
        <f>IFERROR(__xludf.DUMMYFUNCTION("""COMPUTED_VALUE"""),55589.0)</f>
        <v>55589</v>
      </c>
    </row>
    <row r="2607">
      <c r="A2607" s="2">
        <f>IFERROR(__xludf.DUMMYFUNCTION("""COMPUTED_VALUE"""),45069.64583333333)</f>
        <v>45069.64583</v>
      </c>
      <c r="B2607" s="1">
        <f>IFERROR(__xludf.DUMMYFUNCTION("""COMPUTED_VALUE"""),3610.0)</f>
        <v>3610</v>
      </c>
      <c r="C2607" s="1">
        <f>IFERROR(__xludf.DUMMYFUNCTION("""COMPUTED_VALUE"""),3645.0)</f>
        <v>3645</v>
      </c>
      <c r="D2607" s="1">
        <f>IFERROR(__xludf.DUMMYFUNCTION("""COMPUTED_VALUE"""),3565.0)</f>
        <v>3565</v>
      </c>
      <c r="E2607" s="1">
        <f>IFERROR(__xludf.DUMMYFUNCTION("""COMPUTED_VALUE"""),3610.0)</f>
        <v>3610</v>
      </c>
      <c r="F2607" s="1">
        <f>IFERROR(__xludf.DUMMYFUNCTION("""COMPUTED_VALUE"""),32174.0)</f>
        <v>32174</v>
      </c>
    </row>
    <row r="2608">
      <c r="A2608" s="2">
        <f>IFERROR(__xludf.DUMMYFUNCTION("""COMPUTED_VALUE"""),45070.64583333333)</f>
        <v>45070.64583</v>
      </c>
      <c r="B2608" s="1">
        <f>IFERROR(__xludf.DUMMYFUNCTION("""COMPUTED_VALUE"""),3575.0)</f>
        <v>3575</v>
      </c>
      <c r="C2608" s="1">
        <f>IFERROR(__xludf.DUMMYFUNCTION("""COMPUTED_VALUE"""),3625.0)</f>
        <v>3625</v>
      </c>
      <c r="D2608" s="1">
        <f>IFERROR(__xludf.DUMMYFUNCTION("""COMPUTED_VALUE"""),3540.0)</f>
        <v>3540</v>
      </c>
      <c r="E2608" s="1">
        <f>IFERROR(__xludf.DUMMYFUNCTION("""COMPUTED_VALUE"""),3575.0)</f>
        <v>3575</v>
      </c>
      <c r="F2608" s="1">
        <f>IFERROR(__xludf.DUMMYFUNCTION("""COMPUTED_VALUE"""),49243.0)</f>
        <v>49243</v>
      </c>
    </row>
    <row r="2609">
      <c r="A2609" s="2">
        <f>IFERROR(__xludf.DUMMYFUNCTION("""COMPUTED_VALUE"""),45071.64583333333)</f>
        <v>45071.64583</v>
      </c>
      <c r="B2609" s="1">
        <f>IFERROR(__xludf.DUMMYFUNCTION("""COMPUTED_VALUE"""),3575.0)</f>
        <v>3575</v>
      </c>
      <c r="C2609" s="1">
        <f>IFERROR(__xludf.DUMMYFUNCTION("""COMPUTED_VALUE"""),3585.0)</f>
        <v>3585</v>
      </c>
      <c r="D2609" s="1">
        <f>IFERROR(__xludf.DUMMYFUNCTION("""COMPUTED_VALUE"""),3445.0)</f>
        <v>3445</v>
      </c>
      <c r="E2609" s="1">
        <f>IFERROR(__xludf.DUMMYFUNCTION("""COMPUTED_VALUE"""),3445.0)</f>
        <v>3445</v>
      </c>
      <c r="F2609" s="1">
        <f>IFERROR(__xludf.DUMMYFUNCTION("""COMPUTED_VALUE"""),119998.0)</f>
        <v>119998</v>
      </c>
    </row>
    <row r="2610">
      <c r="A2610" s="2">
        <f>IFERROR(__xludf.DUMMYFUNCTION("""COMPUTED_VALUE"""),45072.64583333333)</f>
        <v>45072.64583</v>
      </c>
      <c r="B2610" s="1">
        <f>IFERROR(__xludf.DUMMYFUNCTION("""COMPUTED_VALUE"""),3430.0)</f>
        <v>3430</v>
      </c>
      <c r="C2610" s="1">
        <f>IFERROR(__xludf.DUMMYFUNCTION("""COMPUTED_VALUE"""),3430.0)</f>
        <v>3430</v>
      </c>
      <c r="D2610" s="1">
        <f>IFERROR(__xludf.DUMMYFUNCTION("""COMPUTED_VALUE"""),3125.0)</f>
        <v>3125</v>
      </c>
      <c r="E2610" s="1">
        <f>IFERROR(__xludf.DUMMYFUNCTION("""COMPUTED_VALUE"""),3230.0)</f>
        <v>3230</v>
      </c>
      <c r="F2610" s="1">
        <f>IFERROR(__xludf.DUMMYFUNCTION("""COMPUTED_VALUE"""),393940.0)</f>
        <v>393940</v>
      </c>
    </row>
    <row r="2611">
      <c r="A2611" s="2">
        <f>IFERROR(__xludf.DUMMYFUNCTION("""COMPUTED_VALUE"""),45076.64583333333)</f>
        <v>45076.64583</v>
      </c>
      <c r="B2611" s="1">
        <f>IFERROR(__xludf.DUMMYFUNCTION("""COMPUTED_VALUE"""),3270.0)</f>
        <v>3270</v>
      </c>
      <c r="C2611" s="1">
        <f>IFERROR(__xludf.DUMMYFUNCTION("""COMPUTED_VALUE"""),3415.0)</f>
        <v>3415</v>
      </c>
      <c r="D2611" s="1">
        <f>IFERROR(__xludf.DUMMYFUNCTION("""COMPUTED_VALUE"""),3120.0)</f>
        <v>3120</v>
      </c>
      <c r="E2611" s="1">
        <f>IFERROR(__xludf.DUMMYFUNCTION("""COMPUTED_VALUE"""),3360.0)</f>
        <v>3360</v>
      </c>
      <c r="F2611" s="1">
        <f>IFERROR(__xludf.DUMMYFUNCTION("""COMPUTED_VALUE"""),154357.0)</f>
        <v>154357</v>
      </c>
    </row>
    <row r="2612">
      <c r="A2612" s="2">
        <f>IFERROR(__xludf.DUMMYFUNCTION("""COMPUTED_VALUE"""),45077.64583333333)</f>
        <v>45077.64583</v>
      </c>
      <c r="B2612" s="1">
        <f>IFERROR(__xludf.DUMMYFUNCTION("""COMPUTED_VALUE"""),3330.0)</f>
        <v>3330</v>
      </c>
      <c r="C2612" s="1">
        <f>IFERROR(__xludf.DUMMYFUNCTION("""COMPUTED_VALUE"""),3410.0)</f>
        <v>3410</v>
      </c>
      <c r="D2612" s="1">
        <f>IFERROR(__xludf.DUMMYFUNCTION("""COMPUTED_VALUE"""),3275.0)</f>
        <v>3275</v>
      </c>
      <c r="E2612" s="1">
        <f>IFERROR(__xludf.DUMMYFUNCTION("""COMPUTED_VALUE"""),3340.0)</f>
        <v>3340</v>
      </c>
      <c r="F2612" s="1">
        <f>IFERROR(__xludf.DUMMYFUNCTION("""COMPUTED_VALUE"""),42308.0)</f>
        <v>42308</v>
      </c>
    </row>
    <row r="2613">
      <c r="A2613" s="2">
        <f>IFERROR(__xludf.DUMMYFUNCTION("""COMPUTED_VALUE"""),45078.64583333333)</f>
        <v>45078.64583</v>
      </c>
      <c r="B2613" s="1">
        <f>IFERROR(__xludf.DUMMYFUNCTION("""COMPUTED_VALUE"""),3300.0)</f>
        <v>3300</v>
      </c>
      <c r="C2613" s="1">
        <f>IFERROR(__xludf.DUMMYFUNCTION("""COMPUTED_VALUE"""),3415.0)</f>
        <v>3415</v>
      </c>
      <c r="D2613" s="1">
        <f>IFERROR(__xludf.DUMMYFUNCTION("""COMPUTED_VALUE"""),3225.0)</f>
        <v>3225</v>
      </c>
      <c r="E2613" s="1">
        <f>IFERROR(__xludf.DUMMYFUNCTION("""COMPUTED_VALUE"""),3300.0)</f>
        <v>3300</v>
      </c>
      <c r="F2613" s="1">
        <f>IFERROR(__xludf.DUMMYFUNCTION("""COMPUTED_VALUE"""),56582.0)</f>
        <v>56582</v>
      </c>
    </row>
    <row r="2614">
      <c r="A2614" s="2">
        <f>IFERROR(__xludf.DUMMYFUNCTION("""COMPUTED_VALUE"""),45079.64583333333)</f>
        <v>45079.64583</v>
      </c>
      <c r="B2614" s="1">
        <f>IFERROR(__xludf.DUMMYFUNCTION("""COMPUTED_VALUE"""),3305.0)</f>
        <v>3305</v>
      </c>
      <c r="C2614" s="1">
        <f>IFERROR(__xludf.DUMMYFUNCTION("""COMPUTED_VALUE"""),3305.0)</f>
        <v>3305</v>
      </c>
      <c r="D2614" s="1">
        <f>IFERROR(__xludf.DUMMYFUNCTION("""COMPUTED_VALUE"""),3230.0)</f>
        <v>3230</v>
      </c>
      <c r="E2614" s="1">
        <f>IFERROR(__xludf.DUMMYFUNCTION("""COMPUTED_VALUE"""),3275.0)</f>
        <v>3275</v>
      </c>
      <c r="F2614" s="1">
        <f>IFERROR(__xludf.DUMMYFUNCTION("""COMPUTED_VALUE"""),25903.0)</f>
        <v>25903</v>
      </c>
    </row>
    <row r="2615">
      <c r="A2615" s="2">
        <f>IFERROR(__xludf.DUMMYFUNCTION("""COMPUTED_VALUE"""),45082.64583333333)</f>
        <v>45082.64583</v>
      </c>
      <c r="B2615" s="1">
        <f>IFERROR(__xludf.DUMMYFUNCTION("""COMPUTED_VALUE"""),3275.0)</f>
        <v>3275</v>
      </c>
      <c r="C2615" s="1">
        <f>IFERROR(__xludf.DUMMYFUNCTION("""COMPUTED_VALUE"""),3275.0)</f>
        <v>3275</v>
      </c>
      <c r="D2615" s="1">
        <f>IFERROR(__xludf.DUMMYFUNCTION("""COMPUTED_VALUE"""),3175.0)</f>
        <v>3175</v>
      </c>
      <c r="E2615" s="1">
        <f>IFERROR(__xludf.DUMMYFUNCTION("""COMPUTED_VALUE"""),3235.0)</f>
        <v>3235</v>
      </c>
      <c r="F2615" s="1">
        <f>IFERROR(__xludf.DUMMYFUNCTION("""COMPUTED_VALUE"""),77539.0)</f>
        <v>77539</v>
      </c>
    </row>
    <row r="2616">
      <c r="A2616" s="2">
        <f>IFERROR(__xludf.DUMMYFUNCTION("""COMPUTED_VALUE"""),45084.64583333333)</f>
        <v>45084.64583</v>
      </c>
      <c r="B2616" s="1">
        <f>IFERROR(__xludf.DUMMYFUNCTION("""COMPUTED_VALUE"""),3220.0)</f>
        <v>3220</v>
      </c>
      <c r="C2616" s="1">
        <f>IFERROR(__xludf.DUMMYFUNCTION("""COMPUTED_VALUE"""),3295.0)</f>
        <v>3295</v>
      </c>
      <c r="D2616" s="1">
        <f>IFERROR(__xludf.DUMMYFUNCTION("""COMPUTED_VALUE"""),3135.0)</f>
        <v>3135</v>
      </c>
      <c r="E2616" s="1">
        <f>IFERROR(__xludf.DUMMYFUNCTION("""COMPUTED_VALUE"""),3140.0)</f>
        <v>3140</v>
      </c>
      <c r="F2616" s="1">
        <f>IFERROR(__xludf.DUMMYFUNCTION("""COMPUTED_VALUE"""),90098.0)</f>
        <v>90098</v>
      </c>
    </row>
    <row r="2617">
      <c r="A2617" s="2">
        <f>IFERROR(__xludf.DUMMYFUNCTION("""COMPUTED_VALUE"""),45085.64583333333)</f>
        <v>45085.64583</v>
      </c>
      <c r="B2617" s="1">
        <f>IFERROR(__xludf.DUMMYFUNCTION("""COMPUTED_VALUE"""),3140.0)</f>
        <v>3140</v>
      </c>
      <c r="C2617" s="1">
        <f>IFERROR(__xludf.DUMMYFUNCTION("""COMPUTED_VALUE"""),3170.0)</f>
        <v>3170</v>
      </c>
      <c r="D2617" s="1">
        <f>IFERROR(__xludf.DUMMYFUNCTION("""COMPUTED_VALUE"""),3005.0)</f>
        <v>3005</v>
      </c>
      <c r="E2617" s="1">
        <f>IFERROR(__xludf.DUMMYFUNCTION("""COMPUTED_VALUE"""),3040.0)</f>
        <v>3040</v>
      </c>
      <c r="F2617" s="1">
        <f>IFERROR(__xludf.DUMMYFUNCTION("""COMPUTED_VALUE"""),216610.0)</f>
        <v>216610</v>
      </c>
    </row>
    <row r="2618">
      <c r="A2618" s="2">
        <f>IFERROR(__xludf.DUMMYFUNCTION("""COMPUTED_VALUE"""),45086.64583333333)</f>
        <v>45086.64583</v>
      </c>
      <c r="B2618" s="1">
        <f>IFERROR(__xludf.DUMMYFUNCTION("""COMPUTED_VALUE"""),3055.0)</f>
        <v>3055</v>
      </c>
      <c r="C2618" s="1">
        <f>IFERROR(__xludf.DUMMYFUNCTION("""COMPUTED_VALUE"""),3595.0)</f>
        <v>3595</v>
      </c>
      <c r="D2618" s="1">
        <f>IFERROR(__xludf.DUMMYFUNCTION("""COMPUTED_VALUE"""),3015.0)</f>
        <v>3015</v>
      </c>
      <c r="E2618" s="1">
        <f>IFERROR(__xludf.DUMMYFUNCTION("""COMPUTED_VALUE"""),3240.0)</f>
        <v>3240</v>
      </c>
      <c r="F2618" s="1">
        <f>IFERROR(__xludf.DUMMYFUNCTION("""COMPUTED_VALUE"""),1133207.0)</f>
        <v>1133207</v>
      </c>
    </row>
    <row r="2619">
      <c r="A2619" s="2">
        <f>IFERROR(__xludf.DUMMYFUNCTION("""COMPUTED_VALUE"""),45089.64583333333)</f>
        <v>45089.64583</v>
      </c>
      <c r="B2619" s="1">
        <f>IFERROR(__xludf.DUMMYFUNCTION("""COMPUTED_VALUE"""),3240.0)</f>
        <v>3240</v>
      </c>
      <c r="C2619" s="1">
        <f>IFERROR(__xludf.DUMMYFUNCTION("""COMPUTED_VALUE"""),3250.0)</f>
        <v>3250</v>
      </c>
      <c r="D2619" s="1">
        <f>IFERROR(__xludf.DUMMYFUNCTION("""COMPUTED_VALUE"""),3130.0)</f>
        <v>3130</v>
      </c>
      <c r="E2619" s="1">
        <f>IFERROR(__xludf.DUMMYFUNCTION("""COMPUTED_VALUE"""),3190.0)</f>
        <v>3190</v>
      </c>
      <c r="F2619" s="1">
        <f>IFERROR(__xludf.DUMMYFUNCTION("""COMPUTED_VALUE"""),93177.0)</f>
        <v>93177</v>
      </c>
    </row>
    <row r="2620">
      <c r="A2620" s="2">
        <f>IFERROR(__xludf.DUMMYFUNCTION("""COMPUTED_VALUE"""),45090.64583333333)</f>
        <v>45090.64583</v>
      </c>
      <c r="B2620" s="1">
        <f>IFERROR(__xludf.DUMMYFUNCTION("""COMPUTED_VALUE"""),3155.0)</f>
        <v>3155</v>
      </c>
      <c r="C2620" s="1">
        <f>IFERROR(__xludf.DUMMYFUNCTION("""COMPUTED_VALUE"""),3225.0)</f>
        <v>3225</v>
      </c>
      <c r="D2620" s="1">
        <f>IFERROR(__xludf.DUMMYFUNCTION("""COMPUTED_VALUE"""),3140.0)</f>
        <v>3140</v>
      </c>
      <c r="E2620" s="1">
        <f>IFERROR(__xludf.DUMMYFUNCTION("""COMPUTED_VALUE"""),3170.0)</f>
        <v>3170</v>
      </c>
      <c r="F2620" s="1">
        <f>IFERROR(__xludf.DUMMYFUNCTION("""COMPUTED_VALUE"""),63914.0)</f>
        <v>63914</v>
      </c>
    </row>
    <row r="2621">
      <c r="A2621" s="2">
        <f>IFERROR(__xludf.DUMMYFUNCTION("""COMPUTED_VALUE"""),45091.64583333333)</f>
        <v>45091.64583</v>
      </c>
      <c r="B2621" s="1">
        <f>IFERROR(__xludf.DUMMYFUNCTION("""COMPUTED_VALUE"""),3155.0)</f>
        <v>3155</v>
      </c>
      <c r="C2621" s="1">
        <f>IFERROR(__xludf.DUMMYFUNCTION("""COMPUTED_VALUE"""),3250.0)</f>
        <v>3250</v>
      </c>
      <c r="D2621" s="1">
        <f>IFERROR(__xludf.DUMMYFUNCTION("""COMPUTED_VALUE"""),3100.0)</f>
        <v>3100</v>
      </c>
      <c r="E2621" s="1">
        <f>IFERROR(__xludf.DUMMYFUNCTION("""COMPUTED_VALUE"""),3235.0)</f>
        <v>3235</v>
      </c>
      <c r="F2621" s="1">
        <f>IFERROR(__xludf.DUMMYFUNCTION("""COMPUTED_VALUE"""),124698.0)</f>
        <v>124698</v>
      </c>
    </row>
    <row r="2622">
      <c r="A2622" s="2">
        <f>IFERROR(__xludf.DUMMYFUNCTION("""COMPUTED_VALUE"""),45092.64583333333)</f>
        <v>45092.64583</v>
      </c>
      <c r="B2622" s="1">
        <f>IFERROR(__xludf.DUMMYFUNCTION("""COMPUTED_VALUE"""),3250.0)</f>
        <v>3250</v>
      </c>
      <c r="C2622" s="1">
        <f>IFERROR(__xludf.DUMMYFUNCTION("""COMPUTED_VALUE"""),3395.0)</f>
        <v>3395</v>
      </c>
      <c r="D2622" s="1">
        <f>IFERROR(__xludf.DUMMYFUNCTION("""COMPUTED_VALUE"""),3200.0)</f>
        <v>3200</v>
      </c>
      <c r="E2622" s="1">
        <f>IFERROR(__xludf.DUMMYFUNCTION("""COMPUTED_VALUE"""),3255.0)</f>
        <v>3255</v>
      </c>
      <c r="F2622" s="1">
        <f>IFERROR(__xludf.DUMMYFUNCTION("""COMPUTED_VALUE"""),105244.0)</f>
        <v>105244</v>
      </c>
    </row>
    <row r="2623">
      <c r="A2623" s="2">
        <f>IFERROR(__xludf.DUMMYFUNCTION("""COMPUTED_VALUE"""),45093.64583333333)</f>
        <v>45093.64583</v>
      </c>
      <c r="B2623" s="1">
        <f>IFERROR(__xludf.DUMMYFUNCTION("""COMPUTED_VALUE"""),3255.0)</f>
        <v>3255</v>
      </c>
      <c r="C2623" s="1">
        <f>IFERROR(__xludf.DUMMYFUNCTION("""COMPUTED_VALUE"""),3340.0)</f>
        <v>3340</v>
      </c>
      <c r="D2623" s="1">
        <f>IFERROR(__xludf.DUMMYFUNCTION("""COMPUTED_VALUE"""),3200.0)</f>
        <v>3200</v>
      </c>
      <c r="E2623" s="1">
        <f>IFERROR(__xludf.DUMMYFUNCTION("""COMPUTED_VALUE"""),3250.0)</f>
        <v>3250</v>
      </c>
      <c r="F2623" s="1">
        <f>IFERROR(__xludf.DUMMYFUNCTION("""COMPUTED_VALUE"""),60396.0)</f>
        <v>60396</v>
      </c>
    </row>
    <row r="2624">
      <c r="A2624" s="2">
        <f>IFERROR(__xludf.DUMMYFUNCTION("""COMPUTED_VALUE"""),45096.64583333333)</f>
        <v>45096.64583</v>
      </c>
      <c r="B2624" s="1">
        <f>IFERROR(__xludf.DUMMYFUNCTION("""COMPUTED_VALUE"""),3210.0)</f>
        <v>3210</v>
      </c>
      <c r="C2624" s="1">
        <f>IFERROR(__xludf.DUMMYFUNCTION("""COMPUTED_VALUE"""),3290.0)</f>
        <v>3290</v>
      </c>
      <c r="D2624" s="1">
        <f>IFERROR(__xludf.DUMMYFUNCTION("""COMPUTED_VALUE"""),3170.0)</f>
        <v>3170</v>
      </c>
      <c r="E2624" s="1">
        <f>IFERROR(__xludf.DUMMYFUNCTION("""COMPUTED_VALUE"""),3265.0)</f>
        <v>3265</v>
      </c>
      <c r="F2624" s="1">
        <f>IFERROR(__xludf.DUMMYFUNCTION("""COMPUTED_VALUE"""),67743.0)</f>
        <v>67743</v>
      </c>
    </row>
    <row r="2625">
      <c r="A2625" s="2">
        <f>IFERROR(__xludf.DUMMYFUNCTION("""COMPUTED_VALUE"""),45097.64583333333)</f>
        <v>45097.64583</v>
      </c>
      <c r="B2625" s="1">
        <f>IFERROR(__xludf.DUMMYFUNCTION("""COMPUTED_VALUE"""),3225.0)</f>
        <v>3225</v>
      </c>
      <c r="C2625" s="1">
        <f>IFERROR(__xludf.DUMMYFUNCTION("""COMPUTED_VALUE"""),3475.0)</f>
        <v>3475</v>
      </c>
      <c r="D2625" s="1">
        <f>IFERROR(__xludf.DUMMYFUNCTION("""COMPUTED_VALUE"""),3220.0)</f>
        <v>3220</v>
      </c>
      <c r="E2625" s="1">
        <f>IFERROR(__xludf.DUMMYFUNCTION("""COMPUTED_VALUE"""),3430.0)</f>
        <v>3430</v>
      </c>
      <c r="F2625" s="1">
        <f>IFERROR(__xludf.DUMMYFUNCTION("""COMPUTED_VALUE"""),347386.0)</f>
        <v>347386</v>
      </c>
    </row>
    <row r="2626">
      <c r="A2626" s="2">
        <f>IFERROR(__xludf.DUMMYFUNCTION("""COMPUTED_VALUE"""),45098.64583333333)</f>
        <v>45098.64583</v>
      </c>
      <c r="B2626" s="1">
        <f>IFERROR(__xludf.DUMMYFUNCTION("""COMPUTED_VALUE"""),4455.0)</f>
        <v>4455</v>
      </c>
      <c r="C2626" s="1">
        <f>IFERROR(__xludf.DUMMYFUNCTION("""COMPUTED_VALUE"""),4455.0)</f>
        <v>4455</v>
      </c>
      <c r="D2626" s="1">
        <f>IFERROR(__xludf.DUMMYFUNCTION("""COMPUTED_VALUE"""),4455.0)</f>
        <v>4455</v>
      </c>
      <c r="E2626" s="1">
        <f>IFERROR(__xludf.DUMMYFUNCTION("""COMPUTED_VALUE"""),4455.0)</f>
        <v>4455</v>
      </c>
      <c r="F2626" s="1">
        <f>IFERROR(__xludf.DUMMYFUNCTION("""COMPUTED_VALUE"""),747952.0)</f>
        <v>747952</v>
      </c>
    </row>
    <row r="2627">
      <c r="A2627" s="2">
        <f>IFERROR(__xludf.DUMMYFUNCTION("""COMPUTED_VALUE"""),45099.64583333333)</f>
        <v>45099.64583</v>
      </c>
      <c r="B2627" s="1">
        <f>IFERROR(__xludf.DUMMYFUNCTION("""COMPUTED_VALUE"""),5790.0)</f>
        <v>5790</v>
      </c>
      <c r="C2627" s="1">
        <f>IFERROR(__xludf.DUMMYFUNCTION("""COMPUTED_VALUE"""),5790.0)</f>
        <v>5790</v>
      </c>
      <c r="D2627" s="1">
        <f>IFERROR(__xludf.DUMMYFUNCTION("""COMPUTED_VALUE"""),5790.0)</f>
        <v>5790</v>
      </c>
      <c r="E2627" s="1">
        <f>IFERROR(__xludf.DUMMYFUNCTION("""COMPUTED_VALUE"""),5790.0)</f>
        <v>5790</v>
      </c>
      <c r="F2627" s="1">
        <f>IFERROR(__xludf.DUMMYFUNCTION("""COMPUTED_VALUE"""),2470790.0)</f>
        <v>2470790</v>
      </c>
    </row>
    <row r="2628">
      <c r="A2628" s="2">
        <f>IFERROR(__xludf.DUMMYFUNCTION("""COMPUTED_VALUE"""),45100.64583333333)</f>
        <v>45100.64583</v>
      </c>
      <c r="B2628" s="1">
        <f>IFERROR(__xludf.DUMMYFUNCTION("""COMPUTED_VALUE"""),6300.0)</f>
        <v>6300</v>
      </c>
      <c r="C2628" s="1">
        <f>IFERROR(__xludf.DUMMYFUNCTION("""COMPUTED_VALUE"""),6720.0)</f>
        <v>6720</v>
      </c>
      <c r="D2628" s="1">
        <f>IFERROR(__xludf.DUMMYFUNCTION("""COMPUTED_VALUE"""),5430.0)</f>
        <v>5430</v>
      </c>
      <c r="E2628" s="1">
        <f>IFERROR(__xludf.DUMMYFUNCTION("""COMPUTED_VALUE"""),5670.0)</f>
        <v>5670</v>
      </c>
      <c r="F2628" s="1">
        <f>IFERROR(__xludf.DUMMYFUNCTION("""COMPUTED_VALUE"""),1.8069043E7)</f>
        <v>18069043</v>
      </c>
    </row>
    <row r="2629">
      <c r="A2629" s="2">
        <f>IFERROR(__xludf.DUMMYFUNCTION("""COMPUTED_VALUE"""),45103.64583333333)</f>
        <v>45103.64583</v>
      </c>
      <c r="B2629" s="1">
        <f>IFERROR(__xludf.DUMMYFUNCTION("""COMPUTED_VALUE"""),5450.0)</f>
        <v>5450</v>
      </c>
      <c r="C2629" s="1">
        <f>IFERROR(__xludf.DUMMYFUNCTION("""COMPUTED_VALUE"""),6060.0)</f>
        <v>6060</v>
      </c>
      <c r="D2629" s="1">
        <f>IFERROR(__xludf.DUMMYFUNCTION("""COMPUTED_VALUE"""),5360.0)</f>
        <v>5360</v>
      </c>
      <c r="E2629" s="1">
        <f>IFERROR(__xludf.DUMMYFUNCTION("""COMPUTED_VALUE"""),5620.0)</f>
        <v>5620</v>
      </c>
      <c r="F2629" s="1">
        <f>IFERROR(__xludf.DUMMYFUNCTION("""COMPUTED_VALUE"""),6230467.0)</f>
        <v>6230467</v>
      </c>
    </row>
    <row r="2630">
      <c r="A2630" s="2">
        <f>IFERROR(__xludf.DUMMYFUNCTION("""COMPUTED_VALUE"""),45104.64583333333)</f>
        <v>45104.64583</v>
      </c>
      <c r="B2630" s="1">
        <f>IFERROR(__xludf.DUMMYFUNCTION("""COMPUTED_VALUE"""),5690.0)</f>
        <v>5690</v>
      </c>
      <c r="C2630" s="1">
        <f>IFERROR(__xludf.DUMMYFUNCTION("""COMPUTED_VALUE"""),6200.0)</f>
        <v>6200</v>
      </c>
      <c r="D2630" s="1">
        <f>IFERROR(__xludf.DUMMYFUNCTION("""COMPUTED_VALUE"""),5610.0)</f>
        <v>5610</v>
      </c>
      <c r="E2630" s="1">
        <f>IFERROR(__xludf.DUMMYFUNCTION("""COMPUTED_VALUE"""),5800.0)</f>
        <v>5800</v>
      </c>
      <c r="F2630" s="1">
        <f>IFERROR(__xludf.DUMMYFUNCTION("""COMPUTED_VALUE"""),6354157.0)</f>
        <v>6354157</v>
      </c>
    </row>
    <row r="2631">
      <c r="A2631" s="2">
        <f>IFERROR(__xludf.DUMMYFUNCTION("""COMPUTED_VALUE"""),45105.64583333333)</f>
        <v>45105.64583</v>
      </c>
      <c r="B2631" s="1">
        <f>IFERROR(__xludf.DUMMYFUNCTION("""COMPUTED_VALUE"""),5580.0)</f>
        <v>5580</v>
      </c>
      <c r="C2631" s="1">
        <f>IFERROR(__xludf.DUMMYFUNCTION("""COMPUTED_VALUE"""),5750.0)</f>
        <v>5750</v>
      </c>
      <c r="D2631" s="1">
        <f>IFERROR(__xludf.DUMMYFUNCTION("""COMPUTED_VALUE"""),5470.0)</f>
        <v>5470</v>
      </c>
      <c r="E2631" s="1">
        <f>IFERROR(__xludf.DUMMYFUNCTION("""COMPUTED_VALUE"""),5590.0)</f>
        <v>5590</v>
      </c>
      <c r="F2631" s="1">
        <f>IFERROR(__xludf.DUMMYFUNCTION("""COMPUTED_VALUE"""),1415425.0)</f>
        <v>1415425</v>
      </c>
    </row>
    <row r="2632">
      <c r="A2632" s="2">
        <f>IFERROR(__xludf.DUMMYFUNCTION("""COMPUTED_VALUE"""),45106.64583333333)</f>
        <v>45106.64583</v>
      </c>
      <c r="B2632" s="1">
        <f>IFERROR(__xludf.DUMMYFUNCTION("""COMPUTED_VALUE"""),5620.0)</f>
        <v>5620</v>
      </c>
      <c r="C2632" s="1">
        <f>IFERROR(__xludf.DUMMYFUNCTION("""COMPUTED_VALUE"""),5750.0)</f>
        <v>5750</v>
      </c>
      <c r="D2632" s="1">
        <f>IFERROR(__xludf.DUMMYFUNCTION("""COMPUTED_VALUE"""),5060.0)</f>
        <v>5060</v>
      </c>
      <c r="E2632" s="1">
        <f>IFERROR(__xludf.DUMMYFUNCTION("""COMPUTED_VALUE"""),5060.0)</f>
        <v>5060</v>
      </c>
      <c r="F2632" s="1">
        <f>IFERROR(__xludf.DUMMYFUNCTION("""COMPUTED_VALUE"""),1451940.0)</f>
        <v>1451940</v>
      </c>
    </row>
    <row r="2633">
      <c r="A2633" s="2">
        <f>IFERROR(__xludf.DUMMYFUNCTION("""COMPUTED_VALUE"""),45107.64583333333)</f>
        <v>45107.64583</v>
      </c>
      <c r="B2633" s="1">
        <f>IFERROR(__xludf.DUMMYFUNCTION("""COMPUTED_VALUE"""),5020.0)</f>
        <v>5020</v>
      </c>
      <c r="C2633" s="1">
        <f>IFERROR(__xludf.DUMMYFUNCTION("""COMPUTED_VALUE"""),5520.0)</f>
        <v>5520</v>
      </c>
      <c r="D2633" s="1">
        <f>IFERROR(__xludf.DUMMYFUNCTION("""COMPUTED_VALUE"""),4950.0)</f>
        <v>4950</v>
      </c>
      <c r="E2633" s="1">
        <f>IFERROR(__xludf.DUMMYFUNCTION("""COMPUTED_VALUE"""),5370.0)</f>
        <v>5370</v>
      </c>
      <c r="F2633" s="1">
        <f>IFERROR(__xludf.DUMMYFUNCTION("""COMPUTED_VALUE"""),1320318.0)</f>
        <v>1320318</v>
      </c>
    </row>
    <row r="2634">
      <c r="A2634" s="2">
        <f>IFERROR(__xludf.DUMMYFUNCTION("""COMPUTED_VALUE"""),45110.64583333333)</f>
        <v>45110.64583</v>
      </c>
      <c r="B2634" s="1">
        <f>IFERROR(__xludf.DUMMYFUNCTION("""COMPUTED_VALUE"""),5370.0)</f>
        <v>5370</v>
      </c>
      <c r="C2634" s="1">
        <f>IFERROR(__xludf.DUMMYFUNCTION("""COMPUTED_VALUE"""),5450.0)</f>
        <v>5450</v>
      </c>
      <c r="D2634" s="1">
        <f>IFERROR(__xludf.DUMMYFUNCTION("""COMPUTED_VALUE"""),5130.0)</f>
        <v>5130</v>
      </c>
      <c r="E2634" s="1">
        <f>IFERROR(__xludf.DUMMYFUNCTION("""COMPUTED_VALUE"""),5370.0)</f>
        <v>5370</v>
      </c>
      <c r="F2634" s="1">
        <f>IFERROR(__xludf.DUMMYFUNCTION("""COMPUTED_VALUE"""),397703.0)</f>
        <v>397703</v>
      </c>
    </row>
    <row r="2635">
      <c r="A2635" s="2">
        <f>IFERROR(__xludf.DUMMYFUNCTION("""COMPUTED_VALUE"""),45111.64583333333)</f>
        <v>45111.64583</v>
      </c>
      <c r="B2635" s="1">
        <f>IFERROR(__xludf.DUMMYFUNCTION("""COMPUTED_VALUE"""),5270.0)</f>
        <v>5270</v>
      </c>
      <c r="C2635" s="1">
        <f>IFERROR(__xludf.DUMMYFUNCTION("""COMPUTED_VALUE"""),5530.0)</f>
        <v>5530</v>
      </c>
      <c r="D2635" s="1">
        <f>IFERROR(__xludf.DUMMYFUNCTION("""COMPUTED_VALUE"""),5080.0)</f>
        <v>5080</v>
      </c>
      <c r="E2635" s="1">
        <f>IFERROR(__xludf.DUMMYFUNCTION("""COMPUTED_VALUE"""),5530.0)</f>
        <v>5530</v>
      </c>
      <c r="F2635" s="1">
        <f>IFERROR(__xludf.DUMMYFUNCTION("""COMPUTED_VALUE"""),810521.0)</f>
        <v>810521</v>
      </c>
    </row>
    <row r="2636">
      <c r="A2636" s="2">
        <f>IFERROR(__xludf.DUMMYFUNCTION("""COMPUTED_VALUE"""),45112.64583333333)</f>
        <v>45112.64583</v>
      </c>
      <c r="B2636" s="1">
        <f>IFERROR(__xludf.DUMMYFUNCTION("""COMPUTED_VALUE"""),5470.0)</f>
        <v>5470</v>
      </c>
      <c r="C2636" s="1">
        <f>IFERROR(__xludf.DUMMYFUNCTION("""COMPUTED_VALUE"""),5740.0)</f>
        <v>5740</v>
      </c>
      <c r="D2636" s="1">
        <f>IFERROR(__xludf.DUMMYFUNCTION("""COMPUTED_VALUE"""),5420.0)</f>
        <v>5420</v>
      </c>
      <c r="E2636" s="1">
        <f>IFERROR(__xludf.DUMMYFUNCTION("""COMPUTED_VALUE"""),5510.0)</f>
        <v>5510</v>
      </c>
      <c r="F2636" s="1">
        <f>IFERROR(__xludf.DUMMYFUNCTION("""COMPUTED_VALUE"""),624365.0)</f>
        <v>624365</v>
      </c>
    </row>
    <row r="2637">
      <c r="A2637" s="2">
        <f>IFERROR(__xludf.DUMMYFUNCTION("""COMPUTED_VALUE"""),45113.64583333333)</f>
        <v>45113.64583</v>
      </c>
      <c r="B2637" s="1">
        <f>IFERROR(__xludf.DUMMYFUNCTION("""COMPUTED_VALUE"""),5510.0)</f>
        <v>5510</v>
      </c>
      <c r="C2637" s="1">
        <f>IFERROR(__xludf.DUMMYFUNCTION("""COMPUTED_VALUE"""),5620.0)</f>
        <v>5620</v>
      </c>
      <c r="D2637" s="1">
        <f>IFERROR(__xludf.DUMMYFUNCTION("""COMPUTED_VALUE"""),5270.0)</f>
        <v>5270</v>
      </c>
      <c r="E2637" s="1">
        <f>IFERROR(__xludf.DUMMYFUNCTION("""COMPUTED_VALUE"""),5620.0)</f>
        <v>5620</v>
      </c>
      <c r="F2637" s="1">
        <f>IFERROR(__xludf.DUMMYFUNCTION("""COMPUTED_VALUE"""),553641.0)</f>
        <v>553641</v>
      </c>
    </row>
    <row r="2638">
      <c r="A2638" s="2">
        <f>IFERROR(__xludf.DUMMYFUNCTION("""COMPUTED_VALUE"""),45114.64583333333)</f>
        <v>45114.64583</v>
      </c>
      <c r="B2638" s="1">
        <f>IFERROR(__xludf.DUMMYFUNCTION("""COMPUTED_VALUE"""),5570.0)</f>
        <v>5570</v>
      </c>
      <c r="C2638" s="1">
        <f>IFERROR(__xludf.DUMMYFUNCTION("""COMPUTED_VALUE"""),5680.0)</f>
        <v>5680</v>
      </c>
      <c r="D2638" s="1">
        <f>IFERROR(__xludf.DUMMYFUNCTION("""COMPUTED_VALUE"""),5500.0)</f>
        <v>5500</v>
      </c>
      <c r="E2638" s="1">
        <f>IFERROR(__xludf.DUMMYFUNCTION("""COMPUTED_VALUE"""),5520.0)</f>
        <v>5520</v>
      </c>
      <c r="F2638" s="1">
        <f>IFERROR(__xludf.DUMMYFUNCTION("""COMPUTED_VALUE"""),567632.0)</f>
        <v>567632</v>
      </c>
    </row>
    <row r="2639">
      <c r="A2639" s="2">
        <f>IFERROR(__xludf.DUMMYFUNCTION("""COMPUTED_VALUE"""),45117.64583333333)</f>
        <v>45117.64583</v>
      </c>
      <c r="B2639" s="1">
        <f>IFERROR(__xludf.DUMMYFUNCTION("""COMPUTED_VALUE"""),5470.0)</f>
        <v>5470</v>
      </c>
      <c r="C2639" s="1">
        <f>IFERROR(__xludf.DUMMYFUNCTION("""COMPUTED_VALUE"""),5830.0)</f>
        <v>5830</v>
      </c>
      <c r="D2639" s="1">
        <f>IFERROR(__xludf.DUMMYFUNCTION("""COMPUTED_VALUE"""),5320.0)</f>
        <v>5320</v>
      </c>
      <c r="E2639" s="1">
        <f>IFERROR(__xludf.DUMMYFUNCTION("""COMPUTED_VALUE"""),5730.0)</f>
        <v>5730</v>
      </c>
      <c r="F2639" s="1">
        <f>IFERROR(__xludf.DUMMYFUNCTION("""COMPUTED_VALUE"""),886744.0)</f>
        <v>886744</v>
      </c>
    </row>
    <row r="2640">
      <c r="A2640" s="2">
        <f>IFERROR(__xludf.DUMMYFUNCTION("""COMPUTED_VALUE"""),45118.64583333333)</f>
        <v>45118.64583</v>
      </c>
      <c r="B2640" s="1">
        <f>IFERROR(__xludf.DUMMYFUNCTION("""COMPUTED_VALUE"""),5750.0)</f>
        <v>5750</v>
      </c>
      <c r="C2640" s="1">
        <f>IFERROR(__xludf.DUMMYFUNCTION("""COMPUTED_VALUE"""),5850.0)</f>
        <v>5850</v>
      </c>
      <c r="D2640" s="1">
        <f>IFERROR(__xludf.DUMMYFUNCTION("""COMPUTED_VALUE"""),5650.0)</f>
        <v>5650</v>
      </c>
      <c r="E2640" s="1">
        <f>IFERROR(__xludf.DUMMYFUNCTION("""COMPUTED_VALUE"""),5810.0)</f>
        <v>5810</v>
      </c>
      <c r="F2640" s="1">
        <f>IFERROR(__xludf.DUMMYFUNCTION("""COMPUTED_VALUE"""),698103.0)</f>
        <v>698103</v>
      </c>
    </row>
    <row r="2641">
      <c r="A2641" s="2">
        <f>IFERROR(__xludf.DUMMYFUNCTION("""COMPUTED_VALUE"""),45119.64583333333)</f>
        <v>45119.64583</v>
      </c>
      <c r="B2641" s="1">
        <f>IFERROR(__xludf.DUMMYFUNCTION("""COMPUTED_VALUE"""),5720.0)</f>
        <v>5720</v>
      </c>
      <c r="C2641" s="1">
        <f>IFERROR(__xludf.DUMMYFUNCTION("""COMPUTED_VALUE"""),5790.0)</f>
        <v>5790</v>
      </c>
      <c r="D2641" s="1">
        <f>IFERROR(__xludf.DUMMYFUNCTION("""COMPUTED_VALUE"""),5520.0)</f>
        <v>5520</v>
      </c>
      <c r="E2641" s="1">
        <f>IFERROR(__xludf.DUMMYFUNCTION("""COMPUTED_VALUE"""),5540.0)</f>
        <v>5540</v>
      </c>
      <c r="F2641" s="1">
        <f>IFERROR(__xludf.DUMMYFUNCTION("""COMPUTED_VALUE"""),588474.0)</f>
        <v>588474</v>
      </c>
    </row>
    <row r="2642">
      <c r="A2642" s="2">
        <f>IFERROR(__xludf.DUMMYFUNCTION("""COMPUTED_VALUE"""),45120.64583333333)</f>
        <v>45120.64583</v>
      </c>
      <c r="B2642" s="1">
        <f>IFERROR(__xludf.DUMMYFUNCTION("""COMPUTED_VALUE"""),5540.0)</f>
        <v>5540</v>
      </c>
      <c r="C2642" s="1">
        <f>IFERROR(__xludf.DUMMYFUNCTION("""COMPUTED_VALUE"""),5700.0)</f>
        <v>5700</v>
      </c>
      <c r="D2642" s="1">
        <f>IFERROR(__xludf.DUMMYFUNCTION("""COMPUTED_VALUE"""),5360.0)</f>
        <v>5360</v>
      </c>
      <c r="E2642" s="1">
        <f>IFERROR(__xludf.DUMMYFUNCTION("""COMPUTED_VALUE"""),5700.0)</f>
        <v>5700</v>
      </c>
      <c r="F2642" s="1">
        <f>IFERROR(__xludf.DUMMYFUNCTION("""COMPUTED_VALUE"""),494335.0)</f>
        <v>494335</v>
      </c>
    </row>
    <row r="2643">
      <c r="A2643" s="2">
        <f>IFERROR(__xludf.DUMMYFUNCTION("""COMPUTED_VALUE"""),45121.64583333333)</f>
        <v>45121.64583</v>
      </c>
      <c r="B2643" s="1">
        <f>IFERROR(__xludf.DUMMYFUNCTION("""COMPUTED_VALUE"""),5700.0)</f>
        <v>5700</v>
      </c>
      <c r="C2643" s="1">
        <f>IFERROR(__xludf.DUMMYFUNCTION("""COMPUTED_VALUE"""),5770.0)</f>
        <v>5770</v>
      </c>
      <c r="D2643" s="1">
        <f>IFERROR(__xludf.DUMMYFUNCTION("""COMPUTED_VALUE"""),5440.0)</f>
        <v>5440</v>
      </c>
      <c r="E2643" s="1">
        <f>IFERROR(__xludf.DUMMYFUNCTION("""COMPUTED_VALUE"""),5480.0)</f>
        <v>5480</v>
      </c>
      <c r="F2643" s="1">
        <f>IFERROR(__xludf.DUMMYFUNCTION("""COMPUTED_VALUE"""),551661.0)</f>
        <v>551661</v>
      </c>
    </row>
    <row r="2644">
      <c r="A2644" s="2">
        <f>IFERROR(__xludf.DUMMYFUNCTION("""COMPUTED_VALUE"""),45124.64583333333)</f>
        <v>45124.64583</v>
      </c>
      <c r="B2644" s="1">
        <f>IFERROR(__xludf.DUMMYFUNCTION("""COMPUTED_VALUE"""),5830.0)</f>
        <v>5830</v>
      </c>
      <c r="C2644" s="1">
        <f>IFERROR(__xludf.DUMMYFUNCTION("""COMPUTED_VALUE"""),6310.0)</f>
        <v>6310</v>
      </c>
      <c r="D2644" s="1">
        <f>IFERROR(__xludf.DUMMYFUNCTION("""COMPUTED_VALUE"""),5120.0)</f>
        <v>5120</v>
      </c>
      <c r="E2644" s="1">
        <f>IFERROR(__xludf.DUMMYFUNCTION("""COMPUTED_VALUE"""),5200.0)</f>
        <v>5200</v>
      </c>
      <c r="F2644" s="1">
        <f>IFERROR(__xludf.DUMMYFUNCTION("""COMPUTED_VALUE"""),2810526.0)</f>
        <v>2810526</v>
      </c>
    </row>
    <row r="2645">
      <c r="A2645" s="2">
        <f>IFERROR(__xludf.DUMMYFUNCTION("""COMPUTED_VALUE"""),45125.64583333333)</f>
        <v>45125.64583</v>
      </c>
      <c r="B2645" s="1">
        <f>IFERROR(__xludf.DUMMYFUNCTION("""COMPUTED_VALUE"""),5220.0)</f>
        <v>5220</v>
      </c>
      <c r="C2645" s="1">
        <f>IFERROR(__xludf.DUMMYFUNCTION("""COMPUTED_VALUE"""),5300.0)</f>
        <v>5300</v>
      </c>
      <c r="D2645" s="1">
        <f>IFERROR(__xludf.DUMMYFUNCTION("""COMPUTED_VALUE"""),4710.0)</f>
        <v>4710</v>
      </c>
      <c r="E2645" s="1">
        <f>IFERROR(__xludf.DUMMYFUNCTION("""COMPUTED_VALUE"""),4930.0)</f>
        <v>4930</v>
      </c>
      <c r="F2645" s="1">
        <f>IFERROR(__xludf.DUMMYFUNCTION("""COMPUTED_VALUE"""),982115.0)</f>
        <v>982115</v>
      </c>
    </row>
    <row r="2646">
      <c r="A2646" s="2">
        <f>IFERROR(__xludf.DUMMYFUNCTION("""COMPUTED_VALUE"""),45126.64583333333)</f>
        <v>45126.64583</v>
      </c>
      <c r="B2646" s="1">
        <f>IFERROR(__xludf.DUMMYFUNCTION("""COMPUTED_VALUE"""),4985.0)</f>
        <v>4985</v>
      </c>
      <c r="C2646" s="1">
        <f>IFERROR(__xludf.DUMMYFUNCTION("""COMPUTED_VALUE"""),4985.0)</f>
        <v>4985</v>
      </c>
      <c r="D2646" s="1">
        <f>IFERROR(__xludf.DUMMYFUNCTION("""COMPUTED_VALUE"""),4550.0)</f>
        <v>4550</v>
      </c>
      <c r="E2646" s="1">
        <f>IFERROR(__xludf.DUMMYFUNCTION("""COMPUTED_VALUE"""),4575.0)</f>
        <v>4575</v>
      </c>
      <c r="F2646" s="1">
        <f>IFERROR(__xludf.DUMMYFUNCTION("""COMPUTED_VALUE"""),825155.0)</f>
        <v>825155</v>
      </c>
    </row>
    <row r="2647">
      <c r="A2647" s="2">
        <f>IFERROR(__xludf.DUMMYFUNCTION("""COMPUTED_VALUE"""),45127.64583333333)</f>
        <v>45127.64583</v>
      </c>
      <c r="B2647" s="1">
        <f>IFERROR(__xludf.DUMMYFUNCTION("""COMPUTED_VALUE"""),4625.0)</f>
        <v>4625</v>
      </c>
      <c r="C2647" s="1">
        <f>IFERROR(__xludf.DUMMYFUNCTION("""COMPUTED_VALUE"""),4805.0)</f>
        <v>4805</v>
      </c>
      <c r="D2647" s="1">
        <f>IFERROR(__xludf.DUMMYFUNCTION("""COMPUTED_VALUE"""),4535.0)</f>
        <v>4535</v>
      </c>
      <c r="E2647" s="1">
        <f>IFERROR(__xludf.DUMMYFUNCTION("""COMPUTED_VALUE"""),4625.0)</f>
        <v>4625</v>
      </c>
      <c r="F2647" s="1">
        <f>IFERROR(__xludf.DUMMYFUNCTION("""COMPUTED_VALUE"""),487957.0)</f>
        <v>487957</v>
      </c>
    </row>
    <row r="2648">
      <c r="A2648" s="2">
        <f>IFERROR(__xludf.DUMMYFUNCTION("""COMPUTED_VALUE"""),45128.64583333333)</f>
        <v>45128.64583</v>
      </c>
      <c r="B2648" s="1">
        <f>IFERROR(__xludf.DUMMYFUNCTION("""COMPUTED_VALUE"""),4570.0)</f>
        <v>4570</v>
      </c>
      <c r="C2648" s="1">
        <f>IFERROR(__xludf.DUMMYFUNCTION("""COMPUTED_VALUE"""),4860.0)</f>
        <v>4860</v>
      </c>
      <c r="D2648" s="1">
        <f>IFERROR(__xludf.DUMMYFUNCTION("""COMPUTED_VALUE"""),4550.0)</f>
        <v>4550</v>
      </c>
      <c r="E2648" s="1">
        <f>IFERROR(__xludf.DUMMYFUNCTION("""COMPUTED_VALUE"""),4690.0)</f>
        <v>4690</v>
      </c>
      <c r="F2648" s="1">
        <f>IFERROR(__xludf.DUMMYFUNCTION("""COMPUTED_VALUE"""),288166.0)</f>
        <v>288166</v>
      </c>
    </row>
    <row r="2649">
      <c r="A2649" s="2">
        <f>IFERROR(__xludf.DUMMYFUNCTION("""COMPUTED_VALUE"""),45131.64583333333)</f>
        <v>45131.64583</v>
      </c>
      <c r="B2649" s="1">
        <f>IFERROR(__xludf.DUMMYFUNCTION("""COMPUTED_VALUE"""),4670.0)</f>
        <v>4670</v>
      </c>
      <c r="C2649" s="1">
        <f>IFERROR(__xludf.DUMMYFUNCTION("""COMPUTED_VALUE"""),4770.0)</f>
        <v>4770</v>
      </c>
      <c r="D2649" s="1">
        <f>IFERROR(__xludf.DUMMYFUNCTION("""COMPUTED_VALUE"""),4470.0)</f>
        <v>4470</v>
      </c>
      <c r="E2649" s="1">
        <f>IFERROR(__xludf.DUMMYFUNCTION("""COMPUTED_VALUE"""),4530.0)</f>
        <v>4530</v>
      </c>
      <c r="F2649" s="1">
        <f>IFERROR(__xludf.DUMMYFUNCTION("""COMPUTED_VALUE"""),302086.0)</f>
        <v>302086</v>
      </c>
    </row>
    <row r="2650">
      <c r="A2650" s="2">
        <f>IFERROR(__xludf.DUMMYFUNCTION("""COMPUTED_VALUE"""),45132.64583333333)</f>
        <v>45132.64583</v>
      </c>
      <c r="B2650" s="1">
        <f>IFERROR(__xludf.DUMMYFUNCTION("""COMPUTED_VALUE"""),4450.0)</f>
        <v>4450</v>
      </c>
      <c r="C2650" s="1">
        <f>IFERROR(__xludf.DUMMYFUNCTION("""COMPUTED_VALUE"""),4550.0)</f>
        <v>4550</v>
      </c>
      <c r="D2650" s="1">
        <f>IFERROR(__xludf.DUMMYFUNCTION("""COMPUTED_VALUE"""),4310.0)</f>
        <v>4310</v>
      </c>
      <c r="E2650" s="1">
        <f>IFERROR(__xludf.DUMMYFUNCTION("""COMPUTED_VALUE"""),4450.0)</f>
        <v>4450</v>
      </c>
      <c r="F2650" s="1">
        <f>IFERROR(__xludf.DUMMYFUNCTION("""COMPUTED_VALUE"""),242961.0)</f>
        <v>242961</v>
      </c>
    </row>
    <row r="2651">
      <c r="A2651" s="2">
        <f>IFERROR(__xludf.DUMMYFUNCTION("""COMPUTED_VALUE"""),45133.64583333333)</f>
        <v>45133.64583</v>
      </c>
      <c r="B2651" s="1">
        <f>IFERROR(__xludf.DUMMYFUNCTION("""COMPUTED_VALUE"""),4445.0)</f>
        <v>4445</v>
      </c>
      <c r="C2651" s="1">
        <f>IFERROR(__xludf.DUMMYFUNCTION("""COMPUTED_VALUE"""),4445.0)</f>
        <v>4445</v>
      </c>
      <c r="D2651" s="1">
        <f>IFERROR(__xludf.DUMMYFUNCTION("""COMPUTED_VALUE"""),4100.0)</f>
        <v>4100</v>
      </c>
      <c r="E2651" s="1">
        <f>IFERROR(__xludf.DUMMYFUNCTION("""COMPUTED_VALUE"""),4265.0)</f>
        <v>4265</v>
      </c>
      <c r="F2651" s="1">
        <f>IFERROR(__xludf.DUMMYFUNCTION("""COMPUTED_VALUE"""),532693.0)</f>
        <v>532693</v>
      </c>
    </row>
    <row r="2652">
      <c r="A2652" s="2">
        <f>IFERROR(__xludf.DUMMYFUNCTION("""COMPUTED_VALUE"""),45134.64583333333)</f>
        <v>45134.64583</v>
      </c>
      <c r="B2652" s="1">
        <f>IFERROR(__xludf.DUMMYFUNCTION("""COMPUTED_VALUE"""),4210.0)</f>
        <v>4210</v>
      </c>
      <c r="C2652" s="1">
        <f>IFERROR(__xludf.DUMMYFUNCTION("""COMPUTED_VALUE"""),4435.0)</f>
        <v>4435</v>
      </c>
      <c r="D2652" s="1">
        <f>IFERROR(__xludf.DUMMYFUNCTION("""COMPUTED_VALUE"""),4210.0)</f>
        <v>4210</v>
      </c>
      <c r="E2652" s="1">
        <f>IFERROR(__xludf.DUMMYFUNCTION("""COMPUTED_VALUE"""),4290.0)</f>
        <v>4290</v>
      </c>
      <c r="F2652" s="1">
        <f>IFERROR(__xludf.DUMMYFUNCTION("""COMPUTED_VALUE"""),151096.0)</f>
        <v>151096</v>
      </c>
    </row>
    <row r="2653">
      <c r="A2653" s="2">
        <f>IFERROR(__xludf.DUMMYFUNCTION("""COMPUTED_VALUE"""),45135.64583333333)</f>
        <v>45135.64583</v>
      </c>
      <c r="B2653" s="1">
        <f>IFERROR(__xludf.DUMMYFUNCTION("""COMPUTED_VALUE"""),4200.0)</f>
        <v>4200</v>
      </c>
      <c r="C2653" s="1">
        <f>IFERROR(__xludf.DUMMYFUNCTION("""COMPUTED_VALUE"""),4650.0)</f>
        <v>4650</v>
      </c>
      <c r="D2653" s="1">
        <f>IFERROR(__xludf.DUMMYFUNCTION("""COMPUTED_VALUE"""),4200.0)</f>
        <v>4200</v>
      </c>
      <c r="E2653" s="1">
        <f>IFERROR(__xludf.DUMMYFUNCTION("""COMPUTED_VALUE"""),4615.0)</f>
        <v>4615</v>
      </c>
      <c r="F2653" s="1">
        <f>IFERROR(__xludf.DUMMYFUNCTION("""COMPUTED_VALUE"""),320637.0)</f>
        <v>320637</v>
      </c>
    </row>
    <row r="2654">
      <c r="A2654" s="2">
        <f>IFERROR(__xludf.DUMMYFUNCTION("""COMPUTED_VALUE"""),45138.64583333333)</f>
        <v>45138.64583</v>
      </c>
      <c r="B2654" s="1">
        <f>IFERROR(__xludf.DUMMYFUNCTION("""COMPUTED_VALUE"""),4770.0)</f>
        <v>4770</v>
      </c>
      <c r="C2654" s="1">
        <f>IFERROR(__xludf.DUMMYFUNCTION("""COMPUTED_VALUE"""),4830.0)</f>
        <v>4830</v>
      </c>
      <c r="D2654" s="1">
        <f>IFERROR(__xludf.DUMMYFUNCTION("""COMPUTED_VALUE"""),4550.0)</f>
        <v>4550</v>
      </c>
      <c r="E2654" s="1">
        <f>IFERROR(__xludf.DUMMYFUNCTION("""COMPUTED_VALUE"""),4795.0)</f>
        <v>4795</v>
      </c>
      <c r="F2654" s="1">
        <f>IFERROR(__xludf.DUMMYFUNCTION("""COMPUTED_VALUE"""),234495.0)</f>
        <v>234495</v>
      </c>
    </row>
    <row r="2655">
      <c r="A2655" s="2">
        <f>IFERROR(__xludf.DUMMYFUNCTION("""COMPUTED_VALUE"""),45139.64583333333)</f>
        <v>45139.64583</v>
      </c>
      <c r="B2655" s="1">
        <f>IFERROR(__xludf.DUMMYFUNCTION("""COMPUTED_VALUE"""),4795.0)</f>
        <v>4795</v>
      </c>
      <c r="C2655" s="1">
        <f>IFERROR(__xludf.DUMMYFUNCTION("""COMPUTED_VALUE"""),4965.0)</f>
        <v>4965</v>
      </c>
      <c r="D2655" s="1">
        <f>IFERROR(__xludf.DUMMYFUNCTION("""COMPUTED_VALUE"""),4740.0)</f>
        <v>4740</v>
      </c>
      <c r="E2655" s="1">
        <f>IFERROR(__xludf.DUMMYFUNCTION("""COMPUTED_VALUE"""),4915.0)</f>
        <v>4915</v>
      </c>
      <c r="F2655" s="1">
        <f>IFERROR(__xludf.DUMMYFUNCTION("""COMPUTED_VALUE"""),257370.0)</f>
        <v>257370</v>
      </c>
    </row>
    <row r="2656">
      <c r="A2656" s="2">
        <f>IFERROR(__xludf.DUMMYFUNCTION("""COMPUTED_VALUE"""),45140.64583333333)</f>
        <v>45140.64583</v>
      </c>
      <c r="B2656" s="1">
        <f>IFERROR(__xludf.DUMMYFUNCTION("""COMPUTED_VALUE"""),4910.0)</f>
        <v>4910</v>
      </c>
      <c r="C2656" s="1">
        <f>IFERROR(__xludf.DUMMYFUNCTION("""COMPUTED_VALUE"""),5200.0)</f>
        <v>5200</v>
      </c>
      <c r="D2656" s="1">
        <f>IFERROR(__xludf.DUMMYFUNCTION("""COMPUTED_VALUE"""),4810.0)</f>
        <v>4810</v>
      </c>
      <c r="E2656" s="1">
        <f>IFERROR(__xludf.DUMMYFUNCTION("""COMPUTED_VALUE"""),4930.0)</f>
        <v>4930</v>
      </c>
      <c r="F2656" s="1">
        <f>IFERROR(__xludf.DUMMYFUNCTION("""COMPUTED_VALUE"""),357653.0)</f>
        <v>357653</v>
      </c>
    </row>
    <row r="2657">
      <c r="A2657" s="2">
        <f>IFERROR(__xludf.DUMMYFUNCTION("""COMPUTED_VALUE"""),45141.64583333333)</f>
        <v>45141.64583</v>
      </c>
      <c r="B2657" s="1">
        <f>IFERROR(__xludf.DUMMYFUNCTION("""COMPUTED_VALUE"""),4850.0)</f>
        <v>4850</v>
      </c>
      <c r="C2657" s="1">
        <f>IFERROR(__xludf.DUMMYFUNCTION("""COMPUTED_VALUE"""),4980.0)</f>
        <v>4980</v>
      </c>
      <c r="D2657" s="1">
        <f>IFERROR(__xludf.DUMMYFUNCTION("""COMPUTED_VALUE"""),4730.0)</f>
        <v>4730</v>
      </c>
      <c r="E2657" s="1">
        <f>IFERROR(__xludf.DUMMYFUNCTION("""COMPUTED_VALUE"""),4800.0)</f>
        <v>4800</v>
      </c>
      <c r="F2657" s="1">
        <f>IFERROR(__xludf.DUMMYFUNCTION("""COMPUTED_VALUE"""),353593.0)</f>
        <v>353593</v>
      </c>
    </row>
    <row r="2658">
      <c r="A2658" s="2">
        <f>IFERROR(__xludf.DUMMYFUNCTION("""COMPUTED_VALUE"""),45142.64583333333)</f>
        <v>45142.64583</v>
      </c>
      <c r="B2658" s="1">
        <f>IFERROR(__xludf.DUMMYFUNCTION("""COMPUTED_VALUE"""),4890.0)</f>
        <v>4890</v>
      </c>
      <c r="C2658" s="1">
        <f>IFERROR(__xludf.DUMMYFUNCTION("""COMPUTED_VALUE"""),4975.0)</f>
        <v>4975</v>
      </c>
      <c r="D2658" s="1">
        <f>IFERROR(__xludf.DUMMYFUNCTION("""COMPUTED_VALUE"""),4625.0)</f>
        <v>4625</v>
      </c>
      <c r="E2658" s="1">
        <f>IFERROR(__xludf.DUMMYFUNCTION("""COMPUTED_VALUE"""),4740.0)</f>
        <v>4740</v>
      </c>
      <c r="F2658" s="1">
        <f>IFERROR(__xludf.DUMMYFUNCTION("""COMPUTED_VALUE"""),279186.0)</f>
        <v>279186</v>
      </c>
    </row>
    <row r="2659">
      <c r="A2659" s="2">
        <f>IFERROR(__xludf.DUMMYFUNCTION("""COMPUTED_VALUE"""),45145.64583333333)</f>
        <v>45145.64583</v>
      </c>
      <c r="B2659" s="1">
        <f>IFERROR(__xludf.DUMMYFUNCTION("""COMPUTED_VALUE"""),4630.0)</f>
        <v>4630</v>
      </c>
      <c r="C2659" s="1">
        <f>IFERROR(__xludf.DUMMYFUNCTION("""COMPUTED_VALUE"""),4820.0)</f>
        <v>4820</v>
      </c>
      <c r="D2659" s="1">
        <f>IFERROR(__xludf.DUMMYFUNCTION("""COMPUTED_VALUE"""),4625.0)</f>
        <v>4625</v>
      </c>
      <c r="E2659" s="1">
        <f>IFERROR(__xludf.DUMMYFUNCTION("""COMPUTED_VALUE"""),4750.0)</f>
        <v>4750</v>
      </c>
      <c r="F2659" s="1">
        <f>IFERROR(__xludf.DUMMYFUNCTION("""COMPUTED_VALUE"""),134519.0)</f>
        <v>134519</v>
      </c>
    </row>
    <row r="2660">
      <c r="A2660" s="2">
        <f>IFERROR(__xludf.DUMMYFUNCTION("""COMPUTED_VALUE"""),45146.64583333333)</f>
        <v>45146.64583</v>
      </c>
      <c r="B2660" s="1">
        <f>IFERROR(__xludf.DUMMYFUNCTION("""COMPUTED_VALUE"""),4745.0)</f>
        <v>4745</v>
      </c>
      <c r="C2660" s="1">
        <f>IFERROR(__xludf.DUMMYFUNCTION("""COMPUTED_VALUE"""),4750.0)</f>
        <v>4750</v>
      </c>
      <c r="D2660" s="1">
        <f>IFERROR(__xludf.DUMMYFUNCTION("""COMPUTED_VALUE"""),4505.0)</f>
        <v>4505</v>
      </c>
      <c r="E2660" s="1">
        <f>IFERROR(__xludf.DUMMYFUNCTION("""COMPUTED_VALUE"""),4505.0)</f>
        <v>4505</v>
      </c>
      <c r="F2660" s="1">
        <f>IFERROR(__xludf.DUMMYFUNCTION("""COMPUTED_VALUE"""),224755.0)</f>
        <v>224755</v>
      </c>
    </row>
    <row r="2661">
      <c r="A2661" s="2">
        <f>IFERROR(__xludf.DUMMYFUNCTION("""COMPUTED_VALUE"""),45147.64583333333)</f>
        <v>45147.64583</v>
      </c>
      <c r="B2661" s="1">
        <f>IFERROR(__xludf.DUMMYFUNCTION("""COMPUTED_VALUE"""),4580.0)</f>
        <v>4580</v>
      </c>
      <c r="C2661" s="1">
        <f>IFERROR(__xludf.DUMMYFUNCTION("""COMPUTED_VALUE"""),4790.0)</f>
        <v>4790</v>
      </c>
      <c r="D2661" s="1">
        <f>IFERROR(__xludf.DUMMYFUNCTION("""COMPUTED_VALUE"""),4470.0)</f>
        <v>4470</v>
      </c>
      <c r="E2661" s="1">
        <f>IFERROR(__xludf.DUMMYFUNCTION("""COMPUTED_VALUE"""),4730.0)</f>
        <v>4730</v>
      </c>
      <c r="F2661" s="1">
        <f>IFERROR(__xludf.DUMMYFUNCTION("""COMPUTED_VALUE"""),143756.0)</f>
        <v>143756</v>
      </c>
    </row>
    <row r="2662">
      <c r="A2662" s="2">
        <f>IFERROR(__xludf.DUMMYFUNCTION("""COMPUTED_VALUE"""),45148.64583333333)</f>
        <v>45148.64583</v>
      </c>
      <c r="B2662" s="1">
        <f>IFERROR(__xludf.DUMMYFUNCTION("""COMPUTED_VALUE"""),4730.0)</f>
        <v>4730</v>
      </c>
      <c r="C2662" s="1">
        <f>IFERROR(__xludf.DUMMYFUNCTION("""COMPUTED_VALUE"""),4840.0)</f>
        <v>4840</v>
      </c>
      <c r="D2662" s="1">
        <f>IFERROR(__xludf.DUMMYFUNCTION("""COMPUTED_VALUE"""),4630.0)</f>
        <v>4630</v>
      </c>
      <c r="E2662" s="1">
        <f>IFERROR(__xludf.DUMMYFUNCTION("""COMPUTED_VALUE"""),4760.0)</f>
        <v>4760</v>
      </c>
      <c r="F2662" s="1">
        <f>IFERROR(__xludf.DUMMYFUNCTION("""COMPUTED_VALUE"""),126379.0)</f>
        <v>126379</v>
      </c>
    </row>
    <row r="2663">
      <c r="A2663" s="2">
        <f>IFERROR(__xludf.DUMMYFUNCTION("""COMPUTED_VALUE"""),45149.64583333333)</f>
        <v>45149.64583</v>
      </c>
      <c r="B2663" s="1">
        <f>IFERROR(__xludf.DUMMYFUNCTION("""COMPUTED_VALUE"""),4840.0)</f>
        <v>4840</v>
      </c>
      <c r="C2663" s="1">
        <f>IFERROR(__xludf.DUMMYFUNCTION("""COMPUTED_VALUE"""),4960.0)</f>
        <v>4960</v>
      </c>
      <c r="D2663" s="1">
        <f>IFERROR(__xludf.DUMMYFUNCTION("""COMPUTED_VALUE"""),4770.0)</f>
        <v>4770</v>
      </c>
      <c r="E2663" s="1">
        <f>IFERROR(__xludf.DUMMYFUNCTION("""COMPUTED_VALUE"""),4830.0)</f>
        <v>4830</v>
      </c>
      <c r="F2663" s="1">
        <f>IFERROR(__xludf.DUMMYFUNCTION("""COMPUTED_VALUE"""),192701.0)</f>
        <v>192701</v>
      </c>
    </row>
    <row r="2664">
      <c r="A2664" s="2">
        <f>IFERROR(__xludf.DUMMYFUNCTION("""COMPUTED_VALUE"""),45152.64583333333)</f>
        <v>45152.64583</v>
      </c>
      <c r="B2664" s="1">
        <f>IFERROR(__xludf.DUMMYFUNCTION("""COMPUTED_VALUE"""),4830.0)</f>
        <v>4830</v>
      </c>
      <c r="C2664" s="1">
        <f>IFERROR(__xludf.DUMMYFUNCTION("""COMPUTED_VALUE"""),4835.0)</f>
        <v>4835</v>
      </c>
      <c r="D2664" s="1">
        <f>IFERROR(__xludf.DUMMYFUNCTION("""COMPUTED_VALUE"""),4515.0)</f>
        <v>4515</v>
      </c>
      <c r="E2664" s="1">
        <f>IFERROR(__xludf.DUMMYFUNCTION("""COMPUTED_VALUE"""),4515.0)</f>
        <v>4515</v>
      </c>
      <c r="F2664" s="1">
        <f>IFERROR(__xludf.DUMMYFUNCTION("""COMPUTED_VALUE"""),176795.0)</f>
        <v>176795</v>
      </c>
    </row>
    <row r="2665">
      <c r="A2665" s="2">
        <f>IFERROR(__xludf.DUMMYFUNCTION("""COMPUTED_VALUE"""),45154.64583333333)</f>
        <v>45154.64583</v>
      </c>
      <c r="B2665" s="1">
        <f>IFERROR(__xludf.DUMMYFUNCTION("""COMPUTED_VALUE"""),4500.0)</f>
        <v>4500</v>
      </c>
      <c r="C2665" s="1">
        <f>IFERROR(__xludf.DUMMYFUNCTION("""COMPUTED_VALUE"""),4650.0)</f>
        <v>4650</v>
      </c>
      <c r="D2665" s="1">
        <f>IFERROR(__xludf.DUMMYFUNCTION("""COMPUTED_VALUE"""),4370.0)</f>
        <v>4370</v>
      </c>
      <c r="E2665" s="1">
        <f>IFERROR(__xludf.DUMMYFUNCTION("""COMPUTED_VALUE"""),4480.0)</f>
        <v>4480</v>
      </c>
      <c r="F2665" s="1">
        <f>IFERROR(__xludf.DUMMYFUNCTION("""COMPUTED_VALUE"""),135987.0)</f>
        <v>135987</v>
      </c>
    </row>
    <row r="2666">
      <c r="A2666" s="2">
        <f>IFERROR(__xludf.DUMMYFUNCTION("""COMPUTED_VALUE"""),45155.64583333333)</f>
        <v>45155.64583</v>
      </c>
      <c r="B2666" s="1">
        <f>IFERROR(__xludf.DUMMYFUNCTION("""COMPUTED_VALUE"""),4480.0)</f>
        <v>4480</v>
      </c>
      <c r="C2666" s="1">
        <f>IFERROR(__xludf.DUMMYFUNCTION("""COMPUTED_VALUE"""),4585.0)</f>
        <v>4585</v>
      </c>
      <c r="D2666" s="1">
        <f>IFERROR(__xludf.DUMMYFUNCTION("""COMPUTED_VALUE"""),4310.0)</f>
        <v>4310</v>
      </c>
      <c r="E2666" s="1">
        <f>IFERROR(__xludf.DUMMYFUNCTION("""COMPUTED_VALUE"""),4525.0)</f>
        <v>4525</v>
      </c>
      <c r="F2666" s="1">
        <f>IFERROR(__xludf.DUMMYFUNCTION("""COMPUTED_VALUE"""),111155.0)</f>
        <v>111155</v>
      </c>
    </row>
    <row r="2667">
      <c r="A2667" s="2">
        <f>IFERROR(__xludf.DUMMYFUNCTION("""COMPUTED_VALUE"""),45156.64583333333)</f>
        <v>45156.64583</v>
      </c>
      <c r="B2667" s="1">
        <f>IFERROR(__xludf.DUMMYFUNCTION("""COMPUTED_VALUE"""),4575.0)</f>
        <v>4575</v>
      </c>
      <c r="C2667" s="1">
        <f>IFERROR(__xludf.DUMMYFUNCTION("""COMPUTED_VALUE"""),4575.0)</f>
        <v>4575</v>
      </c>
      <c r="D2667" s="1">
        <f>IFERROR(__xludf.DUMMYFUNCTION("""COMPUTED_VALUE"""),4325.0)</f>
        <v>4325</v>
      </c>
      <c r="E2667" s="1">
        <f>IFERROR(__xludf.DUMMYFUNCTION("""COMPUTED_VALUE"""),4340.0)</f>
        <v>4340</v>
      </c>
      <c r="F2667" s="1">
        <f>IFERROR(__xludf.DUMMYFUNCTION("""COMPUTED_VALUE"""),172552.0)</f>
        <v>172552</v>
      </c>
    </row>
    <row r="2668">
      <c r="A2668" s="2">
        <f>IFERROR(__xludf.DUMMYFUNCTION("""COMPUTED_VALUE"""),45159.64583333333)</f>
        <v>45159.64583</v>
      </c>
      <c r="B2668" s="1">
        <f>IFERROR(__xludf.DUMMYFUNCTION("""COMPUTED_VALUE"""),4400.0)</f>
        <v>4400</v>
      </c>
      <c r="C2668" s="1">
        <f>IFERROR(__xludf.DUMMYFUNCTION("""COMPUTED_VALUE"""),4685.0)</f>
        <v>4685</v>
      </c>
      <c r="D2668" s="1">
        <f>IFERROR(__xludf.DUMMYFUNCTION("""COMPUTED_VALUE"""),4350.0)</f>
        <v>4350</v>
      </c>
      <c r="E2668" s="1">
        <f>IFERROR(__xludf.DUMMYFUNCTION("""COMPUTED_VALUE"""),4500.0)</f>
        <v>4500</v>
      </c>
      <c r="F2668" s="1">
        <f>IFERROR(__xludf.DUMMYFUNCTION("""COMPUTED_VALUE"""),181161.0)</f>
        <v>181161</v>
      </c>
    </row>
    <row r="2669">
      <c r="A2669" s="2">
        <f>IFERROR(__xludf.DUMMYFUNCTION("""COMPUTED_VALUE"""),45160.64583333333)</f>
        <v>45160.64583</v>
      </c>
      <c r="B2669" s="1">
        <f>IFERROR(__xludf.DUMMYFUNCTION("""COMPUTED_VALUE"""),4500.0)</f>
        <v>4500</v>
      </c>
      <c r="C2669" s="1">
        <f>IFERROR(__xludf.DUMMYFUNCTION("""COMPUTED_VALUE"""),4600.0)</f>
        <v>4600</v>
      </c>
      <c r="D2669" s="1">
        <f>IFERROR(__xludf.DUMMYFUNCTION("""COMPUTED_VALUE"""),4430.0)</f>
        <v>4430</v>
      </c>
      <c r="E2669" s="1">
        <f>IFERROR(__xludf.DUMMYFUNCTION("""COMPUTED_VALUE"""),4430.0)</f>
        <v>4430</v>
      </c>
      <c r="F2669" s="1">
        <f>IFERROR(__xludf.DUMMYFUNCTION("""COMPUTED_VALUE"""),90125.0)</f>
        <v>90125</v>
      </c>
    </row>
    <row r="2670">
      <c r="A2670" s="2">
        <f>IFERROR(__xludf.DUMMYFUNCTION("""COMPUTED_VALUE"""),45161.64583333333)</f>
        <v>45161.64583</v>
      </c>
      <c r="B2670" s="1">
        <f>IFERROR(__xludf.DUMMYFUNCTION("""COMPUTED_VALUE"""),4520.0)</f>
        <v>4520</v>
      </c>
      <c r="C2670" s="1">
        <f>IFERROR(__xludf.DUMMYFUNCTION("""COMPUTED_VALUE"""),4550.0)</f>
        <v>4550</v>
      </c>
      <c r="D2670" s="1">
        <f>IFERROR(__xludf.DUMMYFUNCTION("""COMPUTED_VALUE"""),4355.0)</f>
        <v>4355</v>
      </c>
      <c r="E2670" s="1">
        <f>IFERROR(__xludf.DUMMYFUNCTION("""COMPUTED_VALUE"""),4385.0)</f>
        <v>4385</v>
      </c>
      <c r="F2670" s="1">
        <f>IFERROR(__xludf.DUMMYFUNCTION("""COMPUTED_VALUE"""),108497.0)</f>
        <v>108497</v>
      </c>
    </row>
    <row r="2671">
      <c r="A2671" s="2">
        <f>IFERROR(__xludf.DUMMYFUNCTION("""COMPUTED_VALUE"""),45162.64583333333)</f>
        <v>45162.64583</v>
      </c>
      <c r="B2671" s="1">
        <f>IFERROR(__xludf.DUMMYFUNCTION("""COMPUTED_VALUE"""),4470.0)</f>
        <v>4470</v>
      </c>
      <c r="C2671" s="1">
        <f>IFERROR(__xludf.DUMMYFUNCTION("""COMPUTED_VALUE"""),4625.0)</f>
        <v>4625</v>
      </c>
      <c r="D2671" s="1">
        <f>IFERROR(__xludf.DUMMYFUNCTION("""COMPUTED_VALUE"""),4385.0)</f>
        <v>4385</v>
      </c>
      <c r="E2671" s="1">
        <f>IFERROR(__xludf.DUMMYFUNCTION("""COMPUTED_VALUE"""),4560.0)</f>
        <v>4560</v>
      </c>
      <c r="F2671" s="1">
        <f>IFERROR(__xludf.DUMMYFUNCTION("""COMPUTED_VALUE"""),139458.0)</f>
        <v>139458</v>
      </c>
    </row>
    <row r="2672">
      <c r="A2672" s="2">
        <f>IFERROR(__xludf.DUMMYFUNCTION("""COMPUTED_VALUE"""),45163.64583333333)</f>
        <v>45163.64583</v>
      </c>
      <c r="B2672" s="1">
        <f>IFERROR(__xludf.DUMMYFUNCTION("""COMPUTED_VALUE"""),4540.0)</f>
        <v>4540</v>
      </c>
      <c r="C2672" s="1">
        <f>IFERROR(__xludf.DUMMYFUNCTION("""COMPUTED_VALUE"""),4815.0)</f>
        <v>4815</v>
      </c>
      <c r="D2672" s="1">
        <f>IFERROR(__xludf.DUMMYFUNCTION("""COMPUTED_VALUE"""),4540.0)</f>
        <v>4540</v>
      </c>
      <c r="E2672" s="1">
        <f>IFERROR(__xludf.DUMMYFUNCTION("""COMPUTED_VALUE"""),4760.0)</f>
        <v>4760</v>
      </c>
      <c r="F2672" s="1">
        <f>IFERROR(__xludf.DUMMYFUNCTION("""COMPUTED_VALUE"""),263409.0)</f>
        <v>263409</v>
      </c>
    </row>
    <row r="2673">
      <c r="A2673" s="2">
        <f>IFERROR(__xludf.DUMMYFUNCTION("""COMPUTED_VALUE"""),45166.64583333333)</f>
        <v>45166.64583</v>
      </c>
      <c r="B2673" s="1">
        <f>IFERROR(__xludf.DUMMYFUNCTION("""COMPUTED_VALUE"""),4985.0)</f>
        <v>4985</v>
      </c>
      <c r="C2673" s="1">
        <f>IFERROR(__xludf.DUMMYFUNCTION("""COMPUTED_VALUE"""),5650.0)</f>
        <v>5650</v>
      </c>
      <c r="D2673" s="1">
        <f>IFERROR(__xludf.DUMMYFUNCTION("""COMPUTED_VALUE"""),4805.0)</f>
        <v>4805</v>
      </c>
      <c r="E2673" s="1">
        <f>IFERROR(__xludf.DUMMYFUNCTION("""COMPUTED_VALUE"""),4815.0)</f>
        <v>4815</v>
      </c>
      <c r="F2673" s="1">
        <f>IFERROR(__xludf.DUMMYFUNCTION("""COMPUTED_VALUE"""),4389106.0)</f>
        <v>4389106</v>
      </c>
    </row>
    <row r="2674">
      <c r="A2674" s="2">
        <f>IFERROR(__xludf.DUMMYFUNCTION("""COMPUTED_VALUE"""),45167.64583333333)</f>
        <v>45167.64583</v>
      </c>
      <c r="B2674" s="1">
        <f>IFERROR(__xludf.DUMMYFUNCTION("""COMPUTED_VALUE"""),4830.0)</f>
        <v>4830</v>
      </c>
      <c r="C2674" s="1">
        <f>IFERROR(__xludf.DUMMYFUNCTION("""COMPUTED_VALUE"""),4995.0)</f>
        <v>4995</v>
      </c>
      <c r="D2674" s="1">
        <f>IFERROR(__xludf.DUMMYFUNCTION("""COMPUTED_VALUE"""),4720.0)</f>
        <v>4720</v>
      </c>
      <c r="E2674" s="1">
        <f>IFERROR(__xludf.DUMMYFUNCTION("""COMPUTED_VALUE"""),4890.0)</f>
        <v>4890</v>
      </c>
      <c r="F2674" s="1">
        <f>IFERROR(__xludf.DUMMYFUNCTION("""COMPUTED_VALUE"""),609541.0)</f>
        <v>609541</v>
      </c>
    </row>
    <row r="2675">
      <c r="A2675" s="2">
        <f>IFERROR(__xludf.DUMMYFUNCTION("""COMPUTED_VALUE"""),45168.64583333333)</f>
        <v>45168.64583</v>
      </c>
      <c r="B2675" s="1">
        <f>IFERROR(__xludf.DUMMYFUNCTION("""COMPUTED_VALUE"""),4940.0)</f>
        <v>4940</v>
      </c>
      <c r="C2675" s="1">
        <f>IFERROR(__xludf.DUMMYFUNCTION("""COMPUTED_VALUE"""),4940.0)</f>
        <v>4940</v>
      </c>
      <c r="D2675" s="1">
        <f>IFERROR(__xludf.DUMMYFUNCTION("""COMPUTED_VALUE"""),4800.0)</f>
        <v>4800</v>
      </c>
      <c r="E2675" s="1">
        <f>IFERROR(__xludf.DUMMYFUNCTION("""COMPUTED_VALUE"""),4845.0)</f>
        <v>4845</v>
      </c>
      <c r="F2675" s="1">
        <f>IFERROR(__xludf.DUMMYFUNCTION("""COMPUTED_VALUE"""),251844.0)</f>
        <v>251844</v>
      </c>
    </row>
    <row r="2676">
      <c r="A2676" s="2">
        <f>IFERROR(__xludf.DUMMYFUNCTION("""COMPUTED_VALUE"""),45169.64583333333)</f>
        <v>45169.64583</v>
      </c>
      <c r="B2676" s="1">
        <f>IFERROR(__xludf.DUMMYFUNCTION("""COMPUTED_VALUE"""),4865.0)</f>
        <v>4865</v>
      </c>
      <c r="C2676" s="1">
        <f>IFERROR(__xludf.DUMMYFUNCTION("""COMPUTED_VALUE"""),4955.0)</f>
        <v>4955</v>
      </c>
      <c r="D2676" s="1">
        <f>IFERROR(__xludf.DUMMYFUNCTION("""COMPUTED_VALUE"""),4720.0)</f>
        <v>4720</v>
      </c>
      <c r="E2676" s="1">
        <f>IFERROR(__xludf.DUMMYFUNCTION("""COMPUTED_VALUE"""),4720.0)</f>
        <v>4720</v>
      </c>
      <c r="F2676" s="1">
        <f>IFERROR(__xludf.DUMMYFUNCTION("""COMPUTED_VALUE"""),234698.0)</f>
        <v>234698</v>
      </c>
    </row>
    <row r="2677">
      <c r="A2677" s="2">
        <f>IFERROR(__xludf.DUMMYFUNCTION("""COMPUTED_VALUE"""),45170.64583333333)</f>
        <v>45170.64583</v>
      </c>
      <c r="B2677" s="1">
        <f>IFERROR(__xludf.DUMMYFUNCTION("""COMPUTED_VALUE"""),4720.0)</f>
        <v>4720</v>
      </c>
      <c r="C2677" s="1">
        <f>IFERROR(__xludf.DUMMYFUNCTION("""COMPUTED_VALUE"""),4815.0)</f>
        <v>4815</v>
      </c>
      <c r="D2677" s="1">
        <f>IFERROR(__xludf.DUMMYFUNCTION("""COMPUTED_VALUE"""),4655.0)</f>
        <v>4655</v>
      </c>
      <c r="E2677" s="1">
        <f>IFERROR(__xludf.DUMMYFUNCTION("""COMPUTED_VALUE"""),4660.0)</f>
        <v>4660</v>
      </c>
      <c r="F2677" s="1">
        <f>IFERROR(__xludf.DUMMYFUNCTION("""COMPUTED_VALUE"""),179938.0)</f>
        <v>179938</v>
      </c>
    </row>
    <row r="2678">
      <c r="A2678" s="2">
        <f>IFERROR(__xludf.DUMMYFUNCTION("""COMPUTED_VALUE"""),45173.64583333333)</f>
        <v>45173.64583</v>
      </c>
      <c r="B2678" s="1">
        <f>IFERROR(__xludf.DUMMYFUNCTION("""COMPUTED_VALUE"""),4655.0)</f>
        <v>4655</v>
      </c>
      <c r="C2678" s="1">
        <f>IFERROR(__xludf.DUMMYFUNCTION("""COMPUTED_VALUE"""),4655.0)</f>
        <v>4655</v>
      </c>
      <c r="D2678" s="1">
        <f>IFERROR(__xludf.DUMMYFUNCTION("""COMPUTED_VALUE"""),4425.0)</f>
        <v>4425</v>
      </c>
      <c r="E2678" s="1">
        <f>IFERROR(__xludf.DUMMYFUNCTION("""COMPUTED_VALUE"""),4435.0)</f>
        <v>4435</v>
      </c>
      <c r="F2678" s="1">
        <f>IFERROR(__xludf.DUMMYFUNCTION("""COMPUTED_VALUE"""),252137.0)</f>
        <v>252137</v>
      </c>
    </row>
    <row r="2679">
      <c r="A2679" s="2">
        <f>IFERROR(__xludf.DUMMYFUNCTION("""COMPUTED_VALUE"""),45174.64583333333)</f>
        <v>45174.64583</v>
      </c>
      <c r="B2679" s="1">
        <f>IFERROR(__xludf.DUMMYFUNCTION("""COMPUTED_VALUE"""),4455.0)</f>
        <v>4455</v>
      </c>
      <c r="C2679" s="1">
        <f>IFERROR(__xludf.DUMMYFUNCTION("""COMPUTED_VALUE"""),4555.0)</f>
        <v>4555</v>
      </c>
      <c r="D2679" s="1">
        <f>IFERROR(__xludf.DUMMYFUNCTION("""COMPUTED_VALUE"""),4365.0)</f>
        <v>4365</v>
      </c>
      <c r="E2679" s="1">
        <f>IFERROR(__xludf.DUMMYFUNCTION("""COMPUTED_VALUE"""),4385.0)</f>
        <v>4385</v>
      </c>
      <c r="F2679" s="1">
        <f>IFERROR(__xludf.DUMMYFUNCTION("""COMPUTED_VALUE"""),125313.0)</f>
        <v>125313</v>
      </c>
    </row>
    <row r="2680">
      <c r="A2680" s="2">
        <f>IFERROR(__xludf.DUMMYFUNCTION("""COMPUTED_VALUE"""),45175.64583333333)</f>
        <v>45175.64583</v>
      </c>
      <c r="B2680" s="1">
        <f>IFERROR(__xludf.DUMMYFUNCTION("""COMPUTED_VALUE"""),4360.0)</f>
        <v>4360</v>
      </c>
      <c r="C2680" s="1">
        <f>IFERROR(__xludf.DUMMYFUNCTION("""COMPUTED_VALUE"""),4485.0)</f>
        <v>4485</v>
      </c>
      <c r="D2680" s="1">
        <f>IFERROR(__xludf.DUMMYFUNCTION("""COMPUTED_VALUE"""),4330.0)</f>
        <v>4330</v>
      </c>
      <c r="E2680" s="1">
        <f>IFERROR(__xludf.DUMMYFUNCTION("""COMPUTED_VALUE"""),4415.0)</f>
        <v>4415</v>
      </c>
      <c r="F2680" s="1">
        <f>IFERROR(__xludf.DUMMYFUNCTION("""COMPUTED_VALUE"""),200845.0)</f>
        <v>200845</v>
      </c>
    </row>
    <row r="2681">
      <c r="A2681" s="2">
        <f>IFERROR(__xludf.DUMMYFUNCTION("""COMPUTED_VALUE"""),45176.64583333333)</f>
        <v>45176.64583</v>
      </c>
      <c r="B2681" s="1">
        <f>IFERROR(__xludf.DUMMYFUNCTION("""COMPUTED_VALUE"""),4415.0)</f>
        <v>4415</v>
      </c>
      <c r="C2681" s="1">
        <f>IFERROR(__xludf.DUMMYFUNCTION("""COMPUTED_VALUE"""),4455.0)</f>
        <v>4455</v>
      </c>
      <c r="D2681" s="1">
        <f>IFERROR(__xludf.DUMMYFUNCTION("""COMPUTED_VALUE"""),4215.0)</f>
        <v>4215</v>
      </c>
      <c r="E2681" s="1">
        <f>IFERROR(__xludf.DUMMYFUNCTION("""COMPUTED_VALUE"""),4260.0)</f>
        <v>4260</v>
      </c>
      <c r="F2681" s="1">
        <f>IFERROR(__xludf.DUMMYFUNCTION("""COMPUTED_VALUE"""),202545.0)</f>
        <v>202545</v>
      </c>
    </row>
    <row r="2682">
      <c r="A2682" s="2">
        <f>IFERROR(__xludf.DUMMYFUNCTION("""COMPUTED_VALUE"""),45177.64583333333)</f>
        <v>45177.64583</v>
      </c>
      <c r="B2682" s="1">
        <f>IFERROR(__xludf.DUMMYFUNCTION("""COMPUTED_VALUE"""),4265.0)</f>
        <v>4265</v>
      </c>
      <c r="C2682" s="1">
        <f>IFERROR(__xludf.DUMMYFUNCTION("""COMPUTED_VALUE"""),4400.0)</f>
        <v>4400</v>
      </c>
      <c r="D2682" s="1">
        <f>IFERROR(__xludf.DUMMYFUNCTION("""COMPUTED_VALUE"""),4225.0)</f>
        <v>4225</v>
      </c>
      <c r="E2682" s="1">
        <f>IFERROR(__xludf.DUMMYFUNCTION("""COMPUTED_VALUE"""),4305.0)</f>
        <v>4305</v>
      </c>
      <c r="F2682" s="1">
        <f>IFERROR(__xludf.DUMMYFUNCTION("""COMPUTED_VALUE"""),68511.0)</f>
        <v>68511</v>
      </c>
    </row>
    <row r="2683">
      <c r="A2683" s="2">
        <f>IFERROR(__xludf.DUMMYFUNCTION("""COMPUTED_VALUE"""),45180.64583333333)</f>
        <v>45180.64583</v>
      </c>
      <c r="B2683" s="1">
        <f>IFERROR(__xludf.DUMMYFUNCTION("""COMPUTED_VALUE"""),4370.0)</f>
        <v>4370</v>
      </c>
      <c r="C2683" s="1">
        <f>IFERROR(__xludf.DUMMYFUNCTION("""COMPUTED_VALUE"""),4450.0)</f>
        <v>4450</v>
      </c>
      <c r="D2683" s="1">
        <f>IFERROR(__xludf.DUMMYFUNCTION("""COMPUTED_VALUE"""),4305.0)</f>
        <v>4305</v>
      </c>
      <c r="E2683" s="1">
        <f>IFERROR(__xludf.DUMMYFUNCTION("""COMPUTED_VALUE"""),4430.0)</f>
        <v>4430</v>
      </c>
      <c r="F2683" s="1">
        <f>IFERROR(__xludf.DUMMYFUNCTION("""COMPUTED_VALUE"""),121307.0)</f>
        <v>121307</v>
      </c>
    </row>
    <row r="2684">
      <c r="A2684" s="2">
        <f>IFERROR(__xludf.DUMMYFUNCTION("""COMPUTED_VALUE"""),45181.64583333333)</f>
        <v>45181.64583</v>
      </c>
      <c r="B2684" s="1">
        <f>IFERROR(__xludf.DUMMYFUNCTION("""COMPUTED_VALUE"""),4510.0)</f>
        <v>4510</v>
      </c>
      <c r="C2684" s="1">
        <f>IFERROR(__xludf.DUMMYFUNCTION("""COMPUTED_VALUE"""),4765.0)</f>
        <v>4765</v>
      </c>
      <c r="D2684" s="1">
        <f>IFERROR(__xludf.DUMMYFUNCTION("""COMPUTED_VALUE"""),4410.0)</f>
        <v>4410</v>
      </c>
      <c r="E2684" s="1">
        <f>IFERROR(__xludf.DUMMYFUNCTION("""COMPUTED_VALUE"""),4650.0)</f>
        <v>4650</v>
      </c>
      <c r="F2684" s="1">
        <f>IFERROR(__xludf.DUMMYFUNCTION("""COMPUTED_VALUE"""),436837.0)</f>
        <v>436837</v>
      </c>
    </row>
    <row r="2685">
      <c r="A2685" s="2">
        <f>IFERROR(__xludf.DUMMYFUNCTION("""COMPUTED_VALUE"""),45182.64583333333)</f>
        <v>45182.64583</v>
      </c>
      <c r="B2685" s="1">
        <f>IFERROR(__xludf.DUMMYFUNCTION("""COMPUTED_VALUE"""),4685.0)</f>
        <v>4685</v>
      </c>
      <c r="C2685" s="1">
        <f>IFERROR(__xludf.DUMMYFUNCTION("""COMPUTED_VALUE"""),4700.0)</f>
        <v>4700</v>
      </c>
      <c r="D2685" s="1">
        <f>IFERROR(__xludf.DUMMYFUNCTION("""COMPUTED_VALUE"""),4410.0)</f>
        <v>4410</v>
      </c>
      <c r="E2685" s="1">
        <f>IFERROR(__xludf.DUMMYFUNCTION("""COMPUTED_VALUE"""),4450.0)</f>
        <v>4450</v>
      </c>
      <c r="F2685" s="1">
        <f>IFERROR(__xludf.DUMMYFUNCTION("""COMPUTED_VALUE"""),199264.0)</f>
        <v>199264</v>
      </c>
    </row>
    <row r="2686">
      <c r="A2686" s="2">
        <f>IFERROR(__xludf.DUMMYFUNCTION("""COMPUTED_VALUE"""),45183.64583333333)</f>
        <v>45183.64583</v>
      </c>
      <c r="B2686" s="1">
        <f>IFERROR(__xludf.DUMMYFUNCTION("""COMPUTED_VALUE"""),4440.0)</f>
        <v>4440</v>
      </c>
      <c r="C2686" s="1">
        <f>IFERROR(__xludf.DUMMYFUNCTION("""COMPUTED_VALUE"""),4505.0)</f>
        <v>4505</v>
      </c>
      <c r="D2686" s="1">
        <f>IFERROR(__xludf.DUMMYFUNCTION("""COMPUTED_VALUE"""),4315.0)</f>
        <v>4315</v>
      </c>
      <c r="E2686" s="1">
        <f>IFERROR(__xludf.DUMMYFUNCTION("""COMPUTED_VALUE"""),4500.0)</f>
        <v>4500</v>
      </c>
      <c r="F2686" s="1">
        <f>IFERROR(__xludf.DUMMYFUNCTION("""COMPUTED_VALUE"""),131232.0)</f>
        <v>131232</v>
      </c>
    </row>
    <row r="2687">
      <c r="A2687" s="2">
        <f>IFERROR(__xludf.DUMMYFUNCTION("""COMPUTED_VALUE"""),45184.64583333333)</f>
        <v>45184.64583</v>
      </c>
      <c r="B2687" s="1">
        <f>IFERROR(__xludf.DUMMYFUNCTION("""COMPUTED_VALUE"""),4480.0)</f>
        <v>4480</v>
      </c>
      <c r="C2687" s="1">
        <f>IFERROR(__xludf.DUMMYFUNCTION("""COMPUTED_VALUE"""),4520.0)</f>
        <v>4520</v>
      </c>
      <c r="D2687" s="1">
        <f>IFERROR(__xludf.DUMMYFUNCTION("""COMPUTED_VALUE"""),4405.0)</f>
        <v>4405</v>
      </c>
      <c r="E2687" s="1">
        <f>IFERROR(__xludf.DUMMYFUNCTION("""COMPUTED_VALUE"""),4405.0)</f>
        <v>4405</v>
      </c>
      <c r="F2687" s="1">
        <f>IFERROR(__xludf.DUMMYFUNCTION("""COMPUTED_VALUE"""),79327.0)</f>
        <v>79327</v>
      </c>
    </row>
    <row r="2688">
      <c r="A2688" s="2">
        <f>IFERROR(__xludf.DUMMYFUNCTION("""COMPUTED_VALUE"""),45187.64583333333)</f>
        <v>45187.64583</v>
      </c>
      <c r="B2688" s="1">
        <f>IFERROR(__xludf.DUMMYFUNCTION("""COMPUTED_VALUE"""),4360.0)</f>
        <v>4360</v>
      </c>
      <c r="C2688" s="1">
        <f>IFERROR(__xludf.DUMMYFUNCTION("""COMPUTED_VALUE"""),4440.0)</f>
        <v>4440</v>
      </c>
      <c r="D2688" s="1">
        <f>IFERROR(__xludf.DUMMYFUNCTION("""COMPUTED_VALUE"""),4300.0)</f>
        <v>4300</v>
      </c>
      <c r="E2688" s="1">
        <f>IFERROR(__xludf.DUMMYFUNCTION("""COMPUTED_VALUE"""),4320.0)</f>
        <v>4320</v>
      </c>
      <c r="F2688" s="1">
        <f>IFERROR(__xludf.DUMMYFUNCTION("""COMPUTED_VALUE"""),101876.0)</f>
        <v>101876</v>
      </c>
    </row>
    <row r="2689">
      <c r="A2689" s="2">
        <f>IFERROR(__xludf.DUMMYFUNCTION("""COMPUTED_VALUE"""),45188.64583333333)</f>
        <v>45188.64583</v>
      </c>
      <c r="B2689" s="1">
        <f>IFERROR(__xludf.DUMMYFUNCTION("""COMPUTED_VALUE"""),4320.0)</f>
        <v>4320</v>
      </c>
      <c r="C2689" s="1">
        <f>IFERROR(__xludf.DUMMYFUNCTION("""COMPUTED_VALUE"""),4415.0)</f>
        <v>4415</v>
      </c>
      <c r="D2689" s="1">
        <f>IFERROR(__xludf.DUMMYFUNCTION("""COMPUTED_VALUE"""),4275.0)</f>
        <v>4275</v>
      </c>
      <c r="E2689" s="1">
        <f>IFERROR(__xludf.DUMMYFUNCTION("""COMPUTED_VALUE"""),4285.0)</f>
        <v>4285</v>
      </c>
      <c r="F2689" s="1">
        <f>IFERROR(__xludf.DUMMYFUNCTION("""COMPUTED_VALUE"""),104236.0)</f>
        <v>104236</v>
      </c>
    </row>
    <row r="2690">
      <c r="A2690" s="2">
        <f>IFERROR(__xludf.DUMMYFUNCTION("""COMPUTED_VALUE"""),45189.64583333333)</f>
        <v>45189.64583</v>
      </c>
      <c r="B2690" s="1">
        <f>IFERROR(__xludf.DUMMYFUNCTION("""COMPUTED_VALUE"""),4285.0)</f>
        <v>4285</v>
      </c>
      <c r="C2690" s="1">
        <f>IFERROR(__xludf.DUMMYFUNCTION("""COMPUTED_VALUE"""),4285.0)</f>
        <v>4285</v>
      </c>
      <c r="D2690" s="1">
        <f>IFERROR(__xludf.DUMMYFUNCTION("""COMPUTED_VALUE"""),4070.0)</f>
        <v>4070</v>
      </c>
      <c r="E2690" s="1">
        <f>IFERROR(__xludf.DUMMYFUNCTION("""COMPUTED_VALUE"""),4120.0)</f>
        <v>4120</v>
      </c>
      <c r="F2690" s="1">
        <f>IFERROR(__xludf.DUMMYFUNCTION("""COMPUTED_VALUE"""),165022.0)</f>
        <v>165022</v>
      </c>
    </row>
    <row r="2691">
      <c r="A2691" s="2">
        <f>IFERROR(__xludf.DUMMYFUNCTION("""COMPUTED_VALUE"""),45190.64583333333)</f>
        <v>45190.64583</v>
      </c>
      <c r="B2691" s="1">
        <f>IFERROR(__xludf.DUMMYFUNCTION("""COMPUTED_VALUE"""),4080.0)</f>
        <v>4080</v>
      </c>
      <c r="C2691" s="1">
        <f>IFERROR(__xludf.DUMMYFUNCTION("""COMPUTED_VALUE"""),4100.0)</f>
        <v>4100</v>
      </c>
      <c r="D2691" s="1">
        <f>IFERROR(__xludf.DUMMYFUNCTION("""COMPUTED_VALUE"""),3940.0)</f>
        <v>3940</v>
      </c>
      <c r="E2691" s="1">
        <f>IFERROR(__xludf.DUMMYFUNCTION("""COMPUTED_VALUE"""),3955.0)</f>
        <v>3955</v>
      </c>
      <c r="F2691" s="1">
        <f>IFERROR(__xludf.DUMMYFUNCTION("""COMPUTED_VALUE"""),107812.0)</f>
        <v>107812</v>
      </c>
    </row>
    <row r="2692">
      <c r="A2692" s="2">
        <f>IFERROR(__xludf.DUMMYFUNCTION("""COMPUTED_VALUE"""),45191.64583333333)</f>
        <v>45191.64583</v>
      </c>
      <c r="B2692" s="1">
        <f>IFERROR(__xludf.DUMMYFUNCTION("""COMPUTED_VALUE"""),4000.0)</f>
        <v>4000</v>
      </c>
      <c r="C2692" s="1">
        <f>IFERROR(__xludf.DUMMYFUNCTION("""COMPUTED_VALUE"""),4005.0)</f>
        <v>4005</v>
      </c>
      <c r="D2692" s="1">
        <f>IFERROR(__xludf.DUMMYFUNCTION("""COMPUTED_VALUE"""),3800.0)</f>
        <v>3800</v>
      </c>
      <c r="E2692" s="1">
        <f>IFERROR(__xludf.DUMMYFUNCTION("""COMPUTED_VALUE"""),3885.0)</f>
        <v>3885</v>
      </c>
      <c r="F2692" s="1">
        <f>IFERROR(__xludf.DUMMYFUNCTION("""COMPUTED_VALUE"""),91359.0)</f>
        <v>91359</v>
      </c>
    </row>
    <row r="2693">
      <c r="A2693" s="2">
        <f>IFERROR(__xludf.DUMMYFUNCTION("""COMPUTED_VALUE"""),45194.64583333333)</f>
        <v>45194.64583</v>
      </c>
      <c r="B2693" s="1">
        <f>IFERROR(__xludf.DUMMYFUNCTION("""COMPUTED_VALUE"""),3800.0)</f>
        <v>3800</v>
      </c>
      <c r="C2693" s="1">
        <f>IFERROR(__xludf.DUMMYFUNCTION("""COMPUTED_VALUE"""),3885.0)</f>
        <v>3885</v>
      </c>
      <c r="D2693" s="1">
        <f>IFERROR(__xludf.DUMMYFUNCTION("""COMPUTED_VALUE"""),3730.0)</f>
        <v>3730</v>
      </c>
      <c r="E2693" s="1">
        <f>IFERROR(__xludf.DUMMYFUNCTION("""COMPUTED_VALUE"""),3730.0)</f>
        <v>3730</v>
      </c>
      <c r="F2693" s="1">
        <f>IFERROR(__xludf.DUMMYFUNCTION("""COMPUTED_VALUE"""),115512.0)</f>
        <v>115512</v>
      </c>
    </row>
    <row r="2694">
      <c r="A2694" s="2">
        <f>IFERROR(__xludf.DUMMYFUNCTION("""COMPUTED_VALUE"""),45195.64583333333)</f>
        <v>45195.64583</v>
      </c>
      <c r="B2694" s="1">
        <f>IFERROR(__xludf.DUMMYFUNCTION("""COMPUTED_VALUE"""),3730.0)</f>
        <v>3730</v>
      </c>
      <c r="C2694" s="1">
        <f>IFERROR(__xludf.DUMMYFUNCTION("""COMPUTED_VALUE"""),3880.0)</f>
        <v>3880</v>
      </c>
      <c r="D2694" s="1">
        <f>IFERROR(__xludf.DUMMYFUNCTION("""COMPUTED_VALUE"""),3705.0)</f>
        <v>3705</v>
      </c>
      <c r="E2694" s="1">
        <f>IFERROR(__xludf.DUMMYFUNCTION("""COMPUTED_VALUE"""),3705.0)</f>
        <v>3705</v>
      </c>
      <c r="F2694" s="1">
        <f>IFERROR(__xludf.DUMMYFUNCTION("""COMPUTED_VALUE"""),125008.0)</f>
        <v>125008</v>
      </c>
    </row>
    <row r="2695">
      <c r="A2695" s="2">
        <f>IFERROR(__xludf.DUMMYFUNCTION("""COMPUTED_VALUE"""),45196.64583333333)</f>
        <v>45196.64583</v>
      </c>
      <c r="B2695" s="1">
        <f>IFERROR(__xludf.DUMMYFUNCTION("""COMPUTED_VALUE"""),3675.0)</f>
        <v>3675</v>
      </c>
      <c r="C2695" s="1">
        <f>IFERROR(__xludf.DUMMYFUNCTION("""COMPUTED_VALUE"""),3890.0)</f>
        <v>3890</v>
      </c>
      <c r="D2695" s="1">
        <f>IFERROR(__xludf.DUMMYFUNCTION("""COMPUTED_VALUE"""),3675.0)</f>
        <v>3675</v>
      </c>
      <c r="E2695" s="1">
        <f>IFERROR(__xludf.DUMMYFUNCTION("""COMPUTED_VALUE"""),3790.0)</f>
        <v>3790</v>
      </c>
      <c r="F2695" s="1">
        <f>IFERROR(__xludf.DUMMYFUNCTION("""COMPUTED_VALUE"""),86583.0)</f>
        <v>86583</v>
      </c>
    </row>
    <row r="2696">
      <c r="A2696" s="2">
        <f>IFERROR(__xludf.DUMMYFUNCTION("""COMPUTED_VALUE"""),45203.64583333333)</f>
        <v>45203.64583</v>
      </c>
      <c r="B2696" s="1">
        <f>IFERROR(__xludf.DUMMYFUNCTION("""COMPUTED_VALUE"""),3655.0)</f>
        <v>3655</v>
      </c>
      <c r="C2696" s="1">
        <f>IFERROR(__xludf.DUMMYFUNCTION("""COMPUTED_VALUE"""),3790.0)</f>
        <v>3790</v>
      </c>
      <c r="D2696" s="1">
        <f>IFERROR(__xludf.DUMMYFUNCTION("""COMPUTED_VALUE"""),3590.0)</f>
        <v>3590</v>
      </c>
      <c r="E2696" s="1">
        <f>IFERROR(__xludf.DUMMYFUNCTION("""COMPUTED_VALUE"""),3625.0)</f>
        <v>3625</v>
      </c>
      <c r="F2696" s="1">
        <f>IFERROR(__xludf.DUMMYFUNCTION("""COMPUTED_VALUE"""),132181.0)</f>
        <v>132181</v>
      </c>
    </row>
    <row r="2697">
      <c r="A2697" s="2">
        <f>IFERROR(__xludf.DUMMYFUNCTION("""COMPUTED_VALUE"""),45204.64583333333)</f>
        <v>45204.64583</v>
      </c>
      <c r="B2697" s="1">
        <f>IFERROR(__xludf.DUMMYFUNCTION("""COMPUTED_VALUE"""),3630.0)</f>
        <v>3630</v>
      </c>
      <c r="C2697" s="1">
        <f>IFERROR(__xludf.DUMMYFUNCTION("""COMPUTED_VALUE"""),3760.0)</f>
        <v>3760</v>
      </c>
      <c r="D2697" s="1">
        <f>IFERROR(__xludf.DUMMYFUNCTION("""COMPUTED_VALUE"""),3600.0)</f>
        <v>3600</v>
      </c>
      <c r="E2697" s="1">
        <f>IFERROR(__xludf.DUMMYFUNCTION("""COMPUTED_VALUE"""),3615.0)</f>
        <v>3615</v>
      </c>
      <c r="F2697" s="1">
        <f>IFERROR(__xludf.DUMMYFUNCTION("""COMPUTED_VALUE"""),68755.0)</f>
        <v>68755</v>
      </c>
    </row>
    <row r="2698">
      <c r="A2698" s="2">
        <f>IFERROR(__xludf.DUMMYFUNCTION("""COMPUTED_VALUE"""),45205.64583333333)</f>
        <v>45205.64583</v>
      </c>
      <c r="B2698" s="1">
        <f>IFERROR(__xludf.DUMMYFUNCTION("""COMPUTED_VALUE"""),3635.0)</f>
        <v>3635</v>
      </c>
      <c r="C2698" s="1">
        <f>IFERROR(__xludf.DUMMYFUNCTION("""COMPUTED_VALUE"""),3780.0)</f>
        <v>3780</v>
      </c>
      <c r="D2698" s="1">
        <f>IFERROR(__xludf.DUMMYFUNCTION("""COMPUTED_VALUE"""),3630.0)</f>
        <v>3630</v>
      </c>
      <c r="E2698" s="1">
        <f>IFERROR(__xludf.DUMMYFUNCTION("""COMPUTED_VALUE"""),3700.0)</f>
        <v>3700</v>
      </c>
      <c r="F2698" s="1">
        <f>IFERROR(__xludf.DUMMYFUNCTION("""COMPUTED_VALUE"""),75768.0)</f>
        <v>75768</v>
      </c>
    </row>
    <row r="2699">
      <c r="A2699" s="2">
        <f>IFERROR(__xludf.DUMMYFUNCTION("""COMPUTED_VALUE"""),45209.64583333333)</f>
        <v>45209.64583</v>
      </c>
      <c r="B2699" s="1">
        <f>IFERROR(__xludf.DUMMYFUNCTION("""COMPUTED_VALUE"""),3710.0)</f>
        <v>3710</v>
      </c>
      <c r="C2699" s="1">
        <f>IFERROR(__xludf.DUMMYFUNCTION("""COMPUTED_VALUE"""),4385.0)</f>
        <v>4385</v>
      </c>
      <c r="D2699" s="1">
        <f>IFERROR(__xludf.DUMMYFUNCTION("""COMPUTED_VALUE"""),3615.0)</f>
        <v>3615</v>
      </c>
      <c r="E2699" s="1">
        <f>IFERROR(__xludf.DUMMYFUNCTION("""COMPUTED_VALUE"""),3700.0)</f>
        <v>3700</v>
      </c>
      <c r="F2699" s="1">
        <f>IFERROR(__xludf.DUMMYFUNCTION("""COMPUTED_VALUE"""),1343596.0)</f>
        <v>1343596</v>
      </c>
    </row>
    <row r="2700">
      <c r="A2700" s="2">
        <f>IFERROR(__xludf.DUMMYFUNCTION("""COMPUTED_VALUE"""),45210.64583333333)</f>
        <v>45210.64583</v>
      </c>
      <c r="B2700" s="1">
        <f>IFERROR(__xludf.DUMMYFUNCTION("""COMPUTED_VALUE"""),3805.0)</f>
        <v>3805</v>
      </c>
      <c r="C2700" s="1">
        <f>IFERROR(__xludf.DUMMYFUNCTION("""COMPUTED_VALUE"""),3875.0)</f>
        <v>3875</v>
      </c>
      <c r="D2700" s="1">
        <f>IFERROR(__xludf.DUMMYFUNCTION("""COMPUTED_VALUE"""),3680.0)</f>
        <v>3680</v>
      </c>
      <c r="E2700" s="1">
        <f>IFERROR(__xludf.DUMMYFUNCTION("""COMPUTED_VALUE"""),3705.0)</f>
        <v>3705</v>
      </c>
      <c r="F2700" s="1">
        <f>IFERROR(__xludf.DUMMYFUNCTION("""COMPUTED_VALUE"""),186727.0)</f>
        <v>186727</v>
      </c>
    </row>
    <row r="2701">
      <c r="A2701" s="2">
        <f>IFERROR(__xludf.DUMMYFUNCTION("""COMPUTED_VALUE"""),45211.64583333333)</f>
        <v>45211.64583</v>
      </c>
      <c r="B2701" s="1">
        <f>IFERROR(__xludf.DUMMYFUNCTION("""COMPUTED_VALUE"""),3670.0)</f>
        <v>3670</v>
      </c>
      <c r="C2701" s="1">
        <f>IFERROR(__xludf.DUMMYFUNCTION("""COMPUTED_VALUE"""),3805.0)</f>
        <v>3805</v>
      </c>
      <c r="D2701" s="1">
        <f>IFERROR(__xludf.DUMMYFUNCTION("""COMPUTED_VALUE"""),3665.0)</f>
        <v>3665</v>
      </c>
      <c r="E2701" s="1">
        <f>IFERROR(__xludf.DUMMYFUNCTION("""COMPUTED_VALUE"""),3710.0)</f>
        <v>3710</v>
      </c>
      <c r="F2701" s="1">
        <f>IFERROR(__xludf.DUMMYFUNCTION("""COMPUTED_VALUE"""),146233.0)</f>
        <v>146233</v>
      </c>
    </row>
    <row r="2702">
      <c r="A2702" s="2">
        <f>IFERROR(__xludf.DUMMYFUNCTION("""COMPUTED_VALUE"""),45212.64583333333)</f>
        <v>45212.64583</v>
      </c>
      <c r="B2702" s="1">
        <f>IFERROR(__xludf.DUMMYFUNCTION("""COMPUTED_VALUE"""),3750.0)</f>
        <v>3750</v>
      </c>
      <c r="C2702" s="1">
        <f>IFERROR(__xludf.DUMMYFUNCTION("""COMPUTED_VALUE"""),3755.0)</f>
        <v>3755</v>
      </c>
      <c r="D2702" s="1">
        <f>IFERROR(__xludf.DUMMYFUNCTION("""COMPUTED_VALUE"""),3615.0)</f>
        <v>3615</v>
      </c>
      <c r="E2702" s="1">
        <f>IFERROR(__xludf.DUMMYFUNCTION("""COMPUTED_VALUE"""),3680.0)</f>
        <v>3680</v>
      </c>
      <c r="F2702" s="1">
        <f>IFERROR(__xludf.DUMMYFUNCTION("""COMPUTED_VALUE"""),97653.0)</f>
        <v>97653</v>
      </c>
    </row>
    <row r="2703">
      <c r="A2703" s="2">
        <f>IFERROR(__xludf.DUMMYFUNCTION("""COMPUTED_VALUE"""),45215.64583333333)</f>
        <v>45215.64583</v>
      </c>
      <c r="B2703" s="1">
        <f>IFERROR(__xludf.DUMMYFUNCTION("""COMPUTED_VALUE"""),3630.0)</f>
        <v>3630</v>
      </c>
      <c r="C2703" s="1">
        <f>IFERROR(__xludf.DUMMYFUNCTION("""COMPUTED_VALUE"""),3655.0)</f>
        <v>3655</v>
      </c>
      <c r="D2703" s="1">
        <f>IFERROR(__xludf.DUMMYFUNCTION("""COMPUTED_VALUE"""),3530.0)</f>
        <v>3530</v>
      </c>
      <c r="E2703" s="1">
        <f>IFERROR(__xludf.DUMMYFUNCTION("""COMPUTED_VALUE"""),3570.0)</f>
        <v>3570</v>
      </c>
      <c r="F2703" s="1">
        <f>IFERROR(__xludf.DUMMYFUNCTION("""COMPUTED_VALUE"""),93654.0)</f>
        <v>93654</v>
      </c>
    </row>
    <row r="2704">
      <c r="A2704" s="2">
        <f>IFERROR(__xludf.DUMMYFUNCTION("""COMPUTED_VALUE"""),45216.64583333333)</f>
        <v>45216.64583</v>
      </c>
      <c r="B2704" s="1">
        <f>IFERROR(__xludf.DUMMYFUNCTION("""COMPUTED_VALUE"""),3595.0)</f>
        <v>3595</v>
      </c>
      <c r="C2704" s="1">
        <f>IFERROR(__xludf.DUMMYFUNCTION("""COMPUTED_VALUE"""),3650.0)</f>
        <v>3650</v>
      </c>
      <c r="D2704" s="1">
        <f>IFERROR(__xludf.DUMMYFUNCTION("""COMPUTED_VALUE"""),3570.0)</f>
        <v>3570</v>
      </c>
      <c r="E2704" s="1">
        <f>IFERROR(__xludf.DUMMYFUNCTION("""COMPUTED_VALUE"""),3600.0)</f>
        <v>3600</v>
      </c>
      <c r="F2704" s="1">
        <f>IFERROR(__xludf.DUMMYFUNCTION("""COMPUTED_VALUE"""),82115.0)</f>
        <v>82115</v>
      </c>
    </row>
    <row r="2705">
      <c r="A2705" s="2">
        <f>IFERROR(__xludf.DUMMYFUNCTION("""COMPUTED_VALUE"""),45217.64583333333)</f>
        <v>45217.64583</v>
      </c>
      <c r="B2705" s="1">
        <f>IFERROR(__xludf.DUMMYFUNCTION("""COMPUTED_VALUE"""),3610.0)</f>
        <v>3610</v>
      </c>
      <c r="C2705" s="1">
        <f>IFERROR(__xludf.DUMMYFUNCTION("""COMPUTED_VALUE"""),3650.0)</f>
        <v>3650</v>
      </c>
      <c r="D2705" s="1">
        <f>IFERROR(__xludf.DUMMYFUNCTION("""COMPUTED_VALUE"""),3425.0)</f>
        <v>3425</v>
      </c>
      <c r="E2705" s="1">
        <f>IFERROR(__xludf.DUMMYFUNCTION("""COMPUTED_VALUE"""),3440.0)</f>
        <v>3440</v>
      </c>
      <c r="F2705" s="1">
        <f>IFERROR(__xludf.DUMMYFUNCTION("""COMPUTED_VALUE"""),144160.0)</f>
        <v>144160</v>
      </c>
    </row>
    <row r="2706">
      <c r="A2706" s="2">
        <f>IFERROR(__xludf.DUMMYFUNCTION("""COMPUTED_VALUE"""),45218.64583333333)</f>
        <v>45218.64583</v>
      </c>
      <c r="B2706" s="1">
        <f>IFERROR(__xludf.DUMMYFUNCTION("""COMPUTED_VALUE"""),3440.0)</f>
        <v>3440</v>
      </c>
      <c r="C2706" s="1">
        <f>IFERROR(__xludf.DUMMYFUNCTION("""COMPUTED_VALUE"""),3455.0)</f>
        <v>3455</v>
      </c>
      <c r="D2706" s="1">
        <f>IFERROR(__xludf.DUMMYFUNCTION("""COMPUTED_VALUE"""),3300.0)</f>
        <v>3300</v>
      </c>
      <c r="E2706" s="1">
        <f>IFERROR(__xludf.DUMMYFUNCTION("""COMPUTED_VALUE"""),3360.0)</f>
        <v>3360</v>
      </c>
      <c r="F2706" s="1">
        <f>IFERROR(__xludf.DUMMYFUNCTION("""COMPUTED_VALUE"""),135627.0)</f>
        <v>135627</v>
      </c>
    </row>
    <row r="2707">
      <c r="A2707" s="2">
        <f>IFERROR(__xludf.DUMMYFUNCTION("""COMPUTED_VALUE"""),45219.64583333333)</f>
        <v>45219.64583</v>
      </c>
      <c r="B2707" s="1">
        <f>IFERROR(__xludf.DUMMYFUNCTION("""COMPUTED_VALUE"""),3360.0)</f>
        <v>3360</v>
      </c>
      <c r="C2707" s="1">
        <f>IFERROR(__xludf.DUMMYFUNCTION("""COMPUTED_VALUE"""),3500.0)</f>
        <v>3500</v>
      </c>
      <c r="D2707" s="1">
        <f>IFERROR(__xludf.DUMMYFUNCTION("""COMPUTED_VALUE"""),3250.0)</f>
        <v>3250</v>
      </c>
      <c r="E2707" s="1">
        <f>IFERROR(__xludf.DUMMYFUNCTION("""COMPUTED_VALUE"""),3340.0)</f>
        <v>3340</v>
      </c>
      <c r="F2707" s="1">
        <f>IFERROR(__xludf.DUMMYFUNCTION("""COMPUTED_VALUE"""),91851.0)</f>
        <v>91851</v>
      </c>
    </row>
    <row r="2708">
      <c r="A2708" s="2">
        <f>IFERROR(__xludf.DUMMYFUNCTION("""COMPUTED_VALUE"""),45222.64583333333)</f>
        <v>45222.64583</v>
      </c>
      <c r="B2708" s="1">
        <f>IFERROR(__xludf.DUMMYFUNCTION("""COMPUTED_VALUE"""),3355.0)</f>
        <v>3355</v>
      </c>
      <c r="C2708" s="1">
        <f>IFERROR(__xludf.DUMMYFUNCTION("""COMPUTED_VALUE"""),3575.0)</f>
        <v>3575</v>
      </c>
      <c r="D2708" s="1">
        <f>IFERROR(__xludf.DUMMYFUNCTION("""COMPUTED_VALUE"""),3345.0)</f>
        <v>3345</v>
      </c>
      <c r="E2708" s="1">
        <f>IFERROR(__xludf.DUMMYFUNCTION("""COMPUTED_VALUE"""),3470.0)</f>
        <v>3470</v>
      </c>
      <c r="F2708" s="1">
        <f>IFERROR(__xludf.DUMMYFUNCTION("""COMPUTED_VALUE"""),116838.0)</f>
        <v>116838</v>
      </c>
    </row>
    <row r="2709">
      <c r="A2709" s="2">
        <f>IFERROR(__xludf.DUMMYFUNCTION("""COMPUTED_VALUE"""),45223.64583333333)</f>
        <v>45223.64583</v>
      </c>
      <c r="B2709" s="1">
        <f>IFERROR(__xludf.DUMMYFUNCTION("""COMPUTED_VALUE"""),3470.0)</f>
        <v>3470</v>
      </c>
      <c r="C2709" s="1">
        <f>IFERROR(__xludf.DUMMYFUNCTION("""COMPUTED_VALUE"""),3590.0)</f>
        <v>3590</v>
      </c>
      <c r="D2709" s="1">
        <f>IFERROR(__xludf.DUMMYFUNCTION("""COMPUTED_VALUE"""),3390.0)</f>
        <v>3390</v>
      </c>
      <c r="E2709" s="1">
        <f>IFERROR(__xludf.DUMMYFUNCTION("""COMPUTED_VALUE"""),3575.0)</f>
        <v>3575</v>
      </c>
      <c r="F2709" s="1">
        <f>IFERROR(__xludf.DUMMYFUNCTION("""COMPUTED_VALUE"""),81893.0)</f>
        <v>81893</v>
      </c>
    </row>
    <row r="2710">
      <c r="A2710" s="2">
        <f>IFERROR(__xludf.DUMMYFUNCTION("""COMPUTED_VALUE"""),45224.64583333333)</f>
        <v>45224.64583</v>
      </c>
      <c r="B2710" s="1">
        <f>IFERROR(__xludf.DUMMYFUNCTION("""COMPUTED_VALUE"""),3600.0)</f>
        <v>3600</v>
      </c>
      <c r="C2710" s="1">
        <f>IFERROR(__xludf.DUMMYFUNCTION("""COMPUTED_VALUE"""),3630.0)</f>
        <v>3630</v>
      </c>
      <c r="D2710" s="1">
        <f>IFERROR(__xludf.DUMMYFUNCTION("""COMPUTED_VALUE"""),3505.0)</f>
        <v>3505</v>
      </c>
      <c r="E2710" s="1">
        <f>IFERROR(__xludf.DUMMYFUNCTION("""COMPUTED_VALUE"""),3565.0)</f>
        <v>3565</v>
      </c>
      <c r="F2710" s="1">
        <f>IFERROR(__xludf.DUMMYFUNCTION("""COMPUTED_VALUE"""),82065.0)</f>
        <v>82065</v>
      </c>
    </row>
    <row r="2711">
      <c r="A2711" s="2">
        <f>IFERROR(__xludf.DUMMYFUNCTION("""COMPUTED_VALUE"""),45225.64583333333)</f>
        <v>45225.64583</v>
      </c>
      <c r="B2711" s="1">
        <f>IFERROR(__xludf.DUMMYFUNCTION("""COMPUTED_VALUE"""),3500.0)</f>
        <v>3500</v>
      </c>
      <c r="C2711" s="1">
        <f>IFERROR(__xludf.DUMMYFUNCTION("""COMPUTED_VALUE"""),3525.0)</f>
        <v>3525</v>
      </c>
      <c r="D2711" s="1">
        <f>IFERROR(__xludf.DUMMYFUNCTION("""COMPUTED_VALUE"""),3405.0)</f>
        <v>3405</v>
      </c>
      <c r="E2711" s="1">
        <f>IFERROR(__xludf.DUMMYFUNCTION("""COMPUTED_VALUE"""),3420.0)</f>
        <v>3420</v>
      </c>
      <c r="F2711" s="1">
        <f>IFERROR(__xludf.DUMMYFUNCTION("""COMPUTED_VALUE"""),75221.0)</f>
        <v>75221</v>
      </c>
    </row>
    <row r="2712">
      <c r="A2712" s="2">
        <f>IFERROR(__xludf.DUMMYFUNCTION("""COMPUTED_VALUE"""),45226.64583333333)</f>
        <v>45226.64583</v>
      </c>
      <c r="B2712" s="1">
        <f>IFERROR(__xludf.DUMMYFUNCTION("""COMPUTED_VALUE"""),3385.0)</f>
        <v>3385</v>
      </c>
      <c r="C2712" s="1">
        <f>IFERROR(__xludf.DUMMYFUNCTION("""COMPUTED_VALUE"""),3560.0)</f>
        <v>3560</v>
      </c>
      <c r="D2712" s="1">
        <f>IFERROR(__xludf.DUMMYFUNCTION("""COMPUTED_VALUE"""),3385.0)</f>
        <v>3385</v>
      </c>
      <c r="E2712" s="1">
        <f>IFERROR(__xludf.DUMMYFUNCTION("""COMPUTED_VALUE"""),3420.0)</f>
        <v>3420</v>
      </c>
      <c r="F2712" s="1">
        <f>IFERROR(__xludf.DUMMYFUNCTION("""COMPUTED_VALUE"""),59224.0)</f>
        <v>59224</v>
      </c>
    </row>
    <row r="2713">
      <c r="A2713" s="2">
        <f>IFERROR(__xludf.DUMMYFUNCTION("""COMPUTED_VALUE"""),45229.64583333333)</f>
        <v>45229.64583</v>
      </c>
      <c r="B2713" s="1">
        <f>IFERROR(__xludf.DUMMYFUNCTION("""COMPUTED_VALUE"""),3420.0)</f>
        <v>3420</v>
      </c>
      <c r="C2713" s="1">
        <f>IFERROR(__xludf.DUMMYFUNCTION("""COMPUTED_VALUE"""),3745.0)</f>
        <v>3745</v>
      </c>
      <c r="D2713" s="1">
        <f>IFERROR(__xludf.DUMMYFUNCTION("""COMPUTED_VALUE"""),3405.0)</f>
        <v>3405</v>
      </c>
      <c r="E2713" s="1">
        <f>IFERROR(__xludf.DUMMYFUNCTION("""COMPUTED_VALUE"""),3600.0)</f>
        <v>3600</v>
      </c>
      <c r="F2713" s="1">
        <f>IFERROR(__xludf.DUMMYFUNCTION("""COMPUTED_VALUE"""),192665.0)</f>
        <v>192665</v>
      </c>
    </row>
    <row r="2714">
      <c r="A2714" s="2">
        <f>IFERROR(__xludf.DUMMYFUNCTION("""COMPUTED_VALUE"""),45230.64583333333)</f>
        <v>45230.64583</v>
      </c>
      <c r="B2714" s="1">
        <f>IFERROR(__xludf.DUMMYFUNCTION("""COMPUTED_VALUE"""),3625.0)</f>
        <v>3625</v>
      </c>
      <c r="C2714" s="1">
        <f>IFERROR(__xludf.DUMMYFUNCTION("""COMPUTED_VALUE"""),3670.0)</f>
        <v>3670</v>
      </c>
      <c r="D2714" s="1">
        <f>IFERROR(__xludf.DUMMYFUNCTION("""COMPUTED_VALUE"""),3550.0)</f>
        <v>3550</v>
      </c>
      <c r="E2714" s="1">
        <f>IFERROR(__xludf.DUMMYFUNCTION("""COMPUTED_VALUE"""),3580.0)</f>
        <v>3580</v>
      </c>
      <c r="F2714" s="1">
        <f>IFERROR(__xludf.DUMMYFUNCTION("""COMPUTED_VALUE"""),175038.0)</f>
        <v>175038</v>
      </c>
    </row>
    <row r="2715">
      <c r="A2715" s="2">
        <f>IFERROR(__xludf.DUMMYFUNCTION("""COMPUTED_VALUE"""),45231.64583333333)</f>
        <v>45231.64583</v>
      </c>
      <c r="B2715" s="1">
        <f>IFERROR(__xludf.DUMMYFUNCTION("""COMPUTED_VALUE"""),3550.0)</f>
        <v>3550</v>
      </c>
      <c r="C2715" s="1">
        <f>IFERROR(__xludf.DUMMYFUNCTION("""COMPUTED_VALUE"""),3670.0)</f>
        <v>3670</v>
      </c>
      <c r="D2715" s="1">
        <f>IFERROR(__xludf.DUMMYFUNCTION("""COMPUTED_VALUE"""),3550.0)</f>
        <v>3550</v>
      </c>
      <c r="E2715" s="1">
        <f>IFERROR(__xludf.DUMMYFUNCTION("""COMPUTED_VALUE"""),3610.0)</f>
        <v>3610</v>
      </c>
      <c r="F2715" s="1">
        <f>IFERROR(__xludf.DUMMYFUNCTION("""COMPUTED_VALUE"""),40293.0)</f>
        <v>40293</v>
      </c>
    </row>
    <row r="2716">
      <c r="A2716" s="2">
        <f>IFERROR(__xludf.DUMMYFUNCTION("""COMPUTED_VALUE"""),45232.64583333333)</f>
        <v>45232.64583</v>
      </c>
      <c r="B2716" s="1">
        <f>IFERROR(__xludf.DUMMYFUNCTION("""COMPUTED_VALUE"""),3650.0)</f>
        <v>3650</v>
      </c>
      <c r="C2716" s="1">
        <f>IFERROR(__xludf.DUMMYFUNCTION("""COMPUTED_VALUE"""),3705.0)</f>
        <v>3705</v>
      </c>
      <c r="D2716" s="1">
        <f>IFERROR(__xludf.DUMMYFUNCTION("""COMPUTED_VALUE"""),3600.0)</f>
        <v>3600</v>
      </c>
      <c r="E2716" s="1">
        <f>IFERROR(__xludf.DUMMYFUNCTION("""COMPUTED_VALUE"""),3640.0)</f>
        <v>3640</v>
      </c>
      <c r="F2716" s="1">
        <f>IFERROR(__xludf.DUMMYFUNCTION("""COMPUTED_VALUE"""),62197.0)</f>
        <v>62197</v>
      </c>
    </row>
    <row r="2717">
      <c r="A2717" s="2">
        <f>IFERROR(__xludf.DUMMYFUNCTION("""COMPUTED_VALUE"""),45233.64583333333)</f>
        <v>45233.64583</v>
      </c>
      <c r="B2717" s="1">
        <f>IFERROR(__xludf.DUMMYFUNCTION("""COMPUTED_VALUE"""),3640.0)</f>
        <v>3640</v>
      </c>
      <c r="C2717" s="1">
        <f>IFERROR(__xludf.DUMMYFUNCTION("""COMPUTED_VALUE"""),3730.0)</f>
        <v>3730</v>
      </c>
      <c r="D2717" s="1">
        <f>IFERROR(__xludf.DUMMYFUNCTION("""COMPUTED_VALUE"""),3625.0)</f>
        <v>3625</v>
      </c>
      <c r="E2717" s="1">
        <f>IFERROR(__xludf.DUMMYFUNCTION("""COMPUTED_VALUE"""),3675.0)</f>
        <v>3675</v>
      </c>
      <c r="F2717" s="1">
        <f>IFERROR(__xludf.DUMMYFUNCTION("""COMPUTED_VALUE"""),58539.0)</f>
        <v>58539</v>
      </c>
    </row>
    <row r="2718">
      <c r="A2718" s="2">
        <f>IFERROR(__xludf.DUMMYFUNCTION("""COMPUTED_VALUE"""),45236.64583333333)</f>
        <v>45236.64583</v>
      </c>
      <c r="B2718" s="1">
        <f>IFERROR(__xludf.DUMMYFUNCTION("""COMPUTED_VALUE"""),3795.0)</f>
        <v>3795</v>
      </c>
      <c r="C2718" s="1">
        <f>IFERROR(__xludf.DUMMYFUNCTION("""COMPUTED_VALUE"""),3830.0)</f>
        <v>3830</v>
      </c>
      <c r="D2718" s="1">
        <f>IFERROR(__xludf.DUMMYFUNCTION("""COMPUTED_VALUE"""),3700.0)</f>
        <v>3700</v>
      </c>
      <c r="E2718" s="1">
        <f>IFERROR(__xludf.DUMMYFUNCTION("""COMPUTED_VALUE"""),3780.0)</f>
        <v>3780</v>
      </c>
      <c r="F2718" s="1">
        <f>IFERROR(__xludf.DUMMYFUNCTION("""COMPUTED_VALUE"""),154881.0)</f>
        <v>154881</v>
      </c>
    </row>
    <row r="2719">
      <c r="A2719" s="2">
        <f>IFERROR(__xludf.DUMMYFUNCTION("""COMPUTED_VALUE"""),45237.64583333333)</f>
        <v>45237.64583</v>
      </c>
      <c r="B2719" s="1">
        <f>IFERROR(__xludf.DUMMYFUNCTION("""COMPUTED_VALUE"""),3845.0)</f>
        <v>3845</v>
      </c>
      <c r="C2719" s="1">
        <f>IFERROR(__xludf.DUMMYFUNCTION("""COMPUTED_VALUE"""),3845.0)</f>
        <v>3845</v>
      </c>
      <c r="D2719" s="1">
        <f>IFERROR(__xludf.DUMMYFUNCTION("""COMPUTED_VALUE"""),3645.0)</f>
        <v>3645</v>
      </c>
      <c r="E2719" s="1">
        <f>IFERROR(__xludf.DUMMYFUNCTION("""COMPUTED_VALUE"""),3700.0)</f>
        <v>3700</v>
      </c>
      <c r="F2719" s="1">
        <f>IFERROR(__xludf.DUMMYFUNCTION("""COMPUTED_VALUE"""),52030.0)</f>
        <v>52030</v>
      </c>
    </row>
    <row r="2720">
      <c r="A2720" s="2">
        <f>IFERROR(__xludf.DUMMYFUNCTION("""COMPUTED_VALUE"""),45238.64583333333)</f>
        <v>45238.64583</v>
      </c>
      <c r="B2720" s="1">
        <f>IFERROR(__xludf.DUMMYFUNCTION("""COMPUTED_VALUE"""),3695.0)</f>
        <v>3695</v>
      </c>
      <c r="C2720" s="1">
        <f>IFERROR(__xludf.DUMMYFUNCTION("""COMPUTED_VALUE"""),3735.0)</f>
        <v>3735</v>
      </c>
      <c r="D2720" s="1">
        <f>IFERROR(__xludf.DUMMYFUNCTION("""COMPUTED_VALUE"""),3600.0)</f>
        <v>3600</v>
      </c>
      <c r="E2720" s="1">
        <f>IFERROR(__xludf.DUMMYFUNCTION("""COMPUTED_VALUE"""),3610.0)</f>
        <v>3610</v>
      </c>
      <c r="F2720" s="1">
        <f>IFERROR(__xludf.DUMMYFUNCTION("""COMPUTED_VALUE"""),48746.0)</f>
        <v>48746</v>
      </c>
    </row>
    <row r="2721">
      <c r="A2721" s="2">
        <f>IFERROR(__xludf.DUMMYFUNCTION("""COMPUTED_VALUE"""),45239.64583333333)</f>
        <v>45239.64583</v>
      </c>
      <c r="B2721" s="1">
        <f>IFERROR(__xludf.DUMMYFUNCTION("""COMPUTED_VALUE"""),3640.0)</f>
        <v>3640</v>
      </c>
      <c r="C2721" s="1">
        <f>IFERROR(__xludf.DUMMYFUNCTION("""COMPUTED_VALUE"""),3660.0)</f>
        <v>3660</v>
      </c>
      <c r="D2721" s="1">
        <f>IFERROR(__xludf.DUMMYFUNCTION("""COMPUTED_VALUE"""),3535.0)</f>
        <v>3535</v>
      </c>
      <c r="E2721" s="1">
        <f>IFERROR(__xludf.DUMMYFUNCTION("""COMPUTED_VALUE"""),3535.0)</f>
        <v>3535</v>
      </c>
      <c r="F2721" s="1">
        <f>IFERROR(__xludf.DUMMYFUNCTION("""COMPUTED_VALUE"""),20223.0)</f>
        <v>20223</v>
      </c>
    </row>
    <row r="2722">
      <c r="A2722" s="2">
        <f>IFERROR(__xludf.DUMMYFUNCTION("""COMPUTED_VALUE"""),45240.64583333333)</f>
        <v>45240.64583</v>
      </c>
      <c r="B2722" s="1">
        <f>IFERROR(__xludf.DUMMYFUNCTION("""COMPUTED_VALUE"""),3450.0)</f>
        <v>3450</v>
      </c>
      <c r="C2722" s="1">
        <f>IFERROR(__xludf.DUMMYFUNCTION("""COMPUTED_VALUE"""),3650.0)</f>
        <v>3650</v>
      </c>
      <c r="D2722" s="1">
        <f>IFERROR(__xludf.DUMMYFUNCTION("""COMPUTED_VALUE"""),3330.0)</f>
        <v>3330</v>
      </c>
      <c r="E2722" s="1">
        <f>IFERROR(__xludf.DUMMYFUNCTION("""COMPUTED_VALUE"""),3475.0)</f>
        <v>3475</v>
      </c>
      <c r="F2722" s="1">
        <f>IFERROR(__xludf.DUMMYFUNCTION("""COMPUTED_VALUE"""),58047.0)</f>
        <v>58047</v>
      </c>
    </row>
    <row r="2723">
      <c r="A2723" s="2">
        <f>IFERROR(__xludf.DUMMYFUNCTION("""COMPUTED_VALUE"""),45243.64583333333)</f>
        <v>45243.64583</v>
      </c>
      <c r="B2723" s="1">
        <f>IFERROR(__xludf.DUMMYFUNCTION("""COMPUTED_VALUE"""),3455.0)</f>
        <v>3455</v>
      </c>
      <c r="C2723" s="1">
        <f>IFERROR(__xludf.DUMMYFUNCTION("""COMPUTED_VALUE"""),3545.0)</f>
        <v>3545</v>
      </c>
      <c r="D2723" s="1">
        <f>IFERROR(__xludf.DUMMYFUNCTION("""COMPUTED_VALUE"""),3315.0)</f>
        <v>3315</v>
      </c>
      <c r="E2723" s="1">
        <f>IFERROR(__xludf.DUMMYFUNCTION("""COMPUTED_VALUE"""),3320.0)</f>
        <v>3320</v>
      </c>
      <c r="F2723" s="1">
        <f>IFERROR(__xludf.DUMMYFUNCTION("""COMPUTED_VALUE"""),101150.0)</f>
        <v>101150</v>
      </c>
    </row>
    <row r="2724">
      <c r="A2724" s="2">
        <f>IFERROR(__xludf.DUMMYFUNCTION("""COMPUTED_VALUE"""),45244.64583333333)</f>
        <v>45244.64583</v>
      </c>
      <c r="B2724" s="1">
        <f>IFERROR(__xludf.DUMMYFUNCTION("""COMPUTED_VALUE"""),3350.0)</f>
        <v>3350</v>
      </c>
      <c r="C2724" s="1">
        <f>IFERROR(__xludf.DUMMYFUNCTION("""COMPUTED_VALUE"""),3470.0)</f>
        <v>3470</v>
      </c>
      <c r="D2724" s="1">
        <f>IFERROR(__xludf.DUMMYFUNCTION("""COMPUTED_VALUE"""),3350.0)</f>
        <v>3350</v>
      </c>
      <c r="E2724" s="1">
        <f>IFERROR(__xludf.DUMMYFUNCTION("""COMPUTED_VALUE"""),3430.0)</f>
        <v>3430</v>
      </c>
      <c r="F2724" s="1">
        <f>IFERROR(__xludf.DUMMYFUNCTION("""COMPUTED_VALUE"""),32480.0)</f>
        <v>32480</v>
      </c>
    </row>
    <row r="2725">
      <c r="A2725" s="2">
        <f>IFERROR(__xludf.DUMMYFUNCTION("""COMPUTED_VALUE"""),45245.64583333333)</f>
        <v>45245.64583</v>
      </c>
      <c r="B2725" s="1">
        <f>IFERROR(__xludf.DUMMYFUNCTION("""COMPUTED_VALUE"""),3480.0)</f>
        <v>3480</v>
      </c>
      <c r="C2725" s="1">
        <f>IFERROR(__xludf.DUMMYFUNCTION("""COMPUTED_VALUE"""),3530.0)</f>
        <v>3530</v>
      </c>
      <c r="D2725" s="1">
        <f>IFERROR(__xludf.DUMMYFUNCTION("""COMPUTED_VALUE"""),3445.0)</f>
        <v>3445</v>
      </c>
      <c r="E2725" s="1">
        <f>IFERROR(__xludf.DUMMYFUNCTION("""COMPUTED_VALUE"""),3530.0)</f>
        <v>3530</v>
      </c>
      <c r="F2725" s="1">
        <f>IFERROR(__xludf.DUMMYFUNCTION("""COMPUTED_VALUE"""),42875.0)</f>
        <v>42875</v>
      </c>
    </row>
    <row r="2726">
      <c r="A2726" s="2">
        <f>IFERROR(__xludf.DUMMYFUNCTION("""COMPUTED_VALUE"""),45246.64583333333)</f>
        <v>45246.64583</v>
      </c>
      <c r="B2726" s="1">
        <f>IFERROR(__xludf.DUMMYFUNCTION("""COMPUTED_VALUE"""),3570.0)</f>
        <v>3570</v>
      </c>
      <c r="C2726" s="1">
        <f>IFERROR(__xludf.DUMMYFUNCTION("""COMPUTED_VALUE"""),3570.0)</f>
        <v>3570</v>
      </c>
      <c r="D2726" s="1">
        <f>IFERROR(__xludf.DUMMYFUNCTION("""COMPUTED_VALUE"""),3390.0)</f>
        <v>3390</v>
      </c>
      <c r="E2726" s="1">
        <f>IFERROR(__xludf.DUMMYFUNCTION("""COMPUTED_VALUE"""),3540.0)</f>
        <v>3540</v>
      </c>
      <c r="F2726" s="1">
        <f>IFERROR(__xludf.DUMMYFUNCTION("""COMPUTED_VALUE"""),45837.0)</f>
        <v>45837</v>
      </c>
    </row>
    <row r="2727">
      <c r="A2727" s="2">
        <f>IFERROR(__xludf.DUMMYFUNCTION("""COMPUTED_VALUE"""),45247.64583333333)</f>
        <v>45247.64583</v>
      </c>
      <c r="B2727" s="1">
        <f>IFERROR(__xludf.DUMMYFUNCTION("""COMPUTED_VALUE"""),3495.0)</f>
        <v>3495</v>
      </c>
      <c r="C2727" s="1">
        <f>IFERROR(__xludf.DUMMYFUNCTION("""COMPUTED_VALUE"""),3550.0)</f>
        <v>3550</v>
      </c>
      <c r="D2727" s="1">
        <f>IFERROR(__xludf.DUMMYFUNCTION("""COMPUTED_VALUE"""),3380.0)</f>
        <v>3380</v>
      </c>
      <c r="E2727" s="1">
        <f>IFERROR(__xludf.DUMMYFUNCTION("""COMPUTED_VALUE"""),3405.0)</f>
        <v>3405</v>
      </c>
      <c r="F2727" s="1">
        <f>IFERROR(__xludf.DUMMYFUNCTION("""COMPUTED_VALUE"""),79550.0)</f>
        <v>79550</v>
      </c>
    </row>
    <row r="2728">
      <c r="A2728" s="2">
        <f>IFERROR(__xludf.DUMMYFUNCTION("""COMPUTED_VALUE"""),45250.64583333333)</f>
        <v>45250.64583</v>
      </c>
      <c r="B2728" s="1">
        <f>IFERROR(__xludf.DUMMYFUNCTION("""COMPUTED_VALUE"""),3415.0)</f>
        <v>3415</v>
      </c>
      <c r="C2728" s="1">
        <f>IFERROR(__xludf.DUMMYFUNCTION("""COMPUTED_VALUE"""),3450.0)</f>
        <v>3450</v>
      </c>
      <c r="D2728" s="1">
        <f>IFERROR(__xludf.DUMMYFUNCTION("""COMPUTED_VALUE"""),3370.0)</f>
        <v>3370</v>
      </c>
      <c r="E2728" s="1">
        <f>IFERROR(__xludf.DUMMYFUNCTION("""COMPUTED_VALUE"""),3405.0)</f>
        <v>3405</v>
      </c>
      <c r="F2728" s="1">
        <f>IFERROR(__xludf.DUMMYFUNCTION("""COMPUTED_VALUE"""),104466.0)</f>
        <v>104466</v>
      </c>
    </row>
    <row r="2729">
      <c r="A2729" s="2">
        <f>IFERROR(__xludf.DUMMYFUNCTION("""COMPUTED_VALUE"""),45251.64583333333)</f>
        <v>45251.64583</v>
      </c>
      <c r="B2729" s="1">
        <f>IFERROR(__xludf.DUMMYFUNCTION("""COMPUTED_VALUE"""),3420.0)</f>
        <v>3420</v>
      </c>
      <c r="C2729" s="1">
        <f>IFERROR(__xludf.DUMMYFUNCTION("""COMPUTED_VALUE"""),3485.0)</f>
        <v>3485</v>
      </c>
      <c r="D2729" s="1">
        <f>IFERROR(__xludf.DUMMYFUNCTION("""COMPUTED_VALUE"""),3350.0)</f>
        <v>3350</v>
      </c>
      <c r="E2729" s="1">
        <f>IFERROR(__xludf.DUMMYFUNCTION("""COMPUTED_VALUE"""),3470.0)</f>
        <v>3470</v>
      </c>
      <c r="F2729" s="1">
        <f>IFERROR(__xludf.DUMMYFUNCTION("""COMPUTED_VALUE"""),73240.0)</f>
        <v>73240</v>
      </c>
    </row>
    <row r="2730">
      <c r="A2730" s="2">
        <f>IFERROR(__xludf.DUMMYFUNCTION("""COMPUTED_VALUE"""),45252.64583333333)</f>
        <v>45252.64583</v>
      </c>
      <c r="B2730" s="1">
        <f>IFERROR(__xludf.DUMMYFUNCTION("""COMPUTED_VALUE"""),3535.0)</f>
        <v>3535</v>
      </c>
      <c r="C2730" s="1">
        <f>IFERROR(__xludf.DUMMYFUNCTION("""COMPUTED_VALUE"""),3585.0)</f>
        <v>3585</v>
      </c>
      <c r="D2730" s="1">
        <f>IFERROR(__xludf.DUMMYFUNCTION("""COMPUTED_VALUE"""),3415.0)</f>
        <v>3415</v>
      </c>
      <c r="E2730" s="1">
        <f>IFERROR(__xludf.DUMMYFUNCTION("""COMPUTED_VALUE"""),3470.0)</f>
        <v>3470</v>
      </c>
      <c r="F2730" s="1">
        <f>IFERROR(__xludf.DUMMYFUNCTION("""COMPUTED_VALUE"""),113083.0)</f>
        <v>113083</v>
      </c>
    </row>
    <row r="2731">
      <c r="A2731" s="2">
        <f>IFERROR(__xludf.DUMMYFUNCTION("""COMPUTED_VALUE"""),45253.64583333333)</f>
        <v>45253.64583</v>
      </c>
      <c r="B2731" s="1">
        <f>IFERROR(__xludf.DUMMYFUNCTION("""COMPUTED_VALUE"""),3510.0)</f>
        <v>3510</v>
      </c>
      <c r="C2731" s="1">
        <f>IFERROR(__xludf.DUMMYFUNCTION("""COMPUTED_VALUE"""),3555.0)</f>
        <v>3555</v>
      </c>
      <c r="D2731" s="1">
        <f>IFERROR(__xludf.DUMMYFUNCTION("""COMPUTED_VALUE"""),3435.0)</f>
        <v>3435</v>
      </c>
      <c r="E2731" s="1">
        <f>IFERROR(__xludf.DUMMYFUNCTION("""COMPUTED_VALUE"""),3545.0)</f>
        <v>3545</v>
      </c>
      <c r="F2731" s="1">
        <f>IFERROR(__xludf.DUMMYFUNCTION("""COMPUTED_VALUE"""),93426.0)</f>
        <v>93426</v>
      </c>
    </row>
    <row r="2732">
      <c r="A2732" s="2">
        <f>IFERROR(__xludf.DUMMYFUNCTION("""COMPUTED_VALUE"""),45254.64583333333)</f>
        <v>45254.64583</v>
      </c>
      <c r="B2732" s="1">
        <f>IFERROR(__xludf.DUMMYFUNCTION("""COMPUTED_VALUE"""),3545.0)</f>
        <v>3545</v>
      </c>
      <c r="C2732" s="1">
        <f>IFERROR(__xludf.DUMMYFUNCTION("""COMPUTED_VALUE"""),3575.0)</f>
        <v>3575</v>
      </c>
      <c r="D2732" s="1">
        <f>IFERROR(__xludf.DUMMYFUNCTION("""COMPUTED_VALUE"""),3470.0)</f>
        <v>3470</v>
      </c>
      <c r="E2732" s="1">
        <f>IFERROR(__xludf.DUMMYFUNCTION("""COMPUTED_VALUE"""),3495.0)</f>
        <v>3495</v>
      </c>
      <c r="F2732" s="1">
        <f>IFERROR(__xludf.DUMMYFUNCTION("""COMPUTED_VALUE"""),42898.0)</f>
        <v>42898</v>
      </c>
    </row>
    <row r="2733">
      <c r="A2733" s="2">
        <f>IFERROR(__xludf.DUMMYFUNCTION("""COMPUTED_VALUE"""),45257.64583333333)</f>
        <v>45257.64583</v>
      </c>
      <c r="B2733" s="1">
        <f>IFERROR(__xludf.DUMMYFUNCTION("""COMPUTED_VALUE"""),3490.0)</f>
        <v>3490</v>
      </c>
      <c r="C2733" s="1">
        <f>IFERROR(__xludf.DUMMYFUNCTION("""COMPUTED_VALUE"""),3575.0)</f>
        <v>3575</v>
      </c>
      <c r="D2733" s="1">
        <f>IFERROR(__xludf.DUMMYFUNCTION("""COMPUTED_VALUE"""),3440.0)</f>
        <v>3440</v>
      </c>
      <c r="E2733" s="1">
        <f>IFERROR(__xludf.DUMMYFUNCTION("""COMPUTED_VALUE"""),3460.0)</f>
        <v>3460</v>
      </c>
      <c r="F2733" s="1">
        <f>IFERROR(__xludf.DUMMYFUNCTION("""COMPUTED_VALUE"""),80150.0)</f>
        <v>80150</v>
      </c>
    </row>
    <row r="2734">
      <c r="A2734" s="2">
        <f>IFERROR(__xludf.DUMMYFUNCTION("""COMPUTED_VALUE"""),45258.64583333333)</f>
        <v>45258.64583</v>
      </c>
      <c r="B2734" s="1">
        <f>IFERROR(__xludf.DUMMYFUNCTION("""COMPUTED_VALUE"""),3480.0)</f>
        <v>3480</v>
      </c>
      <c r="C2734" s="1">
        <f>IFERROR(__xludf.DUMMYFUNCTION("""COMPUTED_VALUE"""),3480.0)</f>
        <v>3480</v>
      </c>
      <c r="D2734" s="1">
        <f>IFERROR(__xludf.DUMMYFUNCTION("""COMPUTED_VALUE"""),3420.0)</f>
        <v>3420</v>
      </c>
      <c r="E2734" s="1">
        <f>IFERROR(__xludf.DUMMYFUNCTION("""COMPUTED_VALUE"""),3420.0)</f>
        <v>3420</v>
      </c>
      <c r="F2734" s="1">
        <f>IFERROR(__xludf.DUMMYFUNCTION("""COMPUTED_VALUE"""),74680.0)</f>
        <v>74680</v>
      </c>
    </row>
    <row r="2735">
      <c r="A2735" s="2">
        <f>IFERROR(__xludf.DUMMYFUNCTION("""COMPUTED_VALUE"""),45259.64583333333)</f>
        <v>45259.64583</v>
      </c>
      <c r="B2735" s="1">
        <f>IFERROR(__xludf.DUMMYFUNCTION("""COMPUTED_VALUE"""),3400.0)</f>
        <v>3400</v>
      </c>
      <c r="C2735" s="1">
        <f>IFERROR(__xludf.DUMMYFUNCTION("""COMPUTED_VALUE"""),3480.0)</f>
        <v>3480</v>
      </c>
      <c r="D2735" s="1">
        <f>IFERROR(__xludf.DUMMYFUNCTION("""COMPUTED_VALUE"""),3400.0)</f>
        <v>3400</v>
      </c>
      <c r="E2735" s="1">
        <f>IFERROR(__xludf.DUMMYFUNCTION("""COMPUTED_VALUE"""),3450.0)</f>
        <v>3450</v>
      </c>
      <c r="F2735" s="1">
        <f>IFERROR(__xludf.DUMMYFUNCTION("""COMPUTED_VALUE"""),49080.0)</f>
        <v>49080</v>
      </c>
    </row>
    <row r="2736">
      <c r="A2736" s="2">
        <f>IFERROR(__xludf.DUMMYFUNCTION("""COMPUTED_VALUE"""),45260.64583333333)</f>
        <v>45260.64583</v>
      </c>
      <c r="B2736" s="1">
        <f>IFERROR(__xludf.DUMMYFUNCTION("""COMPUTED_VALUE"""),3420.0)</f>
        <v>3420</v>
      </c>
      <c r="C2736" s="1">
        <f>IFERROR(__xludf.DUMMYFUNCTION("""COMPUTED_VALUE"""),3620.0)</f>
        <v>3620</v>
      </c>
      <c r="D2736" s="1">
        <f>IFERROR(__xludf.DUMMYFUNCTION("""COMPUTED_VALUE"""),3420.0)</f>
        <v>3420</v>
      </c>
      <c r="E2736" s="1">
        <f>IFERROR(__xludf.DUMMYFUNCTION("""COMPUTED_VALUE"""),3555.0)</f>
        <v>3555</v>
      </c>
      <c r="F2736" s="1">
        <f>IFERROR(__xludf.DUMMYFUNCTION("""COMPUTED_VALUE"""),116330.0)</f>
        <v>116330</v>
      </c>
    </row>
    <row r="2737">
      <c r="A2737" s="2">
        <f>IFERROR(__xludf.DUMMYFUNCTION("""COMPUTED_VALUE"""),45261.64583333333)</f>
        <v>45261.64583</v>
      </c>
      <c r="B2737" s="1">
        <f>IFERROR(__xludf.DUMMYFUNCTION("""COMPUTED_VALUE"""),3520.0)</f>
        <v>3520</v>
      </c>
      <c r="C2737" s="1">
        <f>IFERROR(__xludf.DUMMYFUNCTION("""COMPUTED_VALUE"""),3605.0)</f>
        <v>3605</v>
      </c>
      <c r="D2737" s="1">
        <f>IFERROR(__xludf.DUMMYFUNCTION("""COMPUTED_VALUE"""),3415.0)</f>
        <v>3415</v>
      </c>
      <c r="E2737" s="1">
        <f>IFERROR(__xludf.DUMMYFUNCTION("""COMPUTED_VALUE"""),3520.0)</f>
        <v>3520</v>
      </c>
      <c r="F2737" s="1">
        <f>IFERROR(__xludf.DUMMYFUNCTION("""COMPUTED_VALUE"""),62261.0)</f>
        <v>62261</v>
      </c>
    </row>
    <row r="2738">
      <c r="A2738" s="2">
        <f>IFERROR(__xludf.DUMMYFUNCTION("""COMPUTED_VALUE"""),45264.64583333333)</f>
        <v>45264.64583</v>
      </c>
      <c r="B2738" s="1">
        <f>IFERROR(__xludf.DUMMYFUNCTION("""COMPUTED_VALUE"""),3520.0)</f>
        <v>3520</v>
      </c>
      <c r="C2738" s="1">
        <f>IFERROR(__xludf.DUMMYFUNCTION("""COMPUTED_VALUE"""),3595.0)</f>
        <v>3595</v>
      </c>
      <c r="D2738" s="1">
        <f>IFERROR(__xludf.DUMMYFUNCTION("""COMPUTED_VALUE"""),3455.0)</f>
        <v>3455</v>
      </c>
      <c r="E2738" s="1">
        <f>IFERROR(__xludf.DUMMYFUNCTION("""COMPUTED_VALUE"""),3475.0)</f>
        <v>3475</v>
      </c>
      <c r="F2738" s="1">
        <f>IFERROR(__xludf.DUMMYFUNCTION("""COMPUTED_VALUE"""),92980.0)</f>
        <v>92980</v>
      </c>
    </row>
    <row r="2739">
      <c r="A2739" s="2">
        <f>IFERROR(__xludf.DUMMYFUNCTION("""COMPUTED_VALUE"""),45265.64583333333)</f>
        <v>45265.64583</v>
      </c>
      <c r="B2739" s="1">
        <f>IFERROR(__xludf.DUMMYFUNCTION("""COMPUTED_VALUE"""),3590.0)</f>
        <v>3590</v>
      </c>
      <c r="C2739" s="1">
        <f>IFERROR(__xludf.DUMMYFUNCTION("""COMPUTED_VALUE"""),3590.0)</f>
        <v>3590</v>
      </c>
      <c r="D2739" s="1">
        <f>IFERROR(__xludf.DUMMYFUNCTION("""COMPUTED_VALUE"""),3460.0)</f>
        <v>3460</v>
      </c>
      <c r="E2739" s="1">
        <f>IFERROR(__xludf.DUMMYFUNCTION("""COMPUTED_VALUE"""),3470.0)</f>
        <v>3470</v>
      </c>
      <c r="F2739" s="1">
        <f>IFERROR(__xludf.DUMMYFUNCTION("""COMPUTED_VALUE"""),72030.0)</f>
        <v>72030</v>
      </c>
    </row>
    <row r="2740">
      <c r="A2740" s="2">
        <f>IFERROR(__xludf.DUMMYFUNCTION("""COMPUTED_VALUE"""),45266.64583333333)</f>
        <v>45266.64583</v>
      </c>
      <c r="B2740" s="1">
        <f>IFERROR(__xludf.DUMMYFUNCTION("""COMPUTED_VALUE"""),3480.0)</f>
        <v>3480</v>
      </c>
      <c r="C2740" s="1">
        <f>IFERROR(__xludf.DUMMYFUNCTION("""COMPUTED_VALUE"""),3540.0)</f>
        <v>3540</v>
      </c>
      <c r="D2740" s="1">
        <f>IFERROR(__xludf.DUMMYFUNCTION("""COMPUTED_VALUE"""),3470.0)</f>
        <v>3470</v>
      </c>
      <c r="E2740" s="1">
        <f>IFERROR(__xludf.DUMMYFUNCTION("""COMPUTED_VALUE"""),3495.0)</f>
        <v>3495</v>
      </c>
      <c r="F2740" s="1">
        <f>IFERROR(__xludf.DUMMYFUNCTION("""COMPUTED_VALUE"""),66873.0)</f>
        <v>66873</v>
      </c>
    </row>
    <row r="2741">
      <c r="A2741" s="2">
        <f>IFERROR(__xludf.DUMMYFUNCTION("""COMPUTED_VALUE"""),45267.64583333333)</f>
        <v>45267.64583</v>
      </c>
      <c r="B2741" s="1">
        <f>IFERROR(__xludf.DUMMYFUNCTION("""COMPUTED_VALUE"""),3490.0)</f>
        <v>3490</v>
      </c>
      <c r="C2741" s="1">
        <f>IFERROR(__xludf.DUMMYFUNCTION("""COMPUTED_VALUE"""),3575.0)</f>
        <v>3575</v>
      </c>
      <c r="D2741" s="1">
        <f>IFERROR(__xludf.DUMMYFUNCTION("""COMPUTED_VALUE"""),3440.0)</f>
        <v>3440</v>
      </c>
      <c r="E2741" s="1">
        <f>IFERROR(__xludf.DUMMYFUNCTION("""COMPUTED_VALUE"""),3450.0)</f>
        <v>3450</v>
      </c>
      <c r="F2741" s="1">
        <f>IFERROR(__xludf.DUMMYFUNCTION("""COMPUTED_VALUE"""),106096.0)</f>
        <v>106096</v>
      </c>
    </row>
    <row r="2742">
      <c r="A2742" s="2">
        <f>IFERROR(__xludf.DUMMYFUNCTION("""COMPUTED_VALUE"""),45268.64583333333)</f>
        <v>45268.64583</v>
      </c>
      <c r="B2742" s="1">
        <f>IFERROR(__xludf.DUMMYFUNCTION("""COMPUTED_VALUE"""),3435.0)</f>
        <v>3435</v>
      </c>
      <c r="C2742" s="1">
        <f>IFERROR(__xludf.DUMMYFUNCTION("""COMPUTED_VALUE"""),3550.0)</f>
        <v>3550</v>
      </c>
      <c r="D2742" s="1">
        <f>IFERROR(__xludf.DUMMYFUNCTION("""COMPUTED_VALUE"""),3430.0)</f>
        <v>3430</v>
      </c>
      <c r="E2742" s="1">
        <f>IFERROR(__xludf.DUMMYFUNCTION("""COMPUTED_VALUE"""),3545.0)</f>
        <v>3545</v>
      </c>
      <c r="F2742" s="1">
        <f>IFERROR(__xludf.DUMMYFUNCTION("""COMPUTED_VALUE"""),93868.0)</f>
        <v>93868</v>
      </c>
    </row>
    <row r="2743">
      <c r="A2743" s="2">
        <f>IFERROR(__xludf.DUMMYFUNCTION("""COMPUTED_VALUE"""),45271.64583333333)</f>
        <v>45271.64583</v>
      </c>
      <c r="B2743" s="1">
        <f>IFERROR(__xludf.DUMMYFUNCTION("""COMPUTED_VALUE"""),3545.0)</f>
        <v>3545</v>
      </c>
      <c r="C2743" s="1">
        <f>IFERROR(__xludf.DUMMYFUNCTION("""COMPUTED_VALUE"""),3760.0)</f>
        <v>3760</v>
      </c>
      <c r="D2743" s="1">
        <f>IFERROR(__xludf.DUMMYFUNCTION("""COMPUTED_VALUE"""),3510.0)</f>
        <v>3510</v>
      </c>
      <c r="E2743" s="1">
        <f>IFERROR(__xludf.DUMMYFUNCTION("""COMPUTED_VALUE"""),3610.0)</f>
        <v>3610</v>
      </c>
      <c r="F2743" s="1">
        <f>IFERROR(__xludf.DUMMYFUNCTION("""COMPUTED_VALUE"""),272236.0)</f>
        <v>272236</v>
      </c>
    </row>
    <row r="2744">
      <c r="A2744" s="2">
        <f>IFERROR(__xludf.DUMMYFUNCTION("""COMPUTED_VALUE"""),45272.64583333333)</f>
        <v>45272.64583</v>
      </c>
      <c r="B2744" s="1">
        <f>IFERROR(__xludf.DUMMYFUNCTION("""COMPUTED_VALUE"""),3635.0)</f>
        <v>3635</v>
      </c>
      <c r="C2744" s="1">
        <f>IFERROR(__xludf.DUMMYFUNCTION("""COMPUTED_VALUE"""),3670.0)</f>
        <v>3670</v>
      </c>
      <c r="D2744" s="1">
        <f>IFERROR(__xludf.DUMMYFUNCTION("""COMPUTED_VALUE"""),3575.0)</f>
        <v>3575</v>
      </c>
      <c r="E2744" s="1">
        <f>IFERROR(__xludf.DUMMYFUNCTION("""COMPUTED_VALUE"""),3630.0)</f>
        <v>3630</v>
      </c>
      <c r="F2744" s="1">
        <f>IFERROR(__xludf.DUMMYFUNCTION("""COMPUTED_VALUE"""),87645.0)</f>
        <v>87645</v>
      </c>
    </row>
    <row r="2745">
      <c r="A2745" s="2">
        <f>IFERROR(__xludf.DUMMYFUNCTION("""COMPUTED_VALUE"""),45273.64583333333)</f>
        <v>45273.64583</v>
      </c>
      <c r="B2745" s="1">
        <f>IFERROR(__xludf.DUMMYFUNCTION("""COMPUTED_VALUE"""),3635.0)</f>
        <v>3635</v>
      </c>
      <c r="C2745" s="1">
        <f>IFERROR(__xludf.DUMMYFUNCTION("""COMPUTED_VALUE"""),3645.0)</f>
        <v>3645</v>
      </c>
      <c r="D2745" s="1">
        <f>IFERROR(__xludf.DUMMYFUNCTION("""COMPUTED_VALUE"""),3535.0)</f>
        <v>3535</v>
      </c>
      <c r="E2745" s="1">
        <f>IFERROR(__xludf.DUMMYFUNCTION("""COMPUTED_VALUE"""),3580.0)</f>
        <v>3580</v>
      </c>
      <c r="F2745" s="1">
        <f>IFERROR(__xludf.DUMMYFUNCTION("""COMPUTED_VALUE"""),103645.0)</f>
        <v>103645</v>
      </c>
    </row>
    <row r="2746">
      <c r="A2746" s="2">
        <f>IFERROR(__xludf.DUMMYFUNCTION("""COMPUTED_VALUE"""),45274.64583333333)</f>
        <v>45274.64583</v>
      </c>
      <c r="B2746" s="1">
        <f>IFERROR(__xludf.DUMMYFUNCTION("""COMPUTED_VALUE"""),3585.0)</f>
        <v>3585</v>
      </c>
      <c r="C2746" s="1">
        <f>IFERROR(__xludf.DUMMYFUNCTION("""COMPUTED_VALUE"""),3870.0)</f>
        <v>3870</v>
      </c>
      <c r="D2746" s="1">
        <f>IFERROR(__xludf.DUMMYFUNCTION("""COMPUTED_VALUE"""),3580.0)</f>
        <v>3580</v>
      </c>
      <c r="E2746" s="1">
        <f>IFERROR(__xludf.DUMMYFUNCTION("""COMPUTED_VALUE"""),3820.0)</f>
        <v>3820</v>
      </c>
      <c r="F2746" s="1">
        <f>IFERROR(__xludf.DUMMYFUNCTION("""COMPUTED_VALUE"""),725064.0)</f>
        <v>725064</v>
      </c>
    </row>
    <row r="2747">
      <c r="A2747" s="2">
        <f>IFERROR(__xludf.DUMMYFUNCTION("""COMPUTED_VALUE"""),45275.64583333333)</f>
        <v>45275.64583</v>
      </c>
      <c r="B2747" s="1">
        <f>IFERROR(__xludf.DUMMYFUNCTION("""COMPUTED_VALUE"""),3905.0)</f>
        <v>3905</v>
      </c>
      <c r="C2747" s="1">
        <f>IFERROR(__xludf.DUMMYFUNCTION("""COMPUTED_VALUE"""),4040.0)</f>
        <v>4040</v>
      </c>
      <c r="D2747" s="1">
        <f>IFERROR(__xludf.DUMMYFUNCTION("""COMPUTED_VALUE"""),3850.0)</f>
        <v>3850</v>
      </c>
      <c r="E2747" s="1">
        <f>IFERROR(__xludf.DUMMYFUNCTION("""COMPUTED_VALUE"""),3885.0)</f>
        <v>3885</v>
      </c>
      <c r="F2747" s="1">
        <f>IFERROR(__xludf.DUMMYFUNCTION("""COMPUTED_VALUE"""),1161579.0)</f>
        <v>1161579</v>
      </c>
    </row>
    <row r="2748">
      <c r="A2748" s="2">
        <f>IFERROR(__xludf.DUMMYFUNCTION("""COMPUTED_VALUE"""),45278.64583333333)</f>
        <v>45278.64583</v>
      </c>
      <c r="B2748" s="1">
        <f>IFERROR(__xludf.DUMMYFUNCTION("""COMPUTED_VALUE"""),3885.0)</f>
        <v>3885</v>
      </c>
      <c r="C2748" s="1">
        <f>IFERROR(__xludf.DUMMYFUNCTION("""COMPUTED_VALUE"""),3995.0)</f>
        <v>3995</v>
      </c>
      <c r="D2748" s="1">
        <f>IFERROR(__xludf.DUMMYFUNCTION("""COMPUTED_VALUE"""),3750.0)</f>
        <v>3750</v>
      </c>
      <c r="E2748" s="1">
        <f>IFERROR(__xludf.DUMMYFUNCTION("""COMPUTED_VALUE"""),3910.0)</f>
        <v>3910</v>
      </c>
      <c r="F2748" s="1">
        <f>IFERROR(__xludf.DUMMYFUNCTION("""COMPUTED_VALUE"""),436025.0)</f>
        <v>436025</v>
      </c>
    </row>
    <row r="2749">
      <c r="A2749" s="2">
        <f>IFERROR(__xludf.DUMMYFUNCTION("""COMPUTED_VALUE"""),45279.64583333333)</f>
        <v>45279.64583</v>
      </c>
      <c r="B2749" s="1">
        <f>IFERROR(__xludf.DUMMYFUNCTION("""COMPUTED_VALUE"""),4030.0)</f>
        <v>4030</v>
      </c>
      <c r="C2749" s="1">
        <f>IFERROR(__xludf.DUMMYFUNCTION("""COMPUTED_VALUE"""),4100.0)</f>
        <v>4100</v>
      </c>
      <c r="D2749" s="1">
        <f>IFERROR(__xludf.DUMMYFUNCTION("""COMPUTED_VALUE"""),3950.0)</f>
        <v>3950</v>
      </c>
      <c r="E2749" s="1">
        <f>IFERROR(__xludf.DUMMYFUNCTION("""COMPUTED_VALUE"""),3975.0)</f>
        <v>3975</v>
      </c>
      <c r="F2749" s="1">
        <f>IFERROR(__xludf.DUMMYFUNCTION("""COMPUTED_VALUE"""),725483.0)</f>
        <v>725483</v>
      </c>
    </row>
    <row r="2750">
      <c r="A2750" s="2">
        <f>IFERROR(__xludf.DUMMYFUNCTION("""COMPUTED_VALUE"""),45280.64583333333)</f>
        <v>45280.64583</v>
      </c>
      <c r="B2750" s="1">
        <f>IFERROR(__xludf.DUMMYFUNCTION("""COMPUTED_VALUE"""),4040.0)</f>
        <v>4040</v>
      </c>
      <c r="C2750" s="1">
        <f>IFERROR(__xludf.DUMMYFUNCTION("""COMPUTED_VALUE"""),4080.0)</f>
        <v>4080</v>
      </c>
      <c r="D2750" s="1">
        <f>IFERROR(__xludf.DUMMYFUNCTION("""COMPUTED_VALUE"""),3925.0)</f>
        <v>3925</v>
      </c>
      <c r="E2750" s="1">
        <f>IFERROR(__xludf.DUMMYFUNCTION("""COMPUTED_VALUE"""),3985.0)</f>
        <v>3985</v>
      </c>
      <c r="F2750" s="1">
        <f>IFERROR(__xludf.DUMMYFUNCTION("""COMPUTED_VALUE"""),414964.0)</f>
        <v>414964</v>
      </c>
    </row>
    <row r="2751">
      <c r="A2751" s="2">
        <f>IFERROR(__xludf.DUMMYFUNCTION("""COMPUTED_VALUE"""),45281.64583333333)</f>
        <v>45281.64583</v>
      </c>
      <c r="B2751" s="1">
        <f>IFERROR(__xludf.DUMMYFUNCTION("""COMPUTED_VALUE"""),3985.0)</f>
        <v>3985</v>
      </c>
      <c r="C2751" s="1">
        <f>IFERROR(__xludf.DUMMYFUNCTION("""COMPUTED_VALUE"""),4040.0)</f>
        <v>4040</v>
      </c>
      <c r="D2751" s="1">
        <f>IFERROR(__xludf.DUMMYFUNCTION("""COMPUTED_VALUE"""),3930.0)</f>
        <v>3930</v>
      </c>
      <c r="E2751" s="1">
        <f>IFERROR(__xludf.DUMMYFUNCTION("""COMPUTED_VALUE"""),3950.0)</f>
        <v>3950</v>
      </c>
      <c r="F2751" s="1">
        <f>IFERROR(__xludf.DUMMYFUNCTION("""COMPUTED_VALUE"""),321990.0)</f>
        <v>321990</v>
      </c>
    </row>
    <row r="2752">
      <c r="A2752" s="2">
        <f>IFERROR(__xludf.DUMMYFUNCTION("""COMPUTED_VALUE"""),45282.64583333333)</f>
        <v>45282.64583</v>
      </c>
      <c r="B2752" s="1">
        <f>IFERROR(__xludf.DUMMYFUNCTION("""COMPUTED_VALUE"""),3955.0)</f>
        <v>3955</v>
      </c>
      <c r="C2752" s="1">
        <f>IFERROR(__xludf.DUMMYFUNCTION("""COMPUTED_VALUE"""),4000.0)</f>
        <v>4000</v>
      </c>
      <c r="D2752" s="1">
        <f>IFERROR(__xludf.DUMMYFUNCTION("""COMPUTED_VALUE"""),3925.0)</f>
        <v>3925</v>
      </c>
      <c r="E2752" s="1">
        <f>IFERROR(__xludf.DUMMYFUNCTION("""COMPUTED_VALUE"""),3950.0)</f>
        <v>3950</v>
      </c>
      <c r="F2752" s="1">
        <f>IFERROR(__xludf.DUMMYFUNCTION("""COMPUTED_VALUE"""),151632.0)</f>
        <v>151632</v>
      </c>
    </row>
    <row r="2753">
      <c r="A2753" s="2">
        <f>IFERROR(__xludf.DUMMYFUNCTION("""COMPUTED_VALUE"""),45286.64583333333)</f>
        <v>45286.64583</v>
      </c>
      <c r="B2753" s="1">
        <f>IFERROR(__xludf.DUMMYFUNCTION("""COMPUTED_VALUE"""),3950.0)</f>
        <v>3950</v>
      </c>
      <c r="C2753" s="1">
        <f>IFERROR(__xludf.DUMMYFUNCTION("""COMPUTED_VALUE"""),4010.0)</f>
        <v>4010</v>
      </c>
      <c r="D2753" s="1">
        <f>IFERROR(__xludf.DUMMYFUNCTION("""COMPUTED_VALUE"""),3750.0)</f>
        <v>3750</v>
      </c>
      <c r="E2753" s="1">
        <f>IFERROR(__xludf.DUMMYFUNCTION("""COMPUTED_VALUE"""),3850.0)</f>
        <v>3850</v>
      </c>
      <c r="F2753" s="1">
        <f>IFERROR(__xludf.DUMMYFUNCTION("""COMPUTED_VALUE"""),241475.0)</f>
        <v>241475</v>
      </c>
    </row>
    <row r="2754">
      <c r="A2754" s="2">
        <f>IFERROR(__xludf.DUMMYFUNCTION("""COMPUTED_VALUE"""),45287.64583333333)</f>
        <v>45287.64583</v>
      </c>
      <c r="B2754" s="1">
        <f>IFERROR(__xludf.DUMMYFUNCTION("""COMPUTED_VALUE"""),3860.0)</f>
        <v>3860</v>
      </c>
      <c r="C2754" s="1">
        <f>IFERROR(__xludf.DUMMYFUNCTION("""COMPUTED_VALUE"""),4895.0)</f>
        <v>4895</v>
      </c>
      <c r="D2754" s="1">
        <f>IFERROR(__xludf.DUMMYFUNCTION("""COMPUTED_VALUE"""),3800.0)</f>
        <v>3800</v>
      </c>
      <c r="E2754" s="1">
        <f>IFERROR(__xludf.DUMMYFUNCTION("""COMPUTED_VALUE"""),4250.0)</f>
        <v>4250</v>
      </c>
      <c r="F2754" s="1">
        <f>IFERROR(__xludf.DUMMYFUNCTION("""COMPUTED_VALUE"""),9310220.0)</f>
        <v>9310220</v>
      </c>
    </row>
    <row r="2755">
      <c r="A2755" s="2">
        <f>IFERROR(__xludf.DUMMYFUNCTION("""COMPUTED_VALUE"""),45288.64583333333)</f>
        <v>45288.64583</v>
      </c>
      <c r="B2755" s="1">
        <f>IFERROR(__xludf.DUMMYFUNCTION("""COMPUTED_VALUE"""),4250.0)</f>
        <v>4250</v>
      </c>
      <c r="C2755" s="1">
        <f>IFERROR(__xludf.DUMMYFUNCTION("""COMPUTED_VALUE"""),4490.0)</f>
        <v>4490</v>
      </c>
      <c r="D2755" s="1">
        <f>IFERROR(__xludf.DUMMYFUNCTION("""COMPUTED_VALUE"""),4105.0)</f>
        <v>4105</v>
      </c>
      <c r="E2755" s="1">
        <f>IFERROR(__xludf.DUMMYFUNCTION("""COMPUTED_VALUE"""),4130.0)</f>
        <v>4130</v>
      </c>
      <c r="F2755" s="1">
        <f>IFERROR(__xludf.DUMMYFUNCTION("""COMPUTED_VALUE"""),2488399.0)</f>
        <v>2488399</v>
      </c>
    </row>
  </sheetData>
  <drawing r:id="rId1"/>
</worksheet>
</file>